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wmf" ContentType="image/x-w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0815" windowHeight="9780" firstSheet="13" activeTab="16"/>
  </bookViews>
  <sheets>
    <sheet name="PEF - 2 -Page 1 Summary" sheetId="8" r:id="rId1"/>
    <sheet name="PEF - 2 Page 2 Rate Base" sheetId="4" r:id="rId2"/>
    <sheet name="PEF - 2 - Page 3 Rev Reqt" sheetId="5" r:id="rId3"/>
    <sheet name="PEF - 2 - Page 4 Support" sheetId="3" r:id="rId4"/>
    <sheet name="PEF - 2 - Page 5 Storm, Notes" sheetId="23" r:id="rId5"/>
    <sheet name="PEF - 2 - Page 6, PBOPs" sheetId="14" r:id="rId6"/>
    <sheet name="PEF -3, p1, 454 Rev Credits" sheetId="22" r:id="rId7"/>
    <sheet name="PEF - 3,  p2, 456 Rev Credits" sheetId="2" r:id="rId8"/>
    <sheet name="PEF - 4, p1 Step Ups" sheetId="36" r:id="rId9"/>
    <sheet name="PEF - 4, p2 Step Ups " sheetId="11" r:id="rId10"/>
    <sheet name="PEF - 4, Order 2003 " sheetId="26" r:id="rId11"/>
    <sheet name="PEF -5 p1 PY ADIT 190" sheetId="37" r:id="rId12"/>
    <sheet name="PEF -5 p2 PY ADIT 28x" sheetId="21" r:id="rId13"/>
    <sheet name="PEF - 5 p3 CY ADIT 190" sheetId="39" r:id="rId14"/>
    <sheet name="PEF - 5 p4 CY ADIT 28x" sheetId="28" r:id="rId15"/>
    <sheet name="PEF - 5A Unfunded Reserves" sheetId="35" r:id="rId16"/>
    <sheet name="PEF - 6  p1, FF1 Inputs " sheetId="12" r:id="rId17"/>
    <sheet name="PEF - 6 p2, Levelized Storm" sheetId="32" r:id="rId18"/>
    <sheet name="PEF - 6 p3, Prepay Accting" sheetId="25" r:id="rId19"/>
    <sheet name="PEF - 7, Retail Radials" sheetId="33" r:id="rId20"/>
  </sheets>
  <externalReferences>
    <externalReference r:id="rId21"/>
    <externalReference r:id="rId22"/>
  </externalReferences>
  <definedNames>
    <definedName name="___fsd44" hidden="1">{#N/A,#N/A,FALSE,"Aging Summary";#N/A,#N/A,FALSE,"Ratio Analysis";#N/A,#N/A,FALSE,"Test 120 Day Accts";#N/A,#N/A,FALSE,"Tickmarks"}</definedName>
    <definedName name="__123Graph_A" localSheetId="8" hidden="1">[1]Provision!#REF!</definedName>
    <definedName name="__123Graph_A" localSheetId="13" hidden="1">[1]Provision!#REF!</definedName>
    <definedName name="__123Graph_A" localSheetId="15" hidden="1">[1]Provision!#REF!</definedName>
    <definedName name="__123Graph_A" localSheetId="11" hidden="1">[1]Provision!#REF!</definedName>
    <definedName name="__123Graph_A" hidden="1">[1]Provision!#REF!</definedName>
    <definedName name="__123Graph_B" localSheetId="8" hidden="1">[1]Provision!#REF!</definedName>
    <definedName name="__123Graph_B" localSheetId="13" hidden="1">[1]Provision!#REF!</definedName>
    <definedName name="__123Graph_B" localSheetId="15" hidden="1">[1]Provision!#REF!</definedName>
    <definedName name="__123Graph_B" localSheetId="11" hidden="1">[1]Provision!#REF!</definedName>
    <definedName name="__123Graph_B" hidden="1">[1]Provision!#REF!</definedName>
    <definedName name="__123Graph_C" localSheetId="8" hidden="1">[1]Provision!#REF!</definedName>
    <definedName name="__123Graph_C" localSheetId="13" hidden="1">[1]Provision!#REF!</definedName>
    <definedName name="__123Graph_C" localSheetId="15" hidden="1">[1]Provision!#REF!</definedName>
    <definedName name="__123Graph_C" localSheetId="11" hidden="1">[1]Provision!#REF!</definedName>
    <definedName name="__123Graph_C" hidden="1">[1]Provision!#REF!</definedName>
    <definedName name="__123Graph_D" localSheetId="8" hidden="1">[1]Provision!#REF!</definedName>
    <definedName name="__123Graph_D" localSheetId="13" hidden="1">[1]Provision!#REF!</definedName>
    <definedName name="__123Graph_D" localSheetId="15" hidden="1">[1]Provision!#REF!</definedName>
    <definedName name="__123Graph_D" localSheetId="11" hidden="1">[1]Provision!#REF!</definedName>
    <definedName name="__123Graph_D" hidden="1">[1]Provision!#REF!</definedName>
    <definedName name="__123Graph_E" localSheetId="8" hidden="1">[1]Provision!#REF!</definedName>
    <definedName name="__123Graph_E" localSheetId="13" hidden="1">[1]Provision!#REF!</definedName>
    <definedName name="__123Graph_E" localSheetId="15" hidden="1">[1]Provision!#REF!</definedName>
    <definedName name="__123Graph_E" localSheetId="11" hidden="1">[1]Provision!#REF!</definedName>
    <definedName name="__123Graph_E" hidden="1">[1]Provision!#REF!</definedName>
    <definedName name="__123Graph_X" localSheetId="8" hidden="1">[1]Provision!#REF!</definedName>
    <definedName name="__123Graph_X" localSheetId="13" hidden="1">[1]Provision!#REF!</definedName>
    <definedName name="__123Graph_X" localSheetId="15" hidden="1">[1]Provision!#REF!</definedName>
    <definedName name="__123Graph_X" localSheetId="11" hidden="1">[1]Provision!#REF!</definedName>
    <definedName name="__123Graph_X" hidden="1">[1]Provision!#REF!</definedName>
    <definedName name="__fsd44" hidden="1">{#N/A,#N/A,FALSE,"Aging Summary";#N/A,#N/A,FALSE,"Ratio Analysis";#N/A,#N/A,FALSE,"Test 120 Day Accts";#N/A,#N/A,FALSE,"Tickmarks"}</definedName>
    <definedName name="_Fill" localSheetId="8" hidden="1">#REF!</definedName>
    <definedName name="_Fill" localSheetId="13" hidden="1">#REF!</definedName>
    <definedName name="_Fill" localSheetId="15" hidden="1">#REF!</definedName>
    <definedName name="_Fill" localSheetId="11" hidden="1">#REF!</definedName>
    <definedName name="_Fill" hidden="1">#REF!</definedName>
    <definedName name="_fsd44" localSheetId="4" hidden="1">{#N/A,#N/A,FALSE,"Aging Summary";#N/A,#N/A,FALSE,"Ratio Analysis";#N/A,#N/A,FALSE,"Test 120 Day Accts";#N/A,#N/A,FALSE,"Tickmarks"}</definedName>
    <definedName name="_fsd44" localSheetId="10" hidden="1">{#N/A,#N/A,FALSE,"Aging Summary";#N/A,#N/A,FALSE,"Ratio Analysis";#N/A,#N/A,FALSE,"Test 120 Day Accts";#N/A,#N/A,FALSE,"Tickmarks"}</definedName>
    <definedName name="_fsd44" localSheetId="13" hidden="1">{#N/A,#N/A,FALSE,"Aging Summary";#N/A,#N/A,FALSE,"Ratio Analysis";#N/A,#N/A,FALSE,"Test 120 Day Accts";#N/A,#N/A,FALSE,"Tickmarks"}</definedName>
    <definedName name="_fsd44" localSheetId="14" hidden="1">{#N/A,#N/A,FALSE,"Aging Summary";#N/A,#N/A,FALSE,"Ratio Analysis";#N/A,#N/A,FALSE,"Test 120 Day Accts";#N/A,#N/A,FALSE,"Tickmarks"}</definedName>
    <definedName name="_fsd44" localSheetId="15" hidden="1">{#N/A,#N/A,FALSE,"Aging Summary";#N/A,#N/A,FALSE,"Ratio Analysis";#N/A,#N/A,FALSE,"Test 120 Day Accts";#N/A,#N/A,FALSE,"Tickmarks"}</definedName>
    <definedName name="_fsd44" localSheetId="17" hidden="1">{#N/A,#N/A,FALSE,"Aging Summary";#N/A,#N/A,FALSE,"Ratio Analysis";#N/A,#N/A,FALSE,"Test 120 Day Accts";#N/A,#N/A,FALSE,"Tickmarks"}</definedName>
    <definedName name="_fsd44" localSheetId="11" hidden="1">{#N/A,#N/A,FALSE,"Aging Summary";#N/A,#N/A,FALSE,"Ratio Analysis";#N/A,#N/A,FALSE,"Test 120 Day Accts";#N/A,#N/A,FALSE,"Tickmarks"}</definedName>
    <definedName name="_fsd44" localSheetId="12" hidden="1">{#N/A,#N/A,FALSE,"Aging Summary";#N/A,#N/A,FALSE,"Ratio Analysis";#N/A,#N/A,FALSE,"Test 120 Day Accts";#N/A,#N/A,FALSE,"Tickmarks"}</definedName>
    <definedName name="_fsd44" hidden="1">{#N/A,#N/A,FALSE,"Aging Summary";#N/A,#N/A,FALSE,"Ratio Analysis";#N/A,#N/A,FALSE,"Test 120 Day Accts";#N/A,#N/A,FALSE,"Tickmarks"}</definedName>
    <definedName name="_Key1" localSheetId="8" hidden="1">#REF!</definedName>
    <definedName name="_Key1" localSheetId="13" hidden="1">#REF!</definedName>
    <definedName name="_Key1" localSheetId="15" hidden="1">#REF!</definedName>
    <definedName name="_Key1" localSheetId="11" hidden="1">#REF!</definedName>
    <definedName name="_Key1" hidden="1">#REF!</definedName>
    <definedName name="_Key2" localSheetId="8" hidden="1">#REF!</definedName>
    <definedName name="_Key2" localSheetId="13" hidden="1">#REF!</definedName>
    <definedName name="_Key2" localSheetId="15" hidden="1">#REF!</definedName>
    <definedName name="_Key2" localSheetId="11" hidden="1">#REF!</definedName>
    <definedName name="_Key2" hidden="1">#REF!</definedName>
    <definedName name="_Order1" hidden="1">0</definedName>
    <definedName name="_Order2" hidden="1">0</definedName>
    <definedName name="_Sort" localSheetId="8" hidden="1">#REF!</definedName>
    <definedName name="_Sort" localSheetId="13" hidden="1">#REF!</definedName>
    <definedName name="_Sort" localSheetId="15" hidden="1">#REF!</definedName>
    <definedName name="_Sort" localSheetId="11" hidden="1">#REF!</definedName>
    <definedName name="_Sort" hidden="1">#REF!</definedName>
    <definedName name="_Table1_In1" localSheetId="8" hidden="1">#REF!</definedName>
    <definedName name="_Table1_In1" localSheetId="13" hidden="1">#REF!</definedName>
    <definedName name="_Table1_In1" localSheetId="15" hidden="1">#REF!</definedName>
    <definedName name="_Table1_In1" localSheetId="11" hidden="1">#REF!</definedName>
    <definedName name="_Table1_In1" hidden="1">#REF!</definedName>
    <definedName name="_Table1_Out" localSheetId="8" hidden="1">#REF!</definedName>
    <definedName name="_Table1_Out" localSheetId="13" hidden="1">#REF!</definedName>
    <definedName name="_Table1_Out" localSheetId="15" hidden="1">#REF!</definedName>
    <definedName name="_Table1_Out" localSheetId="11" hidden="1">#REF!</definedName>
    <definedName name="_Table1_Out" hidden="1">#REF!</definedName>
    <definedName name="_Table2_In1" localSheetId="8" hidden="1">#REF!</definedName>
    <definedName name="_Table2_In1" localSheetId="13" hidden="1">#REF!</definedName>
    <definedName name="_Table2_In1" localSheetId="15" hidden="1">#REF!</definedName>
    <definedName name="_Table2_In1" localSheetId="11" hidden="1">#REF!</definedName>
    <definedName name="_Table2_In1" hidden="1">#REF!</definedName>
    <definedName name="_Table2_Out" localSheetId="8" hidden="1">#REF!</definedName>
    <definedName name="_Table2_Out" localSheetId="13" hidden="1">#REF!</definedName>
    <definedName name="_Table2_Out" localSheetId="15" hidden="1">#REF!</definedName>
    <definedName name="_Table2_Out" localSheetId="11" hidden="1">#REF!</definedName>
    <definedName name="_Table2_Out" hidden="1">#REF!</definedName>
    <definedName name="_YR">'PEF - 2 -Page 1 Summary'!$P$1</definedName>
    <definedName name="Alloc_Factors">#REF!</definedName>
    <definedName name="ALLOC_TABLE">#REF!</definedName>
    <definedName name="ALLOCATORS">'PEF - 2 - Page 4 Support'!$Q$7:$R$17</definedName>
    <definedName name="AS2DocOpenMode" hidden="1">"AS2DocumentBrowse"</definedName>
    <definedName name="FF1_Year">'PEF - 6  p1, FF1 Inputs '!$K$3</definedName>
    <definedName name="frt" localSheetId="4" hidden="1">{#N/A,#N/A,FALSE,"Aging Summary";#N/A,#N/A,FALSE,"Ratio Analysis";#N/A,#N/A,FALSE,"Test 120 Day Accts";#N/A,#N/A,FALSE,"Tickmarks"}</definedName>
    <definedName name="frt" localSheetId="10" hidden="1">{#N/A,#N/A,FALSE,"Aging Summary";#N/A,#N/A,FALSE,"Ratio Analysis";#N/A,#N/A,FALSE,"Test 120 Day Accts";#N/A,#N/A,FALSE,"Tickmarks"}</definedName>
    <definedName name="frt" localSheetId="13" hidden="1">{#N/A,#N/A,FALSE,"Aging Summary";#N/A,#N/A,FALSE,"Ratio Analysis";#N/A,#N/A,FALSE,"Test 120 Day Accts";#N/A,#N/A,FALSE,"Tickmarks"}</definedName>
    <definedName name="frt" localSheetId="14" hidden="1">{#N/A,#N/A,FALSE,"Aging Summary";#N/A,#N/A,FALSE,"Ratio Analysis";#N/A,#N/A,FALSE,"Test 120 Day Accts";#N/A,#N/A,FALSE,"Tickmarks"}</definedName>
    <definedName name="frt" localSheetId="15" hidden="1">{#N/A,#N/A,FALSE,"Aging Summary";#N/A,#N/A,FALSE,"Ratio Analysis";#N/A,#N/A,FALSE,"Test 120 Day Accts";#N/A,#N/A,FALSE,"Tickmarks"}</definedName>
    <definedName name="frt" localSheetId="17" hidden="1">{#N/A,#N/A,FALSE,"Aging Summary";#N/A,#N/A,FALSE,"Ratio Analysis";#N/A,#N/A,FALSE,"Test 120 Day Accts";#N/A,#N/A,FALSE,"Tickmarks"}</definedName>
    <definedName name="frt" localSheetId="11" hidden="1">{#N/A,#N/A,FALSE,"Aging Summary";#N/A,#N/A,FALSE,"Ratio Analysis";#N/A,#N/A,FALSE,"Test 120 Day Accts";#N/A,#N/A,FALSE,"Tickmarks"}</definedName>
    <definedName name="frt" localSheetId="12" hidden="1">{#N/A,#N/A,FALSE,"Aging Summary";#N/A,#N/A,FALSE,"Ratio Analysis";#N/A,#N/A,FALSE,"Test 120 Day Accts";#N/A,#N/A,FALSE,"Tickmarks"}</definedName>
    <definedName name="frt" hidden="1">{#N/A,#N/A,FALSE,"Aging Summary";#N/A,#N/A,FALSE,"Ratio Analysis";#N/A,#N/A,FALSE,"Test 120 Day Accts";#N/A,#N/A,FALSE,"Tickmarks"}</definedName>
    <definedName name="fsd" localSheetId="4" hidden="1">{#N/A,#N/A,FALSE,"Aging Summary";#N/A,#N/A,FALSE,"Ratio Analysis";#N/A,#N/A,FALSE,"Test 120 Day Accts";#N/A,#N/A,FALSE,"Tickmarks"}</definedName>
    <definedName name="fsd" localSheetId="10" hidden="1">{#N/A,#N/A,FALSE,"Aging Summary";#N/A,#N/A,FALSE,"Ratio Analysis";#N/A,#N/A,FALSE,"Test 120 Day Accts";#N/A,#N/A,FALSE,"Tickmarks"}</definedName>
    <definedName name="fsd" localSheetId="13" hidden="1">{#N/A,#N/A,FALSE,"Aging Summary";#N/A,#N/A,FALSE,"Ratio Analysis";#N/A,#N/A,FALSE,"Test 120 Day Accts";#N/A,#N/A,FALSE,"Tickmarks"}</definedName>
    <definedName name="fsd" localSheetId="14" hidden="1">{#N/A,#N/A,FALSE,"Aging Summary";#N/A,#N/A,FALSE,"Ratio Analysis";#N/A,#N/A,FALSE,"Test 120 Day Accts";#N/A,#N/A,FALSE,"Tickmarks"}</definedName>
    <definedName name="fsd" localSheetId="15" hidden="1">{#N/A,#N/A,FALSE,"Aging Summary";#N/A,#N/A,FALSE,"Ratio Analysis";#N/A,#N/A,FALSE,"Test 120 Day Accts";#N/A,#N/A,FALSE,"Tickmarks"}</definedName>
    <definedName name="fsd" localSheetId="17" hidden="1">{#N/A,#N/A,FALSE,"Aging Summary";#N/A,#N/A,FALSE,"Ratio Analysis";#N/A,#N/A,FALSE,"Test 120 Day Accts";#N/A,#N/A,FALSE,"Tickmarks"}</definedName>
    <definedName name="fsd" localSheetId="11" hidden="1">{#N/A,#N/A,FALSE,"Aging Summary";#N/A,#N/A,FALSE,"Ratio Analysis";#N/A,#N/A,FALSE,"Test 120 Day Accts";#N/A,#N/A,FALSE,"Tickmarks"}</definedName>
    <definedName name="fsd" localSheetId="12" hidden="1">{#N/A,#N/A,FALSE,"Aging Summary";#N/A,#N/A,FALSE,"Ratio Analysis";#N/A,#N/A,FALSE,"Test 120 Day Accts";#N/A,#N/A,FALSE,"Tickmarks"}</definedName>
    <definedName name="fsd" hidden="1">{#N/A,#N/A,FALSE,"Aging Summary";#N/A,#N/A,FALSE,"Ratio Analysis";#N/A,#N/A,FALSE,"Test 120 Day Accts";#N/A,#N/A,FALSE,"Tickmarks"}</definedName>
    <definedName name="kkk" localSheetId="4" hidden="1">{#N/A,#N/A,FALSE,"Aging Summary";#N/A,#N/A,FALSE,"Ratio Analysis";#N/A,#N/A,FALSE,"Test 120 Day Accts";#N/A,#N/A,FALSE,"Tickmarks"}</definedName>
    <definedName name="kkk" localSheetId="10" hidden="1">{#N/A,#N/A,FALSE,"Aging Summary";#N/A,#N/A,FALSE,"Ratio Analysis";#N/A,#N/A,FALSE,"Test 120 Day Accts";#N/A,#N/A,FALSE,"Tickmarks"}</definedName>
    <definedName name="kkk" localSheetId="13" hidden="1">{#N/A,#N/A,FALSE,"Aging Summary";#N/A,#N/A,FALSE,"Ratio Analysis";#N/A,#N/A,FALSE,"Test 120 Day Accts";#N/A,#N/A,FALSE,"Tickmarks"}</definedName>
    <definedName name="kkk" localSheetId="14" hidden="1">{#N/A,#N/A,FALSE,"Aging Summary";#N/A,#N/A,FALSE,"Ratio Analysis";#N/A,#N/A,FALSE,"Test 120 Day Accts";#N/A,#N/A,FALSE,"Tickmarks"}</definedName>
    <definedName name="kkk" localSheetId="15" hidden="1">{#N/A,#N/A,FALSE,"Aging Summary";#N/A,#N/A,FALSE,"Ratio Analysis";#N/A,#N/A,FALSE,"Test 120 Day Accts";#N/A,#N/A,FALSE,"Tickmarks"}</definedName>
    <definedName name="kkk" localSheetId="17" hidden="1">{#N/A,#N/A,FALSE,"Aging Summary";#N/A,#N/A,FALSE,"Ratio Analysis";#N/A,#N/A,FALSE,"Test 120 Day Accts";#N/A,#N/A,FALSE,"Tickmarks"}</definedName>
    <definedName name="kkk" localSheetId="11" hidden="1">{#N/A,#N/A,FALSE,"Aging Summary";#N/A,#N/A,FALSE,"Ratio Analysis";#N/A,#N/A,FALSE,"Test 120 Day Accts";#N/A,#N/A,FALSE,"Tickmarks"}</definedName>
    <definedName name="kkk" localSheetId="12" hidden="1">{#N/A,#N/A,FALSE,"Aging Summary";#N/A,#N/A,FALSE,"Ratio Analysis";#N/A,#N/A,FALSE,"Test 120 Day Accts";#N/A,#N/A,FALSE,"Tickmarks"}</definedName>
    <definedName name="kkk" hidden="1">{#N/A,#N/A,FALSE,"Aging Summary";#N/A,#N/A,FALSE,"Ratio Analysis";#N/A,#N/A,FALSE,"Test 120 Day Accts";#N/A,#N/A,FALSE,"Tickmarks"}</definedName>
    <definedName name="L_YR">'PEF - 2 -Page 1 Summary'!$O$3</definedName>
    <definedName name="L_YR_P">'PEF - 2 -Page 1 Summary'!$O$4</definedName>
    <definedName name="LABOR_ALLOC">'PEF - 2 - Page 4 Support'!$I$37</definedName>
    <definedName name="lku" localSheetId="4" hidden="1">{#N/A,#N/A,FALSE,"Aging Summary";#N/A,#N/A,FALSE,"Ratio Analysis";#N/A,#N/A,FALSE,"Test 120 Day Accts";#N/A,#N/A,FALSE,"Tickmarks"}</definedName>
    <definedName name="lku" localSheetId="10" hidden="1">{#N/A,#N/A,FALSE,"Aging Summary";#N/A,#N/A,FALSE,"Ratio Analysis";#N/A,#N/A,FALSE,"Test 120 Day Accts";#N/A,#N/A,FALSE,"Tickmarks"}</definedName>
    <definedName name="lku" localSheetId="13" hidden="1">{#N/A,#N/A,FALSE,"Aging Summary";#N/A,#N/A,FALSE,"Ratio Analysis";#N/A,#N/A,FALSE,"Test 120 Day Accts";#N/A,#N/A,FALSE,"Tickmarks"}</definedName>
    <definedName name="lku" localSheetId="14" hidden="1">{#N/A,#N/A,FALSE,"Aging Summary";#N/A,#N/A,FALSE,"Ratio Analysis";#N/A,#N/A,FALSE,"Test 120 Day Accts";#N/A,#N/A,FALSE,"Tickmarks"}</definedName>
    <definedName name="lku" localSheetId="15" hidden="1">{#N/A,#N/A,FALSE,"Aging Summary";#N/A,#N/A,FALSE,"Ratio Analysis";#N/A,#N/A,FALSE,"Test 120 Day Accts";#N/A,#N/A,FALSE,"Tickmarks"}</definedName>
    <definedName name="lku" localSheetId="17" hidden="1">{#N/A,#N/A,FALSE,"Aging Summary";#N/A,#N/A,FALSE,"Ratio Analysis";#N/A,#N/A,FALSE,"Test 120 Day Accts";#N/A,#N/A,FALSE,"Tickmarks"}</definedName>
    <definedName name="lku" localSheetId="11" hidden="1">{#N/A,#N/A,FALSE,"Aging Summary";#N/A,#N/A,FALSE,"Ratio Analysis";#N/A,#N/A,FALSE,"Test 120 Day Accts";#N/A,#N/A,FALSE,"Tickmarks"}</definedName>
    <definedName name="lku" localSheetId="12" hidden="1">{#N/A,#N/A,FALSE,"Aging Summary";#N/A,#N/A,FALSE,"Ratio Analysis";#N/A,#N/A,FALSE,"Test 120 Day Accts";#N/A,#N/A,FALSE,"Tickmarks"}</definedName>
    <definedName name="lku" hidden="1">{#N/A,#N/A,FALSE,"Aging Summary";#N/A,#N/A,FALSE,"Ratio Analysis";#N/A,#N/A,FALSE,"Test 120 Day Accts";#N/A,#N/A,FALSE,"Tickmarks"}</definedName>
    <definedName name="lll" localSheetId="4" hidden="1">{#N/A,#N/A,FALSE,"Aging Summary";#N/A,#N/A,FALSE,"Ratio Analysis";#N/A,#N/A,FALSE,"Test 120 Day Accts";#N/A,#N/A,FALSE,"Tickmarks"}</definedName>
    <definedName name="lll" localSheetId="10" hidden="1">{#N/A,#N/A,FALSE,"Aging Summary";#N/A,#N/A,FALSE,"Ratio Analysis";#N/A,#N/A,FALSE,"Test 120 Day Accts";#N/A,#N/A,FALSE,"Tickmarks"}</definedName>
    <definedName name="lll" localSheetId="13" hidden="1">{#N/A,#N/A,FALSE,"Aging Summary";#N/A,#N/A,FALSE,"Ratio Analysis";#N/A,#N/A,FALSE,"Test 120 Day Accts";#N/A,#N/A,FALSE,"Tickmarks"}</definedName>
    <definedName name="lll" localSheetId="14" hidden="1">{#N/A,#N/A,FALSE,"Aging Summary";#N/A,#N/A,FALSE,"Ratio Analysis";#N/A,#N/A,FALSE,"Test 120 Day Accts";#N/A,#N/A,FALSE,"Tickmarks"}</definedName>
    <definedName name="lll" localSheetId="15" hidden="1">{#N/A,#N/A,FALSE,"Aging Summary";#N/A,#N/A,FALSE,"Ratio Analysis";#N/A,#N/A,FALSE,"Test 120 Day Accts";#N/A,#N/A,FALSE,"Tickmarks"}</definedName>
    <definedName name="lll" localSheetId="17" hidden="1">{#N/A,#N/A,FALSE,"Aging Summary";#N/A,#N/A,FALSE,"Ratio Analysis";#N/A,#N/A,FALSE,"Test 120 Day Accts";#N/A,#N/A,FALSE,"Tickmarks"}</definedName>
    <definedName name="lll" localSheetId="11" hidden="1">{#N/A,#N/A,FALSE,"Aging Summary";#N/A,#N/A,FALSE,"Ratio Analysis";#N/A,#N/A,FALSE,"Test 120 Day Accts";#N/A,#N/A,FALSE,"Tickmarks"}</definedName>
    <definedName name="lll" localSheetId="12" hidden="1">{#N/A,#N/A,FALSE,"Aging Summary";#N/A,#N/A,FALSE,"Ratio Analysis";#N/A,#N/A,FALSE,"Test 120 Day Accts";#N/A,#N/A,FALSE,"Tickmarks"}</definedName>
    <definedName name="lll" hidden="1">{#N/A,#N/A,FALSE,"Aging Summary";#N/A,#N/A,FALSE,"Ratio Analysis";#N/A,#N/A,FALSE,"Test 120 Day Accts";#N/A,#N/A,FALSE,"Tickmarks"}</definedName>
    <definedName name="oiu" localSheetId="4" hidden="1">{#N/A,#N/A,FALSE,"Aging Summary";#N/A,#N/A,FALSE,"Ratio Analysis";#N/A,#N/A,FALSE,"Test 120 Day Accts";#N/A,#N/A,FALSE,"Tickmarks"}</definedName>
    <definedName name="oiu" localSheetId="10" hidden="1">{#N/A,#N/A,FALSE,"Aging Summary";#N/A,#N/A,FALSE,"Ratio Analysis";#N/A,#N/A,FALSE,"Test 120 Day Accts";#N/A,#N/A,FALSE,"Tickmarks"}</definedName>
    <definedName name="oiu" localSheetId="13" hidden="1">{#N/A,#N/A,FALSE,"Aging Summary";#N/A,#N/A,FALSE,"Ratio Analysis";#N/A,#N/A,FALSE,"Test 120 Day Accts";#N/A,#N/A,FALSE,"Tickmarks"}</definedName>
    <definedName name="oiu" localSheetId="14" hidden="1">{#N/A,#N/A,FALSE,"Aging Summary";#N/A,#N/A,FALSE,"Ratio Analysis";#N/A,#N/A,FALSE,"Test 120 Day Accts";#N/A,#N/A,FALSE,"Tickmarks"}</definedName>
    <definedName name="oiu" localSheetId="15" hidden="1">{#N/A,#N/A,FALSE,"Aging Summary";#N/A,#N/A,FALSE,"Ratio Analysis";#N/A,#N/A,FALSE,"Test 120 Day Accts";#N/A,#N/A,FALSE,"Tickmarks"}</definedName>
    <definedName name="oiu" localSheetId="17" hidden="1">{#N/A,#N/A,FALSE,"Aging Summary";#N/A,#N/A,FALSE,"Ratio Analysis";#N/A,#N/A,FALSE,"Test 120 Day Accts";#N/A,#N/A,FALSE,"Tickmarks"}</definedName>
    <definedName name="oiu" localSheetId="11" hidden="1">{#N/A,#N/A,FALSE,"Aging Summary";#N/A,#N/A,FALSE,"Ratio Analysis";#N/A,#N/A,FALSE,"Test 120 Day Accts";#N/A,#N/A,FALSE,"Tickmarks"}</definedName>
    <definedName name="oiu" localSheetId="12" hidden="1">{#N/A,#N/A,FALSE,"Aging Summary";#N/A,#N/A,FALSE,"Ratio Analysis";#N/A,#N/A,FALSE,"Test 120 Day Accts";#N/A,#N/A,FALSE,"Tickmarks"}</definedName>
    <definedName name="oiu" hidden="1">{#N/A,#N/A,FALSE,"Aging Summary";#N/A,#N/A,FALSE,"Ratio Analysis";#N/A,#N/A,FALSE,"Test 120 Day Accts";#N/A,#N/A,FALSE,"Tickmarks"}</definedName>
    <definedName name="op" localSheetId="4" hidden="1">{#N/A,#N/A,FALSE,"Aging Summary";#N/A,#N/A,FALSE,"Ratio Analysis";#N/A,#N/A,FALSE,"Test 120 Day Accts";#N/A,#N/A,FALSE,"Tickmarks"}</definedName>
    <definedName name="op" localSheetId="10" hidden="1">{#N/A,#N/A,FALSE,"Aging Summary";#N/A,#N/A,FALSE,"Ratio Analysis";#N/A,#N/A,FALSE,"Test 120 Day Accts";#N/A,#N/A,FALSE,"Tickmarks"}</definedName>
    <definedName name="op" localSheetId="13" hidden="1">{#N/A,#N/A,FALSE,"Aging Summary";#N/A,#N/A,FALSE,"Ratio Analysis";#N/A,#N/A,FALSE,"Test 120 Day Accts";#N/A,#N/A,FALSE,"Tickmarks"}</definedName>
    <definedName name="op" localSheetId="14" hidden="1">{#N/A,#N/A,FALSE,"Aging Summary";#N/A,#N/A,FALSE,"Ratio Analysis";#N/A,#N/A,FALSE,"Test 120 Day Accts";#N/A,#N/A,FALSE,"Tickmarks"}</definedName>
    <definedName name="op" localSheetId="15" hidden="1">{#N/A,#N/A,FALSE,"Aging Summary";#N/A,#N/A,FALSE,"Ratio Analysis";#N/A,#N/A,FALSE,"Test 120 Day Accts";#N/A,#N/A,FALSE,"Tickmarks"}</definedName>
    <definedName name="op" localSheetId="17" hidden="1">{#N/A,#N/A,FALSE,"Aging Summary";#N/A,#N/A,FALSE,"Ratio Analysis";#N/A,#N/A,FALSE,"Test 120 Day Accts";#N/A,#N/A,FALSE,"Tickmarks"}</definedName>
    <definedName name="op" localSheetId="11" hidden="1">{#N/A,#N/A,FALSE,"Aging Summary";#N/A,#N/A,FALSE,"Ratio Analysis";#N/A,#N/A,FALSE,"Test 120 Day Accts";#N/A,#N/A,FALSE,"Tickmarks"}</definedName>
    <definedName name="op" localSheetId="12" hidden="1">{#N/A,#N/A,FALSE,"Aging Summary";#N/A,#N/A,FALSE,"Ratio Analysis";#N/A,#N/A,FALSE,"Test 120 Day Accts";#N/A,#N/A,FALSE,"Tickmarks"}</definedName>
    <definedName name="op" hidden="1">{#N/A,#N/A,FALSE,"Aging Summary";#N/A,#N/A,FALSE,"Ratio Analysis";#N/A,#N/A,FALSE,"Test 120 Day Accts";#N/A,#N/A,FALSE,"Tickmarks"}</definedName>
    <definedName name="p" localSheetId="4" hidden="1">{#N/A,#N/A,FALSE,"Aging Summary";#N/A,#N/A,FALSE,"Ratio Analysis";#N/A,#N/A,FALSE,"Test 120 Day Accts";#N/A,#N/A,FALSE,"Tickmarks"}</definedName>
    <definedName name="p" localSheetId="10" hidden="1">{#N/A,#N/A,FALSE,"Aging Summary";#N/A,#N/A,FALSE,"Ratio Analysis";#N/A,#N/A,FALSE,"Test 120 Day Accts";#N/A,#N/A,FALSE,"Tickmarks"}</definedName>
    <definedName name="p" localSheetId="13" hidden="1">{#N/A,#N/A,FALSE,"Aging Summary";#N/A,#N/A,FALSE,"Ratio Analysis";#N/A,#N/A,FALSE,"Test 120 Day Accts";#N/A,#N/A,FALSE,"Tickmarks"}</definedName>
    <definedName name="p" localSheetId="14" hidden="1">{#N/A,#N/A,FALSE,"Aging Summary";#N/A,#N/A,FALSE,"Ratio Analysis";#N/A,#N/A,FALSE,"Test 120 Day Accts";#N/A,#N/A,FALSE,"Tickmarks"}</definedName>
    <definedName name="p" localSheetId="15" hidden="1">{#N/A,#N/A,FALSE,"Aging Summary";#N/A,#N/A,FALSE,"Ratio Analysis";#N/A,#N/A,FALSE,"Test 120 Day Accts";#N/A,#N/A,FALSE,"Tickmarks"}</definedName>
    <definedName name="p" localSheetId="17" hidden="1">{#N/A,#N/A,FALSE,"Aging Summary";#N/A,#N/A,FALSE,"Ratio Analysis";#N/A,#N/A,FALSE,"Test 120 Day Accts";#N/A,#N/A,FALSE,"Tickmarks"}</definedName>
    <definedName name="p" localSheetId="11" hidden="1">{#N/A,#N/A,FALSE,"Aging Summary";#N/A,#N/A,FALSE,"Ratio Analysis";#N/A,#N/A,FALSE,"Test 120 Day Accts";#N/A,#N/A,FALSE,"Tickmarks"}</definedName>
    <definedName name="p" localSheetId="12" hidden="1">{#N/A,#N/A,FALSE,"Aging Summary";#N/A,#N/A,FALSE,"Ratio Analysis";#N/A,#N/A,FALSE,"Test 120 Day Accts";#N/A,#N/A,FALSE,"Tickmarks"}</definedName>
    <definedName name="p" hidden="1">{#N/A,#N/A,FALSE,"Aging Summary";#N/A,#N/A,FALSE,"Ratio Analysis";#N/A,#N/A,FALSE,"Test 120 Day Accts";#N/A,#N/A,FALSE,"Tickmarks"}</definedName>
    <definedName name="paul" localSheetId="8" hidden="1">#REF!</definedName>
    <definedName name="paul" localSheetId="13" hidden="1">#REF!</definedName>
    <definedName name="paul" localSheetId="15" hidden="1">#REF!</definedName>
    <definedName name="paul" localSheetId="11" hidden="1">#REF!</definedName>
    <definedName name="paul" hidden="1">#REF!</definedName>
    <definedName name="pesc1" localSheetId="4" hidden="1">{#N/A,#N/A,FALSE,"Aging Summary";#N/A,#N/A,FALSE,"Ratio Analysis";#N/A,#N/A,FALSE,"Test 120 Day Accts";#N/A,#N/A,FALSE,"Tickmarks"}</definedName>
    <definedName name="pesc1" localSheetId="10" hidden="1">{#N/A,#N/A,FALSE,"Aging Summary";#N/A,#N/A,FALSE,"Ratio Analysis";#N/A,#N/A,FALSE,"Test 120 Day Accts";#N/A,#N/A,FALSE,"Tickmarks"}</definedName>
    <definedName name="pesc1" localSheetId="13" hidden="1">{#N/A,#N/A,FALSE,"Aging Summary";#N/A,#N/A,FALSE,"Ratio Analysis";#N/A,#N/A,FALSE,"Test 120 Day Accts";#N/A,#N/A,FALSE,"Tickmarks"}</definedName>
    <definedName name="pesc1" localSheetId="14" hidden="1">{#N/A,#N/A,FALSE,"Aging Summary";#N/A,#N/A,FALSE,"Ratio Analysis";#N/A,#N/A,FALSE,"Test 120 Day Accts";#N/A,#N/A,FALSE,"Tickmarks"}</definedName>
    <definedName name="pesc1" localSheetId="15" hidden="1">{#N/A,#N/A,FALSE,"Aging Summary";#N/A,#N/A,FALSE,"Ratio Analysis";#N/A,#N/A,FALSE,"Test 120 Day Accts";#N/A,#N/A,FALSE,"Tickmarks"}</definedName>
    <definedName name="pesc1" localSheetId="17" hidden="1">{#N/A,#N/A,FALSE,"Aging Summary";#N/A,#N/A,FALSE,"Ratio Analysis";#N/A,#N/A,FALSE,"Test 120 Day Accts";#N/A,#N/A,FALSE,"Tickmarks"}</definedName>
    <definedName name="pesc1" localSheetId="11" hidden="1">{#N/A,#N/A,FALSE,"Aging Summary";#N/A,#N/A,FALSE,"Ratio Analysis";#N/A,#N/A,FALSE,"Test 120 Day Accts";#N/A,#N/A,FALSE,"Tickmarks"}</definedName>
    <definedName name="pesc1" localSheetId="12" hidden="1">{#N/A,#N/A,FALSE,"Aging Summary";#N/A,#N/A,FALSE,"Ratio Analysis";#N/A,#N/A,FALSE,"Test 120 Day Accts";#N/A,#N/A,FALSE,"Tickmarks"}</definedName>
    <definedName name="pesc1" hidden="1">{#N/A,#N/A,FALSE,"Aging Summary";#N/A,#N/A,FALSE,"Ratio Analysis";#N/A,#N/A,FALSE,"Test 120 Day Accts";#N/A,#N/A,FALSE,"Tickmarks"}</definedName>
    <definedName name="ppp" localSheetId="4" hidden="1">{#N/A,#N/A,FALSE,"Aging Summary";#N/A,#N/A,FALSE,"Ratio Analysis";#N/A,#N/A,FALSE,"Test 120 Day Accts";#N/A,#N/A,FALSE,"Tickmarks"}</definedName>
    <definedName name="ppp" localSheetId="10" hidden="1">{#N/A,#N/A,FALSE,"Aging Summary";#N/A,#N/A,FALSE,"Ratio Analysis";#N/A,#N/A,FALSE,"Test 120 Day Accts";#N/A,#N/A,FALSE,"Tickmarks"}</definedName>
    <definedName name="ppp" localSheetId="13" hidden="1">{#N/A,#N/A,FALSE,"Aging Summary";#N/A,#N/A,FALSE,"Ratio Analysis";#N/A,#N/A,FALSE,"Test 120 Day Accts";#N/A,#N/A,FALSE,"Tickmarks"}</definedName>
    <definedName name="ppp" localSheetId="14" hidden="1">{#N/A,#N/A,FALSE,"Aging Summary";#N/A,#N/A,FALSE,"Ratio Analysis";#N/A,#N/A,FALSE,"Test 120 Day Accts";#N/A,#N/A,FALSE,"Tickmarks"}</definedName>
    <definedName name="ppp" localSheetId="15" hidden="1">{#N/A,#N/A,FALSE,"Aging Summary";#N/A,#N/A,FALSE,"Ratio Analysis";#N/A,#N/A,FALSE,"Test 120 Day Accts";#N/A,#N/A,FALSE,"Tickmarks"}</definedName>
    <definedName name="ppp" localSheetId="17" hidden="1">{#N/A,#N/A,FALSE,"Aging Summary";#N/A,#N/A,FALSE,"Ratio Analysis";#N/A,#N/A,FALSE,"Test 120 Day Accts";#N/A,#N/A,FALSE,"Tickmarks"}</definedName>
    <definedName name="ppp" localSheetId="11" hidden="1">{#N/A,#N/A,FALSE,"Aging Summary";#N/A,#N/A,FALSE,"Ratio Analysis";#N/A,#N/A,FALSE,"Test 120 Day Accts";#N/A,#N/A,FALSE,"Tickmarks"}</definedName>
    <definedName name="ppp" localSheetId="12" hidden="1">{#N/A,#N/A,FALSE,"Aging Summary";#N/A,#N/A,FALSE,"Ratio Analysis";#N/A,#N/A,FALSE,"Test 120 Day Accts";#N/A,#N/A,FALSE,"Tickmarks"}</definedName>
    <definedName name="ppp" hidden="1">{#N/A,#N/A,FALSE,"Aging Summary";#N/A,#N/A,FALSE,"Ratio Analysis";#N/A,#N/A,FALSE,"Test 120 Day Accts";#N/A,#N/A,FALSE,"Tickmarks"}</definedName>
    <definedName name="_xlnm.Print_Area" localSheetId="2">'PEF - 2 - Page 3 Rev Reqt'!$A$1:$L$67</definedName>
    <definedName name="_xlnm.Print_Area" localSheetId="3">'PEF - 2 - Page 4 Support'!$A$1:$K$56</definedName>
    <definedName name="_xlnm.Print_Area" localSheetId="4">'PEF - 2 - Page 5 Storm, Notes'!$A$1:$L$93</definedName>
    <definedName name="_xlnm.Print_Area" localSheetId="5">'PEF - 2 - Page 6, PBOPs'!$A$1:$M$50</definedName>
    <definedName name="_xlnm.Print_Area" localSheetId="0">'PEF - 2 -Page 1 Summary'!$A$1:$L$45</definedName>
    <definedName name="_xlnm.Print_Area" localSheetId="1">'PEF - 2 Page 2 Rate Base'!$A$1:$P$90</definedName>
    <definedName name="_xlnm.Print_Area" localSheetId="7">'PEF - 3,  p2, 456 Rev Credits'!$A$1:$H$88</definedName>
    <definedName name="_xlnm.Print_Area" localSheetId="10">'PEF - 4, Order 2003 '!$A$1:$K$87</definedName>
    <definedName name="_xlnm.Print_Area" localSheetId="8">'PEF - 4, p1 Step Ups'!$A$1:$J$62</definedName>
    <definedName name="_xlnm.Print_Area" localSheetId="9">'PEF - 4, p2 Step Ups '!$A$1:$J$82</definedName>
    <definedName name="_xlnm.Print_Area" localSheetId="13">'PEF - 5 p3 CY ADIT 190'!$A$1:$J$82</definedName>
    <definedName name="_xlnm.Print_Area" localSheetId="14">'PEF - 5 p4 CY ADIT 28x'!$A$1:$J$45</definedName>
    <definedName name="_xlnm.Print_Area" localSheetId="15">'PEF - 5A Unfunded Reserves'!$A$1:$O$31</definedName>
    <definedName name="_xlnm.Print_Area" localSheetId="16">'PEF - 6  p1, FF1 Inputs '!$A$1:$L$76</definedName>
    <definedName name="_xlnm.Print_Area" localSheetId="17">'PEF - 6 p2, Levelized Storm'!$A$1:$L$72</definedName>
    <definedName name="_xlnm.Print_Area" localSheetId="18">'PEF - 6 p3, Prepay Accting'!$A$1:$I$67</definedName>
    <definedName name="_xlnm.Print_Area" localSheetId="19">'PEF - 7, Retail Radials'!$A$1:$N$31</definedName>
    <definedName name="_xlnm.Print_Area" localSheetId="6">'PEF -3, p1, 454 Rev Credits'!$A$1:$H$33</definedName>
    <definedName name="_xlnm.Print_Area" localSheetId="11">'PEF -5 p1 PY ADIT 190'!$A$1:$J$78</definedName>
    <definedName name="_xlnm.Print_Area" localSheetId="12">'PEF -5 p2 PY ADIT 28x'!$A$1:$J$47</definedName>
    <definedName name="_xlnm.Print_Titles" localSheetId="10">'PEF - 4, Order 2003 '!$1:$11</definedName>
    <definedName name="_xlnm.Print_Titles" localSheetId="8">'PEF - 4, p1 Step Ups'!$1:$10</definedName>
    <definedName name="_xlnm.Print_Titles" localSheetId="9">'PEF - 4, p2 Step Ups '!$1:$10</definedName>
    <definedName name="ret" localSheetId="4" hidden="1">{#N/A,#N/A,FALSE,"Aging Summary";#N/A,#N/A,FALSE,"Ratio Analysis";#N/A,#N/A,FALSE,"Test 120 Day Accts";#N/A,#N/A,FALSE,"Tickmarks"}</definedName>
    <definedName name="ret" localSheetId="10" hidden="1">{#N/A,#N/A,FALSE,"Aging Summary";#N/A,#N/A,FALSE,"Ratio Analysis";#N/A,#N/A,FALSE,"Test 120 Day Accts";#N/A,#N/A,FALSE,"Tickmarks"}</definedName>
    <definedName name="ret" localSheetId="13" hidden="1">{#N/A,#N/A,FALSE,"Aging Summary";#N/A,#N/A,FALSE,"Ratio Analysis";#N/A,#N/A,FALSE,"Test 120 Day Accts";#N/A,#N/A,FALSE,"Tickmarks"}</definedName>
    <definedName name="ret" localSheetId="14" hidden="1">{#N/A,#N/A,FALSE,"Aging Summary";#N/A,#N/A,FALSE,"Ratio Analysis";#N/A,#N/A,FALSE,"Test 120 Day Accts";#N/A,#N/A,FALSE,"Tickmarks"}</definedName>
    <definedName name="ret" localSheetId="15" hidden="1">{#N/A,#N/A,FALSE,"Aging Summary";#N/A,#N/A,FALSE,"Ratio Analysis";#N/A,#N/A,FALSE,"Test 120 Day Accts";#N/A,#N/A,FALSE,"Tickmarks"}</definedName>
    <definedName name="ret" localSheetId="17" hidden="1">{#N/A,#N/A,FALSE,"Aging Summary";#N/A,#N/A,FALSE,"Ratio Analysis";#N/A,#N/A,FALSE,"Test 120 Day Accts";#N/A,#N/A,FALSE,"Tickmarks"}</definedName>
    <definedName name="ret" localSheetId="11" hidden="1">{#N/A,#N/A,FALSE,"Aging Summary";#N/A,#N/A,FALSE,"Ratio Analysis";#N/A,#N/A,FALSE,"Test 120 Day Accts";#N/A,#N/A,FALSE,"Tickmarks"}</definedName>
    <definedName name="ret" localSheetId="12" hidden="1">{#N/A,#N/A,FALSE,"Aging Summary";#N/A,#N/A,FALSE,"Ratio Analysis";#N/A,#N/A,FALSE,"Test 120 Day Accts";#N/A,#N/A,FALSE,"Tickmarks"}</definedName>
    <definedName name="ret" hidden="1">{#N/A,#N/A,FALSE,"Aging Summary";#N/A,#N/A,FALSE,"Ratio Analysis";#N/A,#N/A,FALSE,"Test 120 Day Accts";#N/A,#N/A,FALSE,"Tickmarks"}</definedName>
    <definedName name="rt" localSheetId="4" hidden="1">{#N/A,#N/A,FALSE,"Aging Summary";#N/A,#N/A,FALSE,"Ratio Analysis";#N/A,#N/A,FALSE,"Test 120 Day Accts";#N/A,#N/A,FALSE,"Tickmarks"}</definedName>
    <definedName name="rt" localSheetId="10" hidden="1">{#N/A,#N/A,FALSE,"Aging Summary";#N/A,#N/A,FALSE,"Ratio Analysis";#N/A,#N/A,FALSE,"Test 120 Day Accts";#N/A,#N/A,FALSE,"Tickmarks"}</definedName>
    <definedName name="rt" localSheetId="13" hidden="1">{#N/A,#N/A,FALSE,"Aging Summary";#N/A,#N/A,FALSE,"Ratio Analysis";#N/A,#N/A,FALSE,"Test 120 Day Accts";#N/A,#N/A,FALSE,"Tickmarks"}</definedName>
    <definedName name="rt" localSheetId="14" hidden="1">{#N/A,#N/A,FALSE,"Aging Summary";#N/A,#N/A,FALSE,"Ratio Analysis";#N/A,#N/A,FALSE,"Test 120 Day Accts";#N/A,#N/A,FALSE,"Tickmarks"}</definedName>
    <definedName name="rt" localSheetId="15" hidden="1">{#N/A,#N/A,FALSE,"Aging Summary";#N/A,#N/A,FALSE,"Ratio Analysis";#N/A,#N/A,FALSE,"Test 120 Day Accts";#N/A,#N/A,FALSE,"Tickmarks"}</definedName>
    <definedName name="rt" localSheetId="17" hidden="1">{#N/A,#N/A,FALSE,"Aging Summary";#N/A,#N/A,FALSE,"Ratio Analysis";#N/A,#N/A,FALSE,"Test 120 Day Accts";#N/A,#N/A,FALSE,"Tickmarks"}</definedName>
    <definedName name="rt" localSheetId="11" hidden="1">{#N/A,#N/A,FALSE,"Aging Summary";#N/A,#N/A,FALSE,"Ratio Analysis";#N/A,#N/A,FALSE,"Test 120 Day Accts";#N/A,#N/A,FALSE,"Tickmarks"}</definedName>
    <definedName name="rt" localSheetId="12" hidden="1">{#N/A,#N/A,FALSE,"Aging Summary";#N/A,#N/A,FALSE,"Ratio Analysis";#N/A,#N/A,FALSE,"Test 120 Day Accts";#N/A,#N/A,FALSE,"Tickmarks"}</definedName>
    <definedName name="rt" hidden="1">{#N/A,#N/A,FALSE,"Aging Summary";#N/A,#N/A,FALSE,"Ratio Analysis";#N/A,#N/A,FALSE,"Test 120 Day Accts";#N/A,#N/A,FALSE,"Tickmarks"}</definedName>
    <definedName name="temp" localSheetId="4" hidden="1">{#N/A,#N/A,FALSE,"Aging Summary";#N/A,#N/A,FALSE,"Ratio Analysis";#N/A,#N/A,FALSE,"Test 120 Day Accts";#N/A,#N/A,FALSE,"Tickmarks"}</definedName>
    <definedName name="temp" localSheetId="10" hidden="1">{#N/A,#N/A,FALSE,"Aging Summary";#N/A,#N/A,FALSE,"Ratio Analysis";#N/A,#N/A,FALSE,"Test 120 Day Accts";#N/A,#N/A,FALSE,"Tickmarks"}</definedName>
    <definedName name="temp" localSheetId="13" hidden="1">{#N/A,#N/A,FALSE,"Aging Summary";#N/A,#N/A,FALSE,"Ratio Analysis";#N/A,#N/A,FALSE,"Test 120 Day Accts";#N/A,#N/A,FALSE,"Tickmarks"}</definedName>
    <definedName name="temp" localSheetId="14" hidden="1">{#N/A,#N/A,FALSE,"Aging Summary";#N/A,#N/A,FALSE,"Ratio Analysis";#N/A,#N/A,FALSE,"Test 120 Day Accts";#N/A,#N/A,FALSE,"Tickmarks"}</definedName>
    <definedName name="temp" localSheetId="15" hidden="1">{#N/A,#N/A,FALSE,"Aging Summary";#N/A,#N/A,FALSE,"Ratio Analysis";#N/A,#N/A,FALSE,"Test 120 Day Accts";#N/A,#N/A,FALSE,"Tickmarks"}</definedName>
    <definedName name="temp" localSheetId="17" hidden="1">{#N/A,#N/A,FALSE,"Aging Summary";#N/A,#N/A,FALSE,"Ratio Analysis";#N/A,#N/A,FALSE,"Test 120 Day Accts";#N/A,#N/A,FALSE,"Tickmarks"}</definedName>
    <definedName name="temp" localSheetId="11" hidden="1">{#N/A,#N/A,FALSE,"Aging Summary";#N/A,#N/A,FALSE,"Ratio Analysis";#N/A,#N/A,FALSE,"Test 120 Day Accts";#N/A,#N/A,FALSE,"Tickmarks"}</definedName>
    <definedName name="temp" localSheetId="12" hidden="1">{#N/A,#N/A,FALSE,"Aging Summary";#N/A,#N/A,FALSE,"Ratio Analysis";#N/A,#N/A,FALSE,"Test 120 Day Accts";#N/A,#N/A,FALSE,"Tickmarks"}</definedName>
    <definedName name="temp" hidden="1">{#N/A,#N/A,FALSE,"Aging Summary";#N/A,#N/A,FALSE,"Ratio Analysis";#N/A,#N/A,FALSE,"Test 120 Day Accts";#N/A,#N/A,FALSE,"Tickmarks"}</definedName>
    <definedName name="TExp_ALLOC">'PEF - 2 - Page 4 Support'!$I$25</definedName>
    <definedName name="TP_ALLOC">'PEF - 2 - Page 4 Support'!$I$20</definedName>
    <definedName name="tre" localSheetId="4" hidden="1">{#N/A,#N/A,FALSE,"Aging Summary";#N/A,#N/A,FALSE,"Ratio Analysis";#N/A,#N/A,FALSE,"Test 120 Day Accts";#N/A,#N/A,FALSE,"Tickmarks"}</definedName>
    <definedName name="tre" localSheetId="10" hidden="1">{#N/A,#N/A,FALSE,"Aging Summary";#N/A,#N/A,FALSE,"Ratio Analysis";#N/A,#N/A,FALSE,"Test 120 Day Accts";#N/A,#N/A,FALSE,"Tickmarks"}</definedName>
    <definedName name="tre" localSheetId="13" hidden="1">{#N/A,#N/A,FALSE,"Aging Summary";#N/A,#N/A,FALSE,"Ratio Analysis";#N/A,#N/A,FALSE,"Test 120 Day Accts";#N/A,#N/A,FALSE,"Tickmarks"}</definedName>
    <definedName name="tre" localSheetId="14" hidden="1">{#N/A,#N/A,FALSE,"Aging Summary";#N/A,#N/A,FALSE,"Ratio Analysis";#N/A,#N/A,FALSE,"Test 120 Day Accts";#N/A,#N/A,FALSE,"Tickmarks"}</definedName>
    <definedName name="tre" localSheetId="15" hidden="1">{#N/A,#N/A,FALSE,"Aging Summary";#N/A,#N/A,FALSE,"Ratio Analysis";#N/A,#N/A,FALSE,"Test 120 Day Accts";#N/A,#N/A,FALSE,"Tickmarks"}</definedName>
    <definedName name="tre" localSheetId="17" hidden="1">{#N/A,#N/A,FALSE,"Aging Summary";#N/A,#N/A,FALSE,"Ratio Analysis";#N/A,#N/A,FALSE,"Test 120 Day Accts";#N/A,#N/A,FALSE,"Tickmarks"}</definedName>
    <definedName name="tre" localSheetId="11" hidden="1">{#N/A,#N/A,FALSE,"Aging Summary";#N/A,#N/A,FALSE,"Ratio Analysis";#N/A,#N/A,FALSE,"Test 120 Day Accts";#N/A,#N/A,FALSE,"Tickmarks"}</definedName>
    <definedName name="tre" localSheetId="12" hidden="1">{#N/A,#N/A,FALSE,"Aging Summary";#N/A,#N/A,FALSE,"Ratio Analysis";#N/A,#N/A,FALSE,"Test 120 Day Accts";#N/A,#N/A,FALSE,"Tickmarks"}</definedName>
    <definedName name="tre" hidden="1">{#N/A,#N/A,FALSE,"Aging Summary";#N/A,#N/A,FALSE,"Ratio Analysis";#N/A,#N/A,FALSE,"Test 120 Day Accts";#N/A,#N/A,FALSE,"Tickmarks"}</definedName>
    <definedName name="WACC">'[2]Port Value - Monthly'!$B$7</definedName>
    <definedName name="wrn.Aging._.and._.Trend._.Analysis." localSheetId="4"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14" hidden="1">{#N/A,#N/A,FALSE,"Aging Summary";#N/A,#N/A,FALSE,"Ratio Analysis";#N/A,#N/A,FALSE,"Test 120 Day Accts";#N/A,#N/A,FALSE,"Tickmarks"}</definedName>
    <definedName name="wrn.Aging._.and._.Trend._.Analysis." localSheetId="15"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11"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tyu" localSheetId="4" hidden="1">{#N/A,#N/A,FALSE,"Aging Summary";#N/A,#N/A,FALSE,"Ratio Analysis";#N/A,#N/A,FALSE,"Test 120 Day Accts";#N/A,#N/A,FALSE,"Tickmarks"}</definedName>
    <definedName name="wtyu" localSheetId="10" hidden="1">{#N/A,#N/A,FALSE,"Aging Summary";#N/A,#N/A,FALSE,"Ratio Analysis";#N/A,#N/A,FALSE,"Test 120 Day Accts";#N/A,#N/A,FALSE,"Tickmarks"}</definedName>
    <definedName name="wtyu" localSheetId="13" hidden="1">{#N/A,#N/A,FALSE,"Aging Summary";#N/A,#N/A,FALSE,"Ratio Analysis";#N/A,#N/A,FALSE,"Test 120 Day Accts";#N/A,#N/A,FALSE,"Tickmarks"}</definedName>
    <definedName name="wtyu" localSheetId="14" hidden="1">{#N/A,#N/A,FALSE,"Aging Summary";#N/A,#N/A,FALSE,"Ratio Analysis";#N/A,#N/A,FALSE,"Test 120 Day Accts";#N/A,#N/A,FALSE,"Tickmarks"}</definedName>
    <definedName name="wtyu" localSheetId="15" hidden="1">{#N/A,#N/A,FALSE,"Aging Summary";#N/A,#N/A,FALSE,"Ratio Analysis";#N/A,#N/A,FALSE,"Test 120 Day Accts";#N/A,#N/A,FALSE,"Tickmarks"}</definedName>
    <definedName name="wtyu" localSheetId="17" hidden="1">{#N/A,#N/A,FALSE,"Aging Summary";#N/A,#N/A,FALSE,"Ratio Analysis";#N/A,#N/A,FALSE,"Test 120 Day Accts";#N/A,#N/A,FALSE,"Tickmarks"}</definedName>
    <definedName name="wtyu" localSheetId="11" hidden="1">{#N/A,#N/A,FALSE,"Aging Summary";#N/A,#N/A,FALSE,"Ratio Analysis";#N/A,#N/A,FALSE,"Test 120 Day Accts";#N/A,#N/A,FALSE,"Tickmarks"}</definedName>
    <definedName name="wtyu" localSheetId="12" hidden="1">{#N/A,#N/A,FALSE,"Aging Summary";#N/A,#N/A,FALSE,"Ratio Analysis";#N/A,#N/A,FALSE,"Test 120 Day Accts";#N/A,#N/A,FALSE,"Tickmarks"}</definedName>
    <definedName name="wtyu" hidden="1">{#N/A,#N/A,FALSE,"Aging Summary";#N/A,#N/A,FALSE,"Ratio Analysis";#N/A,#N/A,FALSE,"Test 120 Day Accts";#N/A,#N/A,FALSE,"Tickmarks"}</definedName>
    <definedName name="XRefActiveRow" localSheetId="8" hidden="1">#REF!</definedName>
    <definedName name="XRefActiveRow" localSheetId="13" hidden="1">#REF!</definedName>
    <definedName name="XRefActiveRow" localSheetId="15" hidden="1">#REF!</definedName>
    <definedName name="XRefActiveRow" localSheetId="11" hidden="1">#REF!</definedName>
    <definedName name="XRefActiveRow" hidden="1">#REF!</definedName>
    <definedName name="XRefColumnsCount" hidden="1">3</definedName>
    <definedName name="XRefCopy1Row" localSheetId="8" hidden="1">#REF!</definedName>
    <definedName name="XRefCopy1Row" localSheetId="13" hidden="1">#REF!</definedName>
    <definedName name="XRefCopy1Row" localSheetId="15" hidden="1">#REF!</definedName>
    <definedName name="XRefCopy1Row" localSheetId="11" hidden="1">#REF!</definedName>
    <definedName name="XRefCopy1Row" hidden="1">#REF!</definedName>
    <definedName name="XRefCopy2Row" localSheetId="8" hidden="1">#REF!</definedName>
    <definedName name="XRefCopy2Row" localSheetId="13" hidden="1">#REF!</definedName>
    <definedName name="XRefCopy2Row" localSheetId="15" hidden="1">#REF!</definedName>
    <definedName name="XRefCopy2Row" localSheetId="11" hidden="1">#REF!</definedName>
    <definedName name="XRefCopy2Row" hidden="1">#REF!</definedName>
    <definedName name="XRefCopy3Row" localSheetId="8" hidden="1">#REF!</definedName>
    <definedName name="XRefCopy3Row" localSheetId="13" hidden="1">#REF!</definedName>
    <definedName name="XRefCopy3Row" localSheetId="15" hidden="1">#REF!</definedName>
    <definedName name="XRefCopy3Row" localSheetId="11" hidden="1">#REF!</definedName>
    <definedName name="XRefCopy3Row" hidden="1">#REF!</definedName>
    <definedName name="XRefCopyRangeCount" hidden="1">3</definedName>
    <definedName name="XRefPaste1Row" localSheetId="8" hidden="1">#REF!</definedName>
    <definedName name="XRefPaste1Row" localSheetId="13" hidden="1">#REF!</definedName>
    <definedName name="XRefPaste1Row" localSheetId="15" hidden="1">#REF!</definedName>
    <definedName name="XRefPaste1Row" localSheetId="11" hidden="1">#REF!</definedName>
    <definedName name="XRefPaste1Row" hidden="1">#REF!</definedName>
    <definedName name="XRefPaste2Row" localSheetId="8" hidden="1">#REF!</definedName>
    <definedName name="XRefPaste2Row" localSheetId="13" hidden="1">#REF!</definedName>
    <definedName name="XRefPaste2Row" localSheetId="15" hidden="1">#REF!</definedName>
    <definedName name="XRefPaste2Row" localSheetId="11" hidden="1">#REF!</definedName>
    <definedName name="XRefPaste2Row" hidden="1">#REF!</definedName>
    <definedName name="XRefPasteRangeCount" hidden="1">2</definedName>
    <definedName name="y" localSheetId="4" hidden="1">{#N/A,#N/A,FALSE,"Aging Summary";#N/A,#N/A,FALSE,"Ratio Analysis";#N/A,#N/A,FALSE,"Test 120 Day Accts";#N/A,#N/A,FALSE,"Tickmarks"}</definedName>
    <definedName name="y" localSheetId="10" hidden="1">{#N/A,#N/A,FALSE,"Aging Summary";#N/A,#N/A,FALSE,"Ratio Analysis";#N/A,#N/A,FALSE,"Test 120 Day Accts";#N/A,#N/A,FALSE,"Tickmarks"}</definedName>
    <definedName name="y" localSheetId="13" hidden="1">{#N/A,#N/A,FALSE,"Aging Summary";#N/A,#N/A,FALSE,"Ratio Analysis";#N/A,#N/A,FALSE,"Test 120 Day Accts";#N/A,#N/A,FALSE,"Tickmarks"}</definedName>
    <definedName name="y" localSheetId="14" hidden="1">{#N/A,#N/A,FALSE,"Aging Summary";#N/A,#N/A,FALSE,"Ratio Analysis";#N/A,#N/A,FALSE,"Test 120 Day Accts";#N/A,#N/A,FALSE,"Tickmarks"}</definedName>
    <definedName name="y" localSheetId="15" hidden="1">{#N/A,#N/A,FALSE,"Aging Summary";#N/A,#N/A,FALSE,"Ratio Analysis";#N/A,#N/A,FALSE,"Test 120 Day Accts";#N/A,#N/A,FALSE,"Tickmarks"}</definedName>
    <definedName name="y" localSheetId="17" hidden="1">{#N/A,#N/A,FALSE,"Aging Summary";#N/A,#N/A,FALSE,"Ratio Analysis";#N/A,#N/A,FALSE,"Test 120 Day Accts";#N/A,#N/A,FALSE,"Tickmarks"}</definedName>
    <definedName name="y" localSheetId="11" hidden="1">{#N/A,#N/A,FALSE,"Aging Summary";#N/A,#N/A,FALSE,"Ratio Analysis";#N/A,#N/A,FALSE,"Test 120 Day Accts";#N/A,#N/A,FALSE,"Tickmarks"}</definedName>
    <definedName name="y" localSheetId="12" hidden="1">{#N/A,#N/A,FALSE,"Aging Summary";#N/A,#N/A,FALSE,"Ratio Analysis";#N/A,#N/A,FALSE,"Test 120 Day Accts";#N/A,#N/A,FALSE,"Tickmarks"}</definedName>
    <definedName name="y" hidden="1">{#N/A,#N/A,FALSE,"Aging Summary";#N/A,#N/A,FALSE,"Ratio Analysis";#N/A,#N/A,FALSE,"Test 120 Day Accts";#N/A,#N/A,FALSE,"Tickmarks"}</definedName>
    <definedName name="YR">'PEF - 2 -Page 1 Summary'!$O$2</definedName>
  </definedNames>
  <calcPr calcId="125725"/>
</workbook>
</file>

<file path=xl/calcChain.xml><?xml version="1.0" encoding="utf-8"?>
<calcChain xmlns="http://schemas.openxmlformats.org/spreadsheetml/2006/main">
  <c r="N29" i="12"/>
  <c r="N26"/>
  <c r="N25"/>
  <c r="O29" l="1"/>
  <c r="J57" s="1"/>
  <c r="O26"/>
  <c r="J28" s="1"/>
  <c r="O25"/>
  <c r="J73" s="1"/>
  <c r="M17" i="3" l="1"/>
  <c r="D19" i="21"/>
  <c r="A46" i="14" l="1"/>
  <c r="M3" i="33" l="1"/>
  <c r="G41" i="28"/>
  <c r="G38"/>
  <c r="G37"/>
  <c r="G36"/>
  <c r="G35"/>
  <c r="G34"/>
  <c r="G30"/>
  <c r="G29"/>
  <c r="G28"/>
  <c r="G26"/>
  <c r="G25"/>
  <c r="G24"/>
  <c r="G23"/>
  <c r="G22"/>
  <c r="G21"/>
  <c r="G17"/>
  <c r="G16"/>
  <c r="G12"/>
  <c r="G78" i="39"/>
  <c r="G77"/>
  <c r="G76"/>
  <c r="G74"/>
  <c r="G63"/>
  <c r="G62"/>
  <c r="G61"/>
  <c r="G60"/>
  <c r="G59"/>
  <c r="G50"/>
  <c r="G49"/>
  <c r="G48"/>
  <c r="G47"/>
  <c r="G46"/>
  <c r="G45"/>
  <c r="G43"/>
  <c r="G40"/>
  <c r="G39"/>
  <c r="G38"/>
  <c r="G34"/>
  <c r="G33"/>
  <c r="G32"/>
  <c r="G27"/>
  <c r="G25"/>
  <c r="G24"/>
  <c r="G23"/>
  <c r="G21"/>
  <c r="G16"/>
  <c r="G14"/>
  <c r="G13"/>
  <c r="G12"/>
  <c r="G41" i="21"/>
  <c r="G40"/>
  <c r="G39"/>
  <c r="G38"/>
  <c r="G36"/>
  <c r="G35"/>
  <c r="G34"/>
  <c r="G33"/>
  <c r="G32"/>
  <c r="G30"/>
  <c r="G29"/>
  <c r="G28"/>
  <c r="G27"/>
  <c r="G26"/>
  <c r="G25"/>
  <c r="G24"/>
  <c r="G23"/>
  <c r="G22"/>
  <c r="G21"/>
  <c r="G17"/>
  <c r="G16"/>
  <c r="G12"/>
  <c r="G23" i="37"/>
  <c r="G24"/>
  <c r="G25"/>
  <c r="G27"/>
  <c r="G29"/>
  <c r="G30"/>
  <c r="G34"/>
  <c r="G35"/>
  <c r="G36"/>
  <c r="G39"/>
  <c r="G41"/>
  <c r="G42"/>
  <c r="G43"/>
  <c r="G44"/>
  <c r="G45"/>
  <c r="G46"/>
  <c r="G55"/>
  <c r="G56"/>
  <c r="G57"/>
  <c r="G58"/>
  <c r="G69"/>
  <c r="G71"/>
  <c r="G73"/>
  <c r="G74"/>
  <c r="G75"/>
  <c r="G13"/>
  <c r="G14"/>
  <c r="G16"/>
  <c r="G21"/>
  <c r="G12"/>
  <c r="R15" i="3"/>
  <c r="I17" l="1"/>
  <c r="N20"/>
  <c r="M18"/>
  <c r="F42" i="5"/>
  <c r="F19"/>
  <c r="P28"/>
  <c r="F69" i="4"/>
  <c r="F58"/>
  <c r="P67" i="12"/>
  <c r="O67"/>
  <c r="P66"/>
  <c r="O66"/>
  <c r="P64"/>
  <c r="H52" i="4"/>
  <c r="F52"/>
  <c r="J23" i="12"/>
  <c r="H23"/>
  <c r="O20"/>
  <c r="O19"/>
  <c r="P19" s="1"/>
  <c r="P20" s="1"/>
  <c r="J52" i="4" l="1"/>
  <c r="H25" i="12"/>
  <c r="H22"/>
  <c r="J65"/>
  <c r="J62"/>
  <c r="J48"/>
  <c r="J27"/>
  <c r="J26"/>
  <c r="J25"/>
  <c r="J22"/>
  <c r="J18"/>
  <c r="G29" i="35"/>
  <c r="E29"/>
  <c r="I28"/>
  <c r="G24"/>
  <c r="I24" s="1"/>
  <c r="I23"/>
  <c r="I22"/>
  <c r="G21"/>
  <c r="I21" s="1"/>
  <c r="G20"/>
  <c r="I20" s="1"/>
  <c r="I19"/>
  <c r="E18"/>
  <c r="I18" s="1"/>
  <c r="I17"/>
  <c r="I16"/>
  <c r="I15"/>
  <c r="I25" s="1"/>
  <c r="D10" i="28"/>
  <c r="D43"/>
  <c r="I41"/>
  <c r="I38"/>
  <c r="I37"/>
  <c r="I36"/>
  <c r="I35"/>
  <c r="I34"/>
  <c r="I30"/>
  <c r="I29"/>
  <c r="I28"/>
  <c r="I26"/>
  <c r="I25"/>
  <c r="I24"/>
  <c r="I23"/>
  <c r="I22"/>
  <c r="I21"/>
  <c r="D19"/>
  <c r="I17"/>
  <c r="I16"/>
  <c r="I12"/>
  <c r="D82" i="39"/>
  <c r="I78"/>
  <c r="I77"/>
  <c r="I76"/>
  <c r="I74"/>
  <c r="D71"/>
  <c r="I63"/>
  <c r="I62"/>
  <c r="I61"/>
  <c r="I60"/>
  <c r="I59"/>
  <c r="I50"/>
  <c r="I49"/>
  <c r="I48"/>
  <c r="I47"/>
  <c r="I46"/>
  <c r="I45"/>
  <c r="I43"/>
  <c r="I40"/>
  <c r="I39"/>
  <c r="I38"/>
  <c r="I34"/>
  <c r="I33"/>
  <c r="I32"/>
  <c r="I27"/>
  <c r="I25"/>
  <c r="I24"/>
  <c r="I23"/>
  <c r="I21"/>
  <c r="I16"/>
  <c r="I14"/>
  <c r="I13"/>
  <c r="I12"/>
  <c r="D10"/>
  <c r="D45" i="21"/>
  <c r="I41"/>
  <c r="I40"/>
  <c r="I39"/>
  <c r="I38"/>
  <c r="I36"/>
  <c r="I35"/>
  <c r="I34"/>
  <c r="I33"/>
  <c r="I32"/>
  <c r="I30"/>
  <c r="I29"/>
  <c r="I28"/>
  <c r="I27"/>
  <c r="I26"/>
  <c r="I25"/>
  <c r="I24"/>
  <c r="I23"/>
  <c r="I22"/>
  <c r="I21"/>
  <c r="I17"/>
  <c r="I16"/>
  <c r="I12"/>
  <c r="D10"/>
  <c r="I3"/>
  <c r="I3" i="37"/>
  <c r="I75"/>
  <c r="I74"/>
  <c r="D73"/>
  <c r="I71"/>
  <c r="D69"/>
  <c r="I58"/>
  <c r="I57"/>
  <c r="I56"/>
  <c r="I55"/>
  <c r="I46"/>
  <c r="I45"/>
  <c r="I44"/>
  <c r="I43"/>
  <c r="I42"/>
  <c r="I41"/>
  <c r="I39"/>
  <c r="I36"/>
  <c r="I35"/>
  <c r="I34"/>
  <c r="I30"/>
  <c r="I29"/>
  <c r="I27"/>
  <c r="I25"/>
  <c r="I24"/>
  <c r="I23"/>
  <c r="I21"/>
  <c r="I16"/>
  <c r="I14"/>
  <c r="I13"/>
  <c r="I12"/>
  <c r="D10"/>
  <c r="H85" i="26"/>
  <c r="F85"/>
  <c r="J83"/>
  <c r="J81"/>
  <c r="J79"/>
  <c r="J77"/>
  <c r="J75"/>
  <c r="G79" i="11"/>
  <c r="G75"/>
  <c r="G76" s="1"/>
  <c r="G70"/>
  <c r="G71" s="1"/>
  <c r="G54"/>
  <c r="G55" s="1"/>
  <c r="G50"/>
  <c r="G45"/>
  <c r="G40"/>
  <c r="G26"/>
  <c r="G31" s="1"/>
  <c r="G20"/>
  <c r="G17"/>
  <c r="G23" s="1"/>
  <c r="G59" i="36"/>
  <c r="G56"/>
  <c r="G45"/>
  <c r="G39"/>
  <c r="G38"/>
  <c r="G41" s="1"/>
  <c r="G34"/>
  <c r="G32"/>
  <c r="G36" s="1"/>
  <c r="G25"/>
  <c r="G24"/>
  <c r="G23"/>
  <c r="G22"/>
  <c r="G29" s="1"/>
  <c r="G21"/>
  <c r="G19"/>
  <c r="G14"/>
  <c r="G12"/>
  <c r="G15" s="1"/>
  <c r="G88" i="2"/>
  <c r="G81"/>
  <c r="G80"/>
  <c r="G78"/>
  <c r="D31" i="22"/>
  <c r="F25"/>
  <c r="F17"/>
  <c r="F16"/>
  <c r="F15"/>
  <c r="F13"/>
  <c r="F12"/>
  <c r="G50" i="14"/>
  <c r="K3" i="12"/>
  <c r="I3" i="36" s="1"/>
  <c r="P3" i="8"/>
  <c r="P2"/>
  <c r="I3" i="28" l="1"/>
  <c r="I3" i="39"/>
  <c r="G25" i="35"/>
  <c r="G31" s="1"/>
  <c r="E25"/>
  <c r="E31" s="1"/>
  <c r="I29"/>
  <c r="I31" s="1"/>
  <c r="I69" i="37"/>
  <c r="D78"/>
  <c r="I73"/>
  <c r="G72" i="11"/>
  <c r="G61" i="36"/>
  <c r="G83" i="2"/>
  <c r="G68" i="11" l="1"/>
  <c r="G78" s="1"/>
  <c r="G81" s="1"/>
  <c r="I15" i="3" s="1"/>
  <c r="F46" i="4" l="1"/>
  <c r="C37" i="5"/>
  <c r="C19"/>
  <c r="C28" i="4"/>
  <c r="C16"/>
  <c r="I13" i="28"/>
  <c r="D13"/>
  <c r="D45" s="1"/>
  <c r="G3" i="2"/>
  <c r="L27" i="33" l="1"/>
  <c r="L26"/>
  <c r="F38" i="5" s="1"/>
  <c r="L25" i="33"/>
  <c r="L28" s="1"/>
  <c r="H29" i="4" s="1"/>
  <c r="L17" i="33"/>
  <c r="L16"/>
  <c r="L15"/>
  <c r="L14"/>
  <c r="J28"/>
  <c r="J30" s="1"/>
  <c r="J18"/>
  <c r="J20" s="1"/>
  <c r="E28"/>
  <c r="E30" s="1"/>
  <c r="E18"/>
  <c r="E20" s="1"/>
  <c r="D28"/>
  <c r="D30" s="1"/>
  <c r="D18"/>
  <c r="D20" s="1"/>
  <c r="J3" i="26"/>
  <c r="I3" i="11"/>
  <c r="G3" i="22"/>
  <c r="K3" i="14"/>
  <c r="J3" i="23"/>
  <c r="J3" i="3"/>
  <c r="J3" i="5"/>
  <c r="N3" i="4"/>
  <c r="J6" i="8"/>
  <c r="I15" i="23"/>
  <c r="F15" i="5"/>
  <c r="F48" i="12"/>
  <c r="F47"/>
  <c r="H69" i="4"/>
  <c r="J69" s="1"/>
  <c r="D13" i="21"/>
  <c r="I13"/>
  <c r="A13" i="32"/>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K30"/>
  <c r="K31"/>
  <c r="F32"/>
  <c r="G32"/>
  <c r="H32"/>
  <c r="I32"/>
  <c r="J32"/>
  <c r="F47"/>
  <c r="G47"/>
  <c r="H47"/>
  <c r="H49" s="1"/>
  <c r="I47"/>
  <c r="J47"/>
  <c r="J49" s="1"/>
  <c r="F48"/>
  <c r="G48"/>
  <c r="H48"/>
  <c r="I48"/>
  <c r="I49" s="1"/>
  <c r="J48"/>
  <c r="G49"/>
  <c r="F16" i="4"/>
  <c r="H16"/>
  <c r="F14" i="23"/>
  <c r="I19" s="1"/>
  <c r="I22"/>
  <c r="F23" s="1"/>
  <c r="F24" s="1"/>
  <c r="F26"/>
  <c r="B26"/>
  <c r="B28" s="1"/>
  <c r="O14" i="4"/>
  <c r="O38" s="1"/>
  <c r="F28"/>
  <c r="H28"/>
  <c r="O20"/>
  <c r="O40" s="1"/>
  <c r="I33" i="3"/>
  <c r="I28"/>
  <c r="I29"/>
  <c r="H21" i="4"/>
  <c r="F33"/>
  <c r="H33"/>
  <c r="F22"/>
  <c r="H22"/>
  <c r="F34"/>
  <c r="H34"/>
  <c r="F32"/>
  <c r="J32" s="1"/>
  <c r="H32"/>
  <c r="J85" i="26"/>
  <c r="I16" i="3" s="1"/>
  <c r="F65" i="12"/>
  <c r="E34" i="23"/>
  <c r="F64" i="12"/>
  <c r="E33" i="23"/>
  <c r="F63" i="12"/>
  <c r="E32" i="23"/>
  <c r="E48" i="3"/>
  <c r="F11" i="12"/>
  <c r="D69" i="4" s="1"/>
  <c r="C22"/>
  <c r="C21"/>
  <c r="C20"/>
  <c r="C14"/>
  <c r="C34"/>
  <c r="C33"/>
  <c r="C32"/>
  <c r="C26"/>
  <c r="F35" i="12"/>
  <c r="E19" i="23"/>
  <c r="F13"/>
  <c r="F33" i="12"/>
  <c r="E13" i="23" s="1"/>
  <c r="F59" i="12"/>
  <c r="G33" i="3" s="1"/>
  <c r="E33"/>
  <c r="F60" i="12"/>
  <c r="G29" i="3"/>
  <c r="E29"/>
  <c r="F61" i="12"/>
  <c r="G28" i="3" s="1"/>
  <c r="E28"/>
  <c r="F61" i="5"/>
  <c r="C61"/>
  <c r="F43" i="12"/>
  <c r="D61" i="5" s="1"/>
  <c r="F47"/>
  <c r="F46"/>
  <c r="F48" s="1"/>
  <c r="F41"/>
  <c r="F37"/>
  <c r="F56" i="12"/>
  <c r="D42" i="5" s="1"/>
  <c r="F58" i="12"/>
  <c r="D41" i="5" s="1"/>
  <c r="C42"/>
  <c r="C41"/>
  <c r="F57" i="12"/>
  <c r="D37" i="5" s="1"/>
  <c r="F26"/>
  <c r="F28" s="1"/>
  <c r="F51" i="12"/>
  <c r="D26" i="5" s="1"/>
  <c r="C26"/>
  <c r="F22"/>
  <c r="F21"/>
  <c r="F20"/>
  <c r="F53" i="12"/>
  <c r="D22" i="5" s="1"/>
  <c r="F52" i="12"/>
  <c r="D21" i="5" s="1"/>
  <c r="D20"/>
  <c r="F54" i="12"/>
  <c r="D19" i="5"/>
  <c r="F23"/>
  <c r="C22"/>
  <c r="C21"/>
  <c r="C20"/>
  <c r="F16"/>
  <c r="F49" i="12"/>
  <c r="D16" i="5" s="1"/>
  <c r="F14"/>
  <c r="F17" s="1"/>
  <c r="F50" i="12"/>
  <c r="D14" i="5"/>
  <c r="C14"/>
  <c r="A25" i="8"/>
  <c r="A27" s="1"/>
  <c r="F34" i="23"/>
  <c r="K34" s="1"/>
  <c r="F33"/>
  <c r="K33" s="1"/>
  <c r="F32"/>
  <c r="K32" s="1"/>
  <c r="F31"/>
  <c r="K31" s="1"/>
  <c r="D32"/>
  <c r="D34"/>
  <c r="D33"/>
  <c r="D31"/>
  <c r="F62" i="12"/>
  <c r="E31" i="23"/>
  <c r="F49" i="4"/>
  <c r="J49" s="1"/>
  <c r="H49"/>
  <c r="F21"/>
  <c r="F14"/>
  <c r="H14"/>
  <c r="F26"/>
  <c r="H26"/>
  <c r="F20"/>
  <c r="H20"/>
  <c r="A16"/>
  <c r="A20" s="1"/>
  <c r="A21" s="1"/>
  <c r="A22" s="1"/>
  <c r="A23" s="1"/>
  <c r="A26" s="1"/>
  <c r="A28" s="1"/>
  <c r="A32" s="1"/>
  <c r="A33" s="1"/>
  <c r="A34" s="1"/>
  <c r="A35" s="1"/>
  <c r="A38" s="1"/>
  <c r="A39" s="1"/>
  <c r="A40" s="1"/>
  <c r="A41" s="1"/>
  <c r="A42" s="1"/>
  <c r="A43" s="1"/>
  <c r="F54"/>
  <c r="H54"/>
  <c r="K35" i="23"/>
  <c r="F56" i="4"/>
  <c r="H56"/>
  <c r="J61"/>
  <c r="O61" s="1"/>
  <c r="O63" s="1"/>
  <c r="J62"/>
  <c r="O62" s="1"/>
  <c r="F32" i="5"/>
  <c r="K30"/>
  <c r="K31"/>
  <c r="F67" i="4"/>
  <c r="H67"/>
  <c r="F68"/>
  <c r="H68"/>
  <c r="F76"/>
  <c r="H76"/>
  <c r="F77"/>
  <c r="H77"/>
  <c r="F78"/>
  <c r="J78" s="1"/>
  <c r="H78"/>
  <c r="J79"/>
  <c r="F82"/>
  <c r="F86" s="1"/>
  <c r="H82"/>
  <c r="H86" s="1"/>
  <c r="F85"/>
  <c r="H85"/>
  <c r="F87"/>
  <c r="H87"/>
  <c r="I41" i="3"/>
  <c r="I43" s="1"/>
  <c r="I45"/>
  <c r="F57" i="5"/>
  <c r="F20" i="8"/>
  <c r="K20" s="1"/>
  <c r="K17"/>
  <c r="C20" i="25"/>
  <c r="C26"/>
  <c r="C35" s="1"/>
  <c r="D27"/>
  <c r="B43" s="1"/>
  <c r="C34"/>
  <c r="F50"/>
  <c r="A15" i="5"/>
  <c r="A16" s="1"/>
  <c r="A17" s="1"/>
  <c r="C76" i="4"/>
  <c r="F19" i="12"/>
  <c r="G45" i="3"/>
  <c r="F18" i="12"/>
  <c r="G41" i="3" s="1"/>
  <c r="F32" i="12"/>
  <c r="D68" i="4" s="1"/>
  <c r="F31" i="12"/>
  <c r="D67" i="4" s="1"/>
  <c r="F55" i="12"/>
  <c r="F14"/>
  <c r="D87" i="4"/>
  <c r="F13" i="12"/>
  <c r="D82" i="4"/>
  <c r="D86" s="1"/>
  <c r="F15" i="12"/>
  <c r="D85" i="4" s="1"/>
  <c r="F17" i="12"/>
  <c r="D78" i="4" s="1"/>
  <c r="F12" i="12"/>
  <c r="D77" i="4" s="1"/>
  <c r="F16" i="12"/>
  <c r="D76" i="4" s="1"/>
  <c r="F48"/>
  <c r="H48"/>
  <c r="F47"/>
  <c r="H47"/>
  <c r="H46"/>
  <c r="F44" i="12"/>
  <c r="D49" i="4"/>
  <c r="F46" i="12"/>
  <c r="D48" i="4" s="1"/>
  <c r="F45" i="12"/>
  <c r="D47" i="4" s="1"/>
  <c r="F36" i="12"/>
  <c r="D46" i="4" s="1"/>
  <c r="F26" i="12"/>
  <c r="D56" i="4" s="1"/>
  <c r="D54"/>
  <c r="F76" i="12"/>
  <c r="F20"/>
  <c r="D34" i="4" s="1"/>
  <c r="F30" i="12"/>
  <c r="D33" i="4" s="1"/>
  <c r="F29" i="12"/>
  <c r="D32" i="4" s="1"/>
  <c r="F28" i="12"/>
  <c r="D28" i="4" s="1"/>
  <c r="F27" i="12"/>
  <c r="D26" i="4" s="1"/>
  <c r="F72" i="12"/>
  <c r="F75"/>
  <c r="F74"/>
  <c r="F73"/>
  <c r="F71"/>
  <c r="F21"/>
  <c r="D22" i="4" s="1"/>
  <c r="F25" i="12"/>
  <c r="D21" i="4" s="1"/>
  <c r="F24" i="12"/>
  <c r="D20" i="4" s="1"/>
  <c r="F23" i="12"/>
  <c r="D16" i="4" s="1"/>
  <c r="F22" i="12"/>
  <c r="D14" i="4" s="1"/>
  <c r="F70" i="12"/>
  <c r="F34"/>
  <c r="F66"/>
  <c r="F37"/>
  <c r="F38"/>
  <c r="F39"/>
  <c r="F40"/>
  <c r="F41"/>
  <c r="F42"/>
  <c r="O26" i="4"/>
  <c r="O32"/>
  <c r="K19" i="5"/>
  <c r="J34" i="4"/>
  <c r="B41" i="25"/>
  <c r="B48" s="1"/>
  <c r="B49" s="1"/>
  <c r="J54" i="4"/>
  <c r="J16"/>
  <c r="J58"/>
  <c r="O58" s="1"/>
  <c r="J82"/>
  <c r="I48" i="3" s="1"/>
  <c r="G54" s="1"/>
  <c r="F24" i="5"/>
  <c r="J14" i="4"/>
  <c r="F36" i="23"/>
  <c r="J33" i="4" l="1"/>
  <c r="J48"/>
  <c r="J85"/>
  <c r="J20"/>
  <c r="J28"/>
  <c r="J21"/>
  <c r="D47" i="21"/>
  <c r="O47" i="4"/>
  <c r="D33" i="25"/>
  <c r="B45" s="1"/>
  <c r="B46" s="1"/>
  <c r="B51" s="1"/>
  <c r="B52" s="1"/>
  <c r="B54" s="1"/>
  <c r="B44"/>
  <c r="G50"/>
  <c r="F15" i="23"/>
  <c r="K15" s="1"/>
  <c r="K48" i="32"/>
  <c r="J34"/>
  <c r="K32"/>
  <c r="F64" i="5"/>
  <c r="F60"/>
  <c r="K47" i="32"/>
  <c r="K49" s="1"/>
  <c r="I31" i="3"/>
  <c r="I35" s="1"/>
  <c r="J22" i="4"/>
  <c r="J23" s="1"/>
  <c r="H30" i="25"/>
  <c r="G51"/>
  <c r="A46" i="4"/>
  <c r="A47" s="1"/>
  <c r="A48" s="1"/>
  <c r="A49" s="1"/>
  <c r="A29" i="8"/>
  <c r="A31" s="1"/>
  <c r="B31" i="23"/>
  <c r="B32" s="1"/>
  <c r="B33" s="1"/>
  <c r="B34" s="1"/>
  <c r="B35" s="1"/>
  <c r="B36" s="1"/>
  <c r="D32" i="8"/>
  <c r="F34" i="32"/>
  <c r="H34"/>
  <c r="I34"/>
  <c r="G34"/>
  <c r="A19" i="5"/>
  <c r="A20" s="1"/>
  <c r="A21" s="1"/>
  <c r="A22" s="1"/>
  <c r="A23" s="1"/>
  <c r="A24" s="1"/>
  <c r="A26" s="1"/>
  <c r="A27" s="1"/>
  <c r="A28" s="1"/>
  <c r="A30" s="1"/>
  <c r="A31" s="1"/>
  <c r="A32" s="1"/>
  <c r="A34" s="1"/>
  <c r="I26" i="23"/>
  <c r="K26" s="1"/>
  <c r="F22" i="32" s="1"/>
  <c r="I24" i="23"/>
  <c r="K24" s="1"/>
  <c r="F18" i="32" s="1"/>
  <c r="K19" i="23"/>
  <c r="F17" i="32" s="1"/>
  <c r="J68" i="4"/>
  <c r="F49" i="32"/>
  <c r="L18" i="33"/>
  <c r="H17" i="4" s="1"/>
  <c r="L30" i="33"/>
  <c r="F17" i="4"/>
  <c r="J17" s="1"/>
  <c r="J18" s="1"/>
  <c r="I14" i="3" s="1"/>
  <c r="F29" i="4"/>
  <c r="J29" s="1"/>
  <c r="J30" s="1"/>
  <c r="J47"/>
  <c r="J26"/>
  <c r="F39" i="5"/>
  <c r="F43" s="1"/>
  <c r="J77" i="4"/>
  <c r="J76"/>
  <c r="J40"/>
  <c r="K36" i="23"/>
  <c r="K38" s="1"/>
  <c r="J46" i="4"/>
  <c r="J87"/>
  <c r="J86"/>
  <c r="J67"/>
  <c r="J56"/>
  <c r="O56" s="1"/>
  <c r="K29" i="8"/>
  <c r="J41" i="4" l="1"/>
  <c r="J42"/>
  <c r="M54"/>
  <c r="O54" s="1"/>
  <c r="A50"/>
  <c r="A52" s="1"/>
  <c r="A54" s="1"/>
  <c r="A56" s="1"/>
  <c r="A58" s="1"/>
  <c r="D46" i="25"/>
  <c r="D44"/>
  <c r="J80" i="4"/>
  <c r="I47" i="3" s="1"/>
  <c r="G53" s="1"/>
  <c r="J38" i="4"/>
  <c r="J35"/>
  <c r="G70" i="32"/>
  <c r="F70"/>
  <c r="J70"/>
  <c r="K70"/>
  <c r="I70"/>
  <c r="H70"/>
  <c r="J39" i="4"/>
  <c r="J43" s="1"/>
  <c r="J66" i="32"/>
  <c r="F23"/>
  <c r="H66"/>
  <c r="I66"/>
  <c r="F66"/>
  <c r="G66"/>
  <c r="A37" i="5"/>
  <c r="A41" s="1"/>
  <c r="A42" s="1"/>
  <c r="A43" s="1"/>
  <c r="A46" s="1"/>
  <c r="A47" s="1"/>
  <c r="A48" s="1"/>
  <c r="A51" s="1"/>
  <c r="D66" i="4"/>
  <c r="A32" i="8"/>
  <c r="A33" s="1"/>
  <c r="I31" i="25"/>
  <c r="H36"/>
  <c r="F19" i="32"/>
  <c r="B38" i="23"/>
  <c r="L54" i="4" s="1"/>
  <c r="D29" i="8"/>
  <c r="I51" i="25"/>
  <c r="G52"/>
  <c r="D54"/>
  <c r="D52"/>
  <c r="J88" i="4"/>
  <c r="J50"/>
  <c r="L20" i="33"/>
  <c r="B34" i="5"/>
  <c r="K34" i="32"/>
  <c r="D31" i="8"/>
  <c r="I18" i="3"/>
  <c r="I20" s="1"/>
  <c r="R16" s="1"/>
  <c r="I23"/>
  <c r="D33" i="8" l="1"/>
  <c r="J90" i="4"/>
  <c r="A61"/>
  <c r="A62" s="1"/>
  <c r="A63" s="1"/>
  <c r="A66" s="1"/>
  <c r="A67" s="1"/>
  <c r="A68" s="1"/>
  <c r="A69" s="1"/>
  <c r="A70" s="1"/>
  <c r="A72" s="1"/>
  <c r="B72"/>
  <c r="I49" i="3"/>
  <c r="I50" s="1"/>
  <c r="F55" s="1"/>
  <c r="I55" s="1"/>
  <c r="F25" i="32"/>
  <c r="I37" s="1"/>
  <c r="F54" i="3"/>
  <c r="I37"/>
  <c r="R9" s="1"/>
  <c r="I35" i="25"/>
  <c r="H37"/>
  <c r="I38" s="1"/>
  <c r="A55" i="5"/>
  <c r="A56" s="1"/>
  <c r="A57" s="1"/>
  <c r="A59" s="1"/>
  <c r="A60" s="1"/>
  <c r="C63"/>
  <c r="I52" i="25"/>
  <c r="I53" s="1"/>
  <c r="G53"/>
  <c r="A35" i="8"/>
  <c r="D35"/>
  <c r="I22" i="3"/>
  <c r="I54"/>
  <c r="G37" i="32" l="1"/>
  <c r="G38"/>
  <c r="J38"/>
  <c r="F38"/>
  <c r="H37"/>
  <c r="I38"/>
  <c r="H38"/>
  <c r="J37"/>
  <c r="F37"/>
  <c r="F28" i="22"/>
  <c r="G17" i="37"/>
  <c r="I17" s="1"/>
  <c r="G65"/>
  <c r="I65" s="1"/>
  <c r="G61"/>
  <c r="I61" s="1"/>
  <c r="G53"/>
  <c r="I53" s="1"/>
  <c r="G37"/>
  <c r="I37" s="1"/>
  <c r="G31"/>
  <c r="I31" s="1"/>
  <c r="G20" i="39"/>
  <c r="I20" s="1"/>
  <c r="G26"/>
  <c r="I26" s="1"/>
  <c r="G42"/>
  <c r="I42" s="1"/>
  <c r="G54"/>
  <c r="I54" s="1"/>
  <c r="G58"/>
  <c r="I58" s="1"/>
  <c r="G66"/>
  <c r="I66" s="1"/>
  <c r="G70"/>
  <c r="I70" s="1"/>
  <c r="G27" i="28"/>
  <c r="I27" s="1"/>
  <c r="L23" i="35"/>
  <c r="N23" s="1"/>
  <c r="L19"/>
  <c r="N19" s="1"/>
  <c r="L28"/>
  <c r="N28" s="1"/>
  <c r="N29" s="1"/>
  <c r="F27" i="22"/>
  <c r="G18" i="37"/>
  <c r="I18" s="1"/>
  <c r="G70"/>
  <c r="I70" s="1"/>
  <c r="G66"/>
  <c r="I66" s="1"/>
  <c r="G62"/>
  <c r="I62" s="1"/>
  <c r="G54"/>
  <c r="I54" s="1"/>
  <c r="G50"/>
  <c r="I50" s="1"/>
  <c r="G38"/>
  <c r="I38" s="1"/>
  <c r="G26"/>
  <c r="I26" s="1"/>
  <c r="G17" i="39"/>
  <c r="I17" s="1"/>
  <c r="G35"/>
  <c r="I35" s="1"/>
  <c r="G41"/>
  <c r="I41" s="1"/>
  <c r="G67"/>
  <c r="I67" s="1"/>
  <c r="G75"/>
  <c r="I75" s="1"/>
  <c r="L22" i="35"/>
  <c r="N22" s="1"/>
  <c r="G19" i="37"/>
  <c r="I19" s="1"/>
  <c r="G67"/>
  <c r="I67" s="1"/>
  <c r="G63"/>
  <c r="I63" s="1"/>
  <c r="G59"/>
  <c r="I59" s="1"/>
  <c r="G51"/>
  <c r="I51" s="1"/>
  <c r="G33"/>
  <c r="I33" s="1"/>
  <c r="G18" i="39"/>
  <c r="I18" s="1"/>
  <c r="G22"/>
  <c r="I22" s="1"/>
  <c r="G36"/>
  <c r="I36" s="1"/>
  <c r="G44"/>
  <c r="I44" s="1"/>
  <c r="G56"/>
  <c r="I56" s="1"/>
  <c r="G64"/>
  <c r="I64" s="1"/>
  <c r="G68"/>
  <c r="I68" s="1"/>
  <c r="G72"/>
  <c r="I72" s="1"/>
  <c r="L15" i="35"/>
  <c r="N15" s="1"/>
  <c r="L21"/>
  <c r="N21" s="1"/>
  <c r="L17"/>
  <c r="N17" s="1"/>
  <c r="F26" i="22"/>
  <c r="F31" s="1"/>
  <c r="F19" i="8" s="1"/>
  <c r="G20" i="37"/>
  <c r="I20" s="1"/>
  <c r="G72"/>
  <c r="I72" s="1"/>
  <c r="G68"/>
  <c r="I68" s="1"/>
  <c r="G64"/>
  <c r="I64" s="1"/>
  <c r="G60"/>
  <c r="I60" s="1"/>
  <c r="G52"/>
  <c r="I52" s="1"/>
  <c r="G40"/>
  <c r="I40" s="1"/>
  <c r="G32"/>
  <c r="I32" s="1"/>
  <c r="G22"/>
  <c r="I22" s="1"/>
  <c r="G19" i="39"/>
  <c r="I19" s="1"/>
  <c r="G37"/>
  <c r="I37" s="1"/>
  <c r="G55"/>
  <c r="I55" s="1"/>
  <c r="G65"/>
  <c r="I65" s="1"/>
  <c r="G69"/>
  <c r="I69" s="1"/>
  <c r="G73"/>
  <c r="I73" s="1"/>
  <c r="L24" i="35"/>
  <c r="N24" s="1"/>
  <c r="L20"/>
  <c r="N20" s="1"/>
  <c r="L16"/>
  <c r="N16" s="1"/>
  <c r="G57" i="39"/>
  <c r="I57" s="1"/>
  <c r="G71"/>
  <c r="I71" s="1"/>
  <c r="L18" i="35"/>
  <c r="N18" s="1"/>
  <c r="I25" i="3"/>
  <c r="J39" i="32"/>
  <c r="J65" s="1"/>
  <c r="F53" i="3"/>
  <c r="I53" s="1"/>
  <c r="I56" s="1"/>
  <c r="A76" i="4"/>
  <c r="A77" s="1"/>
  <c r="A78" s="1"/>
  <c r="A79" s="1"/>
  <c r="A80" s="1"/>
  <c r="C51" i="5"/>
  <c r="A37" i="8"/>
  <c r="D37"/>
  <c r="K37" i="32"/>
  <c r="F39"/>
  <c r="G54" i="25"/>
  <c r="A61" i="5"/>
  <c r="A63" s="1"/>
  <c r="A64" s="1"/>
  <c r="A65" s="1"/>
  <c r="K38" i="32"/>
  <c r="K39" s="1"/>
  <c r="K42" s="1"/>
  <c r="I39"/>
  <c r="I39" i="5"/>
  <c r="K39" s="1"/>
  <c r="M30" i="4"/>
  <c r="M18"/>
  <c r="M67"/>
  <c r="O67" s="1"/>
  <c r="M33"/>
  <c r="I24" i="5"/>
  <c r="K24" s="1"/>
  <c r="I41"/>
  <c r="K41" s="1"/>
  <c r="M68" i="4"/>
  <c r="O68" s="1"/>
  <c r="I46" i="5"/>
  <c r="K46" s="1"/>
  <c r="I32"/>
  <c r="K32" s="1"/>
  <c r="I42"/>
  <c r="K42" s="1"/>
  <c r="M21" i="4"/>
  <c r="G39" i="32" l="1"/>
  <c r="G65"/>
  <c r="G42"/>
  <c r="J42"/>
  <c r="H39"/>
  <c r="F59" i="5"/>
  <c r="K19" i="8"/>
  <c r="K21" s="1"/>
  <c r="F21"/>
  <c r="O18" i="4"/>
  <c r="I17" i="5"/>
  <c r="K17" s="1"/>
  <c r="R17" i="3"/>
  <c r="N25" i="35"/>
  <c r="N31" s="1"/>
  <c r="O52" i="4" s="1"/>
  <c r="G47" i="3"/>
  <c r="A82" i="4"/>
  <c r="O30"/>
  <c r="G55" i="25"/>
  <c r="I54"/>
  <c r="D41" i="8"/>
  <c r="D40"/>
  <c r="A40"/>
  <c r="C64" i="5"/>
  <c r="I65" i="32"/>
  <c r="I42"/>
  <c r="J53"/>
  <c r="J52"/>
  <c r="A67" i="5"/>
  <c r="D16" i="8" s="1"/>
  <c r="B67" i="5"/>
  <c r="F42" i="32"/>
  <c r="F65"/>
  <c r="F68" s="1"/>
  <c r="M22" i="4"/>
  <c r="O21"/>
  <c r="M34"/>
  <c r="O34" s="1"/>
  <c r="O33"/>
  <c r="K43" i="5"/>
  <c r="G53" i="32" l="1"/>
  <c r="G52"/>
  <c r="G54" s="1"/>
  <c r="G57" s="1"/>
  <c r="O39" i="4"/>
  <c r="H65" i="32"/>
  <c r="H42"/>
  <c r="O22" i="4"/>
  <c r="O35"/>
  <c r="O23"/>
  <c r="M23" s="1"/>
  <c r="A85"/>
  <c r="A86" s="1"/>
  <c r="A87" s="1"/>
  <c r="A88" s="1"/>
  <c r="G48" i="3"/>
  <c r="J54" i="32"/>
  <c r="J57" s="1"/>
  <c r="F72"/>
  <c r="G63"/>
  <c r="G68" s="1"/>
  <c r="A41" i="8"/>
  <c r="D44"/>
  <c r="I55" i="25"/>
  <c r="I56" s="1"/>
  <c r="G56"/>
  <c r="K28" i="23"/>
  <c r="K32" i="8" s="1"/>
  <c r="F52" i="32"/>
  <c r="F53"/>
  <c r="I53"/>
  <c r="I52"/>
  <c r="O41" i="4"/>
  <c r="O42"/>
  <c r="H52" i="32" l="1"/>
  <c r="K52" s="1"/>
  <c r="H53"/>
  <c r="K53" s="1"/>
  <c r="M69" i="4"/>
  <c r="O69" s="1"/>
  <c r="R8" i="3"/>
  <c r="I28" i="5"/>
  <c r="K28" s="1"/>
  <c r="K34" s="1"/>
  <c r="O66" i="4" s="1"/>
  <c r="I47" i="5"/>
  <c r="K47" s="1"/>
  <c r="K48" s="1"/>
  <c r="A90" i="4"/>
  <c r="C90"/>
  <c r="G49" i="3"/>
  <c r="A44" i="8"/>
  <c r="A45" s="1"/>
  <c r="D45"/>
  <c r="I54" i="32"/>
  <c r="I57" s="1"/>
  <c r="F54"/>
  <c r="F57" s="1"/>
  <c r="G57" i="25"/>
  <c r="G72" i="32"/>
  <c r="H63"/>
  <c r="H68" s="1"/>
  <c r="O43" i="4"/>
  <c r="M43" s="1"/>
  <c r="R10" i="3" s="1"/>
  <c r="H54" i="32" l="1"/>
  <c r="H57" s="1"/>
  <c r="K57" s="1"/>
  <c r="G42" i="28"/>
  <c r="I42" s="1"/>
  <c r="G40"/>
  <c r="I40" s="1"/>
  <c r="G32"/>
  <c r="I32" s="1"/>
  <c r="G15"/>
  <c r="I15" s="1"/>
  <c r="G80" i="39"/>
  <c r="I80" s="1"/>
  <c r="G52"/>
  <c r="I52" s="1"/>
  <c r="G30"/>
  <c r="I30" s="1"/>
  <c r="G28"/>
  <c r="I28" s="1"/>
  <c r="G42" i="21"/>
  <c r="I42" s="1"/>
  <c r="G18"/>
  <c r="I18" s="1"/>
  <c r="G47" i="37"/>
  <c r="I47" s="1"/>
  <c r="G49"/>
  <c r="I49" s="1"/>
  <c r="G76"/>
  <c r="I76" s="1"/>
  <c r="G39" i="28"/>
  <c r="I39" s="1"/>
  <c r="G33"/>
  <c r="I33" s="1"/>
  <c r="G31"/>
  <c r="I31" s="1"/>
  <c r="G18"/>
  <c r="I18" s="1"/>
  <c r="G79" i="39"/>
  <c r="I79" s="1"/>
  <c r="G53"/>
  <c r="I53" s="1"/>
  <c r="G51"/>
  <c r="I51" s="1"/>
  <c r="G31"/>
  <c r="I31" s="1"/>
  <c r="G29"/>
  <c r="I29" s="1"/>
  <c r="G15"/>
  <c r="I15" s="1"/>
  <c r="G43" i="21"/>
  <c r="I43" s="1"/>
  <c r="G37"/>
  <c r="I37" s="1"/>
  <c r="G31"/>
  <c r="I31" s="1"/>
  <c r="G15"/>
  <c r="I15" s="1"/>
  <c r="G28" i="37"/>
  <c r="I28" s="1"/>
  <c r="G48"/>
  <c r="I48" s="1"/>
  <c r="G15"/>
  <c r="I15" s="1"/>
  <c r="O70" i="4"/>
  <c r="I63" i="32"/>
  <c r="I68" s="1"/>
  <c r="H72"/>
  <c r="I57" i="25"/>
  <c r="G58"/>
  <c r="K54" i="32"/>
  <c r="I64" i="5"/>
  <c r="K64" s="1"/>
  <c r="I78" i="37" l="1"/>
  <c r="I45" i="21"/>
  <c r="I43" i="28"/>
  <c r="I19"/>
  <c r="I19" i="21"/>
  <c r="I82" i="39"/>
  <c r="I72" i="32"/>
  <c r="J63"/>
  <c r="J68" s="1"/>
  <c r="I58" i="25"/>
  <c r="I59" s="1"/>
  <c r="G59"/>
  <c r="O49" i="4" l="1"/>
  <c r="O46"/>
  <c r="I45" i="28"/>
  <c r="O48" i="4"/>
  <c r="I47" i="21"/>
  <c r="G60" i="25"/>
  <c r="J72" i="32"/>
  <c r="K63"/>
  <c r="K68"/>
  <c r="K72" s="1"/>
  <c r="I60" i="25" l="1"/>
  <c r="G61"/>
  <c r="I61" s="1"/>
  <c r="G62"/>
  <c r="O50" i="4"/>
  <c r="O72" l="1"/>
  <c r="K51" i="5" s="1"/>
  <c r="K63" s="1"/>
  <c r="K65" s="1"/>
  <c r="G65" i="25"/>
  <c r="G63"/>
  <c r="I62"/>
  <c r="K67" i="5" l="1"/>
  <c r="K16" i="8" s="1"/>
  <c r="K27" s="1"/>
  <c r="K31" s="1"/>
  <c r="K33" s="1"/>
  <c r="K35" s="1"/>
  <c r="K37" s="1"/>
  <c r="G64" i="25"/>
  <c r="I63"/>
  <c r="K41" i="8" l="1"/>
  <c r="K45" s="1"/>
  <c r="K40"/>
  <c r="K44" s="1"/>
  <c r="I64" i="25"/>
  <c r="I65" s="1"/>
  <c r="G66"/>
  <c r="I66" l="1"/>
  <c r="I44"/>
  <c r="H45" s="1"/>
  <c r="H42"/>
  <c r="I43" s="1"/>
</calcChain>
</file>

<file path=xl/comments1.xml><?xml version="1.0" encoding="utf-8"?>
<comments xmlns="http://schemas.openxmlformats.org/spreadsheetml/2006/main">
  <authors>
    <author>LMiller</author>
  </authors>
  <commentList>
    <comment ref="F58" authorId="0">
      <text>
        <r>
          <rPr>
            <b/>
            <sz val="8"/>
            <color indexed="81"/>
            <rFont val="Tahoma"/>
            <family val="2"/>
          </rPr>
          <t>LMiller:</t>
        </r>
        <r>
          <rPr>
            <sz val="8"/>
            <color indexed="81"/>
            <rFont val="Tahoma"/>
            <family val="2"/>
          </rPr>
          <t xml:space="preserve">
see CWIP file for support plus adjustment of $1m to match 2009 end. Balance - error in formula was discovered in 2010</t>
        </r>
      </text>
    </comment>
    <comment ref="H58" authorId="0">
      <text>
        <r>
          <rPr>
            <b/>
            <sz val="8"/>
            <color indexed="81"/>
            <rFont val="Tahoma"/>
            <family val="2"/>
          </rPr>
          <t>LMiller:</t>
        </r>
        <r>
          <rPr>
            <sz val="8"/>
            <color indexed="81"/>
            <rFont val="Tahoma"/>
            <family val="2"/>
          </rPr>
          <t xml:space="preserve">
see CWIP file for support</t>
        </r>
      </text>
    </comment>
  </commentList>
</comments>
</file>

<file path=xl/comments10.xml><?xml version="1.0" encoding="utf-8"?>
<comments xmlns="http://schemas.openxmlformats.org/spreadsheetml/2006/main">
  <authors>
    <author>LMiller</author>
    <author>I89310</author>
  </authors>
  <commentList>
    <comment ref="H22" authorId="0">
      <text>
        <r>
          <rPr>
            <b/>
            <sz val="8"/>
            <color indexed="81"/>
            <rFont val="Tahoma"/>
            <family val="2"/>
          </rPr>
          <t>LMiller:</t>
        </r>
        <r>
          <rPr>
            <sz val="8"/>
            <color indexed="81"/>
            <rFont val="Tahoma"/>
            <family val="2"/>
          </rPr>
          <t xml:space="preserve">
excludes ARO</t>
        </r>
      </text>
    </comment>
    <comment ref="J22" authorId="0">
      <text>
        <r>
          <rPr>
            <b/>
            <sz val="8"/>
            <color indexed="81"/>
            <rFont val="Tahoma"/>
            <family val="2"/>
          </rPr>
          <t>LMiller:</t>
        </r>
        <r>
          <rPr>
            <sz val="8"/>
            <color indexed="81"/>
            <rFont val="Tahoma"/>
            <family val="2"/>
          </rPr>
          <t xml:space="preserve">
excludes ARO</t>
        </r>
      </text>
    </comment>
    <comment ref="H23" authorId="1">
      <text>
        <r>
          <rPr>
            <b/>
            <sz val="8"/>
            <color indexed="81"/>
            <rFont val="Tahoma"/>
            <family val="2"/>
          </rPr>
          <t>I89310:</t>
        </r>
        <r>
          <rPr>
            <sz val="8"/>
            <color indexed="81"/>
            <rFont val="Tahoma"/>
            <family val="2"/>
          </rPr>
          <t xml:space="preserve">
Excludes 50% Contra OATT CWIP closed to plant</t>
        </r>
      </text>
    </comment>
    <comment ref="M23" authorId="1">
      <text>
        <r>
          <rPr>
            <b/>
            <sz val="8"/>
            <color indexed="81"/>
            <rFont val="Tahoma"/>
            <family val="2"/>
          </rPr>
          <t>I89310:</t>
        </r>
        <r>
          <rPr>
            <sz val="8"/>
            <color indexed="81"/>
            <rFont val="Tahoma"/>
            <family val="2"/>
          </rPr>
          <t xml:space="preserve">
Contra OATT CWIP Depreciation adjustments added after initial filing. Issue was uncovered in responding to SECI data request #1.</t>
        </r>
      </text>
    </comment>
    <comment ref="H25" authorId="0">
      <text>
        <r>
          <rPr>
            <b/>
            <sz val="8"/>
            <color indexed="81"/>
            <rFont val="Tahoma"/>
            <family val="2"/>
          </rPr>
          <t>LMiller:</t>
        </r>
        <r>
          <rPr>
            <sz val="8"/>
            <color indexed="81"/>
            <rFont val="Tahoma"/>
            <family val="2"/>
          </rPr>
          <t xml:space="preserve">
excludes ARO</t>
        </r>
      </text>
    </comment>
    <comment ref="J25" authorId="0">
      <text>
        <r>
          <rPr>
            <b/>
            <sz val="8"/>
            <color indexed="81"/>
            <rFont val="Tahoma"/>
            <family val="2"/>
          </rPr>
          <t>LMiller:</t>
        </r>
        <r>
          <rPr>
            <sz val="8"/>
            <color indexed="81"/>
            <rFont val="Tahoma"/>
            <family val="2"/>
          </rPr>
          <t xml:space="preserve">
excludes ARO</t>
        </r>
      </text>
    </comment>
    <comment ref="J26" authorId="0">
      <text>
        <r>
          <rPr>
            <b/>
            <sz val="8"/>
            <color indexed="81"/>
            <rFont val="Tahoma"/>
            <family val="2"/>
          </rPr>
          <t>LMiller:</t>
        </r>
        <r>
          <rPr>
            <sz val="8"/>
            <color indexed="81"/>
            <rFont val="Tahoma"/>
            <family val="2"/>
          </rPr>
          <t xml:space="preserve">
FF1 ref: 214.2.d, 214.3.d, 214.4.d, 214.22.d</t>
        </r>
      </text>
    </comment>
    <comment ref="J62" authorId="0">
      <text>
        <r>
          <rPr>
            <b/>
            <sz val="8"/>
            <color indexed="81"/>
            <rFont val="Tahoma"/>
            <family val="2"/>
          </rPr>
          <t>LMiller:</t>
        </r>
        <r>
          <rPr>
            <sz val="8"/>
            <color indexed="81"/>
            <rFont val="Tahoma"/>
            <family val="2"/>
          </rPr>
          <t xml:space="preserve">
adjusted to move Chattahoochee and SEPA into Other LT Firm, and add amount equal to CR3 Joint Owner to avoid double-counting</t>
        </r>
      </text>
    </comment>
    <comment ref="J65" authorId="0">
      <text>
        <r>
          <rPr>
            <b/>
            <sz val="8"/>
            <color indexed="81"/>
            <rFont val="Tahoma"/>
            <family val="2"/>
          </rPr>
          <t>LMiller:</t>
        </r>
        <r>
          <rPr>
            <sz val="8"/>
            <color indexed="81"/>
            <rFont val="Tahoma"/>
            <family val="2"/>
          </rPr>
          <t xml:space="preserve">
adjusted to move Chattahoochee and SEPA into Other LT Firm, and add amount equal to CR3 Joint Owner to avoid double-counting</t>
        </r>
      </text>
    </comment>
  </commentList>
</comments>
</file>

<file path=xl/comments2.xml><?xml version="1.0" encoding="utf-8"?>
<comments xmlns="http://schemas.openxmlformats.org/spreadsheetml/2006/main">
  <authors>
    <author>I89310</author>
    <author>LMiller</author>
  </authors>
  <commentList>
    <comment ref="F19" authorId="0">
      <text>
        <r>
          <rPr>
            <b/>
            <sz val="8"/>
            <color indexed="81"/>
            <rFont val="Tahoma"/>
            <family val="2"/>
          </rPr>
          <t>I89310:</t>
        </r>
        <r>
          <rPr>
            <sz val="8"/>
            <color indexed="81"/>
            <rFont val="Tahoma"/>
            <family val="2"/>
          </rPr>
          <t xml:space="preserve">
Hardcoded inputs are exclusion of directly assignable retail accts 9XXXREC&amp; Florida Sales Tax Audit (FF1) 335.8.b. Also included is the retail pension asset balance as of 12/3109, which is not included in FF1 and needs to be included in order for the allocation to be proper. (pension support see Kevin Holmes)</t>
        </r>
      </text>
    </comment>
    <comment ref="F27" authorId="1">
      <text>
        <r>
          <rPr>
            <b/>
            <sz val="8"/>
            <color indexed="81"/>
            <rFont val="Tahoma"/>
            <family val="2"/>
          </rPr>
          <t>LMiller:</t>
        </r>
        <r>
          <rPr>
            <sz val="8"/>
            <color indexed="81"/>
            <rFont val="Tahoma"/>
            <family val="2"/>
          </rPr>
          <t xml:space="preserve">
 acc 9240001
$6M accrual ended in 2009</t>
        </r>
      </text>
    </comment>
    <comment ref="P27" authorId="0">
      <text>
        <r>
          <rPr>
            <b/>
            <sz val="8"/>
            <color indexed="81"/>
            <rFont val="Tahoma"/>
            <charset val="1"/>
          </rPr>
          <t>I89310:</t>
        </r>
        <r>
          <rPr>
            <sz val="8"/>
            <color indexed="81"/>
            <rFont val="Tahoma"/>
            <charset val="1"/>
          </rPr>
          <t xml:space="preserve">
Set to zero, initial inclusion was in error. No pension expenses were deferrred or amortized in 2010. Issue was uncovered in responding to SECI Information Request #1</t>
        </r>
      </text>
    </comment>
  </commentList>
</comments>
</file>

<file path=xl/comments3.xml><?xml version="1.0" encoding="utf-8"?>
<comments xmlns="http://schemas.openxmlformats.org/spreadsheetml/2006/main">
  <authors>
    <author>I89310</author>
  </authors>
  <commentList>
    <comment ref="I17" authorId="0">
      <text>
        <r>
          <rPr>
            <b/>
            <sz val="8"/>
            <color indexed="81"/>
            <rFont val="Tahoma"/>
            <family val="2"/>
          </rPr>
          <t>I89310:</t>
        </r>
        <r>
          <rPr>
            <sz val="8"/>
            <color indexed="81"/>
            <rFont val="Tahoma"/>
            <family val="2"/>
          </rPr>
          <t xml:space="preserve">
ECC Plant Balances from D Crawford</t>
        </r>
      </text>
    </comment>
    <comment ref="I30" authorId="0">
      <text>
        <r>
          <rPr>
            <b/>
            <sz val="8"/>
            <color indexed="81"/>
            <rFont val="Tahoma"/>
            <family val="2"/>
          </rPr>
          <t>I89310:</t>
        </r>
        <r>
          <rPr>
            <sz val="8"/>
            <color indexed="81"/>
            <rFont val="Tahoma"/>
            <family val="2"/>
          </rPr>
          <t xml:space="preserve">
Amy Futrell EIT finance runs report to supply #</t>
        </r>
      </text>
    </comment>
  </commentList>
</comments>
</file>

<file path=xl/comments4.xml><?xml version="1.0" encoding="utf-8"?>
<comments xmlns="http://schemas.openxmlformats.org/spreadsheetml/2006/main">
  <authors>
    <author>I89310</author>
  </authors>
  <commentList>
    <comment ref="G46" authorId="0">
      <text>
        <r>
          <rPr>
            <b/>
            <sz val="8"/>
            <color indexed="81"/>
            <rFont val="Tahoma"/>
            <family val="2"/>
          </rPr>
          <t>I89310:</t>
        </r>
        <r>
          <rPr>
            <sz val="8"/>
            <color indexed="81"/>
            <rFont val="Tahoma"/>
            <family val="2"/>
          </rPr>
          <t xml:space="preserve">
This is the PBOP amount for PEF directly and an allocated amount from the service company. The information is received from M. DeLeon. Note the 2010 per book amount includes an entry of approximately $12M to correct for errors from 2007-2009</t>
        </r>
      </text>
    </comment>
  </commentList>
</comments>
</file>

<file path=xl/comments5.xml><?xml version="1.0" encoding="utf-8"?>
<comments xmlns="http://schemas.openxmlformats.org/spreadsheetml/2006/main">
  <authors>
    <author>I89310</author>
  </authors>
  <commentList>
    <comment ref="D11" authorId="0">
      <text>
        <r>
          <rPr>
            <b/>
            <sz val="8"/>
            <color indexed="81"/>
            <rFont val="Tahoma"/>
            <family val="2"/>
          </rPr>
          <t>I89310:</t>
        </r>
        <r>
          <rPr>
            <sz val="8"/>
            <color indexed="81"/>
            <rFont val="Tahoma"/>
            <family val="2"/>
          </rPr>
          <t xml:space="preserve">
D Crawford</t>
        </r>
      </text>
    </comment>
  </commentList>
</comments>
</file>

<file path=xl/comments6.xml><?xml version="1.0" encoding="utf-8"?>
<comments xmlns="http://schemas.openxmlformats.org/spreadsheetml/2006/main">
  <authors>
    <author>:</author>
  </authors>
  <commentList>
    <comment ref="F24" authorId="0">
      <text>
        <r>
          <rPr>
            <sz val="8"/>
            <color indexed="81"/>
            <rFont val="Tahoma"/>
            <family val="2"/>
          </rPr>
          <t>per Rob Traylor
don’t remove the 1958 asset as we need the accum reserve, ignore the dep exp on the 6609 immat</t>
        </r>
      </text>
    </comment>
  </commentList>
</comments>
</file>

<file path=xl/comments7.xml><?xml version="1.0" encoding="utf-8"?>
<comments xmlns="http://schemas.openxmlformats.org/spreadsheetml/2006/main">
  <authors>
    <author>I89310</author>
  </authors>
  <commentList>
    <comment ref="D71" authorId="0">
      <text>
        <r>
          <rPr>
            <b/>
            <sz val="8"/>
            <color indexed="81"/>
            <rFont val="Tahoma"/>
            <family val="2"/>
          </rPr>
          <t>I89310:</t>
        </r>
        <r>
          <rPr>
            <sz val="8"/>
            <color indexed="81"/>
            <rFont val="Tahoma"/>
            <family val="2"/>
          </rPr>
          <t xml:space="preserve">
Assigned "Other" allocator because assocaited 182 asset account is not part of OATT rate base</t>
        </r>
      </text>
    </comment>
  </commentList>
</comments>
</file>

<file path=xl/comments8.xml><?xml version="1.0" encoding="utf-8"?>
<comments xmlns="http://schemas.openxmlformats.org/spreadsheetml/2006/main">
  <authors>
    <author>I89310</author>
  </authors>
  <commentList>
    <comment ref="D59" authorId="0">
      <text>
        <r>
          <rPr>
            <b/>
            <sz val="8"/>
            <color indexed="81"/>
            <rFont val="Tahoma"/>
            <family val="2"/>
          </rPr>
          <t>I89310:</t>
        </r>
        <r>
          <rPr>
            <sz val="8"/>
            <color indexed="81"/>
            <rFont val="Tahoma"/>
            <family val="2"/>
          </rPr>
          <t xml:space="preserve">
assigned Other b/c associated 182 asset not in RB for OATT</t>
        </r>
      </text>
    </comment>
  </commentList>
</comments>
</file>

<file path=xl/comments9.xml><?xml version="1.0" encoding="utf-8"?>
<comments xmlns="http://schemas.openxmlformats.org/spreadsheetml/2006/main">
  <authors>
    <author>I89310</author>
  </authors>
  <commentList>
    <comment ref="G28" authorId="0">
      <text>
        <r>
          <rPr>
            <b/>
            <sz val="8"/>
            <color indexed="81"/>
            <rFont val="Tahoma"/>
            <family val="2"/>
          </rPr>
          <t>I89310:</t>
        </r>
        <r>
          <rPr>
            <sz val="8"/>
            <color indexed="81"/>
            <rFont val="Tahoma"/>
            <family val="2"/>
          </rPr>
          <t xml:space="preserve">
FPC Post Retirement Benefits Trust Fund - Dec Report from Lauren Richards</t>
        </r>
      </text>
    </comment>
  </commentList>
</comments>
</file>

<file path=xl/sharedStrings.xml><?xml version="1.0" encoding="utf-8"?>
<sst xmlns="http://schemas.openxmlformats.org/spreadsheetml/2006/main" count="1715" uniqueCount="1004">
  <si>
    <t>Page</t>
  </si>
  <si>
    <t>Row</t>
  </si>
  <si>
    <t>Column</t>
  </si>
  <si>
    <t>Description</t>
  </si>
  <si>
    <t>Reference</t>
  </si>
  <si>
    <t>Total Direct Payroll - O&amp;M Labor</t>
  </si>
  <si>
    <t>Transmission O&amp;M Labor</t>
  </si>
  <si>
    <t>(565) Transmission of Electricity by Others</t>
  </si>
  <si>
    <t xml:space="preserve">Total Admin &amp; General Expenses </t>
  </si>
  <si>
    <t>(928) Regulatory Commission Expenses</t>
  </si>
  <si>
    <t>(930.1) General Advertising Expenses</t>
  </si>
  <si>
    <t>Plant Held for Future Use (Trans. Only)</t>
  </si>
  <si>
    <t>c</t>
  </si>
  <si>
    <t>b</t>
  </si>
  <si>
    <t>g</t>
  </si>
  <si>
    <t>d</t>
  </si>
  <si>
    <t>230a</t>
  </si>
  <si>
    <t>e</t>
  </si>
  <si>
    <t>ADIT - 190</t>
  </si>
  <si>
    <t>ADIT - 281 (Negative)</t>
  </si>
  <si>
    <t>ADIT - 282 (Negative)</t>
  </si>
  <si>
    <t>Line</t>
  </si>
  <si>
    <t>Total</t>
  </si>
  <si>
    <t>Allocator</t>
  </si>
  <si>
    <t>OATT Transmission</t>
  </si>
  <si>
    <t>RATE BASE:</t>
  </si>
  <si>
    <t>N/A</t>
  </si>
  <si>
    <t>GP =</t>
  </si>
  <si>
    <t>Total Gross Plant</t>
  </si>
  <si>
    <t>Total Accumulated Depr.</t>
  </si>
  <si>
    <t>Net Plant in Service</t>
  </si>
  <si>
    <t>Total Net Plant</t>
  </si>
  <si>
    <t>NP =</t>
  </si>
  <si>
    <t>Accum Deferred ITC - 255 (Negative)</t>
  </si>
  <si>
    <t>h</t>
  </si>
  <si>
    <t>f</t>
  </si>
  <si>
    <t>Amortized ITC (Negative)</t>
  </si>
  <si>
    <t>NP</t>
  </si>
  <si>
    <t>Plant Held for Future Use</t>
  </si>
  <si>
    <t>Working Capital:</t>
  </si>
  <si>
    <t>Prepayments</t>
  </si>
  <si>
    <t>GP</t>
  </si>
  <si>
    <t>Line 1 - Line 7</t>
  </si>
  <si>
    <t>Line 3 - Line 9</t>
  </si>
  <si>
    <t>Line 4 - Line 10</t>
  </si>
  <si>
    <t>Line 5 - Line 11</t>
  </si>
  <si>
    <t>Total Working Capital</t>
  </si>
  <si>
    <t>O&amp;M Expense</t>
  </si>
  <si>
    <t xml:space="preserve">  Less Account 565</t>
  </si>
  <si>
    <t xml:space="preserve">Net Transmission O&amp;M </t>
  </si>
  <si>
    <t>TOTAL Transmission Expenses</t>
  </si>
  <si>
    <t>TP</t>
  </si>
  <si>
    <t>(924) Property Insurance</t>
  </si>
  <si>
    <t>Net Labor Related A&amp;G</t>
  </si>
  <si>
    <t>Trans. Related Regulatory Expense</t>
  </si>
  <si>
    <t>D/A</t>
  </si>
  <si>
    <t>Trans. Related Advertising Exp.</t>
  </si>
  <si>
    <t>Depreciation Expense</t>
  </si>
  <si>
    <t>Transmission Depr. Expense</t>
  </si>
  <si>
    <t>General Depr. Expense</t>
  </si>
  <si>
    <t>Total Depreciation</t>
  </si>
  <si>
    <t>Property Related</t>
  </si>
  <si>
    <t>Total Other Taxes</t>
  </si>
  <si>
    <t>263.i</t>
  </si>
  <si>
    <t>Cash Working Capital (1/8 O&amp;M)</t>
  </si>
  <si>
    <t>M&amp;S - Transmission</t>
  </si>
  <si>
    <t>M&amp;S - Stores Expense</t>
  </si>
  <si>
    <t>Return:</t>
  </si>
  <si>
    <t>Less Gen. Step-up Transformers in 353</t>
  </si>
  <si>
    <t>Labor Allocation Factor</t>
  </si>
  <si>
    <t>Long Term Interest Expense</t>
  </si>
  <si>
    <t>Preferred Dividends (positive)</t>
  </si>
  <si>
    <t>Long Term Debt</t>
  </si>
  <si>
    <t xml:space="preserve">  Less Loss on Reacquired Debt</t>
  </si>
  <si>
    <t xml:space="preserve">  Plus Gain on Reacquired Debt</t>
  </si>
  <si>
    <t xml:space="preserve">  Less Interest on Securitization Bonds</t>
  </si>
  <si>
    <t>Net Long Term Interest Expense</t>
  </si>
  <si>
    <t xml:space="preserve">  Less Securitization Bonds</t>
  </si>
  <si>
    <t>Net Long Term Debt</t>
  </si>
  <si>
    <t>Preferred Stock</t>
  </si>
  <si>
    <t xml:space="preserve">  Less Preferred Stock</t>
  </si>
  <si>
    <t xml:space="preserve">  Less Account 216.1</t>
  </si>
  <si>
    <t xml:space="preserve">  Proprietary Capital</t>
  </si>
  <si>
    <t>Common Stock Development:</t>
  </si>
  <si>
    <t xml:space="preserve">Common Stock </t>
  </si>
  <si>
    <t>Long term Debt</t>
  </si>
  <si>
    <t>Weight</t>
  </si>
  <si>
    <t>Cost</t>
  </si>
  <si>
    <t>Weighted Cost</t>
  </si>
  <si>
    <t>Common Equity</t>
  </si>
  <si>
    <t>Income Taxes:</t>
  </si>
  <si>
    <t>State of Florida</t>
  </si>
  <si>
    <t>Federal</t>
  </si>
  <si>
    <t xml:space="preserve">   Composite  T = State + Federal * (1 - State)</t>
  </si>
  <si>
    <t>ITC Gross Up Factor = 1 / (1 -T)</t>
  </si>
  <si>
    <t>Total Income Taxes</t>
  </si>
  <si>
    <t>EXPENSES:</t>
  </si>
  <si>
    <t>Denominator for Wholesale Transmission:</t>
  </si>
  <si>
    <t>i</t>
  </si>
  <si>
    <t>Firm Network Service for Others</t>
  </si>
  <si>
    <t>Short-Term Firm P-t-P Reservations</t>
  </si>
  <si>
    <t>Long-Term Firm P-t-P Reservations</t>
  </si>
  <si>
    <t>Firm Network Service for Self</t>
  </si>
  <si>
    <t>Note A:</t>
  </si>
  <si>
    <t>Note B:</t>
  </si>
  <si>
    <t>Note C:</t>
  </si>
  <si>
    <t>Note D:</t>
  </si>
  <si>
    <t>Note E:</t>
  </si>
  <si>
    <t>Total Revenue Credits</t>
  </si>
  <si>
    <t>Storm Reserve Adder</t>
  </si>
  <si>
    <t>On-Peak Days</t>
  </si>
  <si>
    <t>Off-Peak Days</t>
  </si>
  <si>
    <t>On-Peak Hours</t>
  </si>
  <si>
    <t>Off-Peak Hours</t>
  </si>
  <si>
    <t>Non-Firm Hourly P-t-P Rates ($/MWh):</t>
  </si>
  <si>
    <t>Revenue Credits:</t>
  </si>
  <si>
    <t>Annual Firm Trans $/MW-year</t>
  </si>
  <si>
    <t xml:space="preserve">Trans. Rev Req't Rate $/MW-Mon.     </t>
  </si>
  <si>
    <t>Form 1 Reference</t>
  </si>
  <si>
    <t>Payment by</t>
  </si>
  <si>
    <t>Classification</t>
  </si>
  <si>
    <t>Rate Schedule</t>
  </si>
  <si>
    <t>(Column (b))</t>
  </si>
  <si>
    <t>(Col (d))</t>
  </si>
  <si>
    <t>(Col (e))</t>
  </si>
  <si>
    <t>Total Revenues</t>
  </si>
  <si>
    <t>(Column (n))</t>
  </si>
  <si>
    <t>Total Transmission for Others</t>
  </si>
  <si>
    <t xml:space="preserve">FERC Form 1 page 214 excluding non-transmission related items </t>
  </si>
  <si>
    <t>Note F:</t>
  </si>
  <si>
    <t xml:space="preserve">Labor Related </t>
  </si>
  <si>
    <t>Taxes Other Than Income (Note F)</t>
  </si>
  <si>
    <t>related taxes include county and local property, highway use, and intangible taxes.</t>
  </si>
  <si>
    <t>Note G:</t>
  </si>
  <si>
    <t>Note G</t>
  </si>
  <si>
    <t>PROGRESS ENERGY FLORIDA, INC.</t>
  </si>
  <si>
    <t>Summary of Rates</t>
  </si>
  <si>
    <t>OATT Transmission Non-Levelized Rate Formula Template Using Form-1 Data</t>
  </si>
  <si>
    <t>Development of Revenue Requirements</t>
  </si>
  <si>
    <t>Supporting Allocation Factor and Return Calculations</t>
  </si>
  <si>
    <r>
      <t xml:space="preserve">     Overall Return:  R</t>
    </r>
    <r>
      <rPr>
        <b/>
        <vertAlign val="subscript"/>
        <sz val="10"/>
        <rFont val="Arial"/>
        <family val="2"/>
      </rPr>
      <t>0</t>
    </r>
    <r>
      <rPr>
        <b/>
        <sz val="10"/>
        <rFont val="Arial"/>
        <family val="2"/>
      </rPr>
      <t xml:space="preserve"> =</t>
    </r>
  </si>
  <si>
    <t>Wholesale Storm Reserve Funding and Explanatory Notes</t>
  </si>
  <si>
    <t>Peaker/</t>
  </si>
  <si>
    <t>Plant</t>
  </si>
  <si>
    <t>Book Cost</t>
  </si>
  <si>
    <t>Bayboro Pk</t>
  </si>
  <si>
    <t>Suwannee 230kv</t>
  </si>
  <si>
    <t>Bartow</t>
  </si>
  <si>
    <t>Higgins Pk</t>
  </si>
  <si>
    <t>Suwannee Plant</t>
  </si>
  <si>
    <t>Rio Pinar</t>
  </si>
  <si>
    <t>Intercession City</t>
  </si>
  <si>
    <t>P11 Seimens</t>
  </si>
  <si>
    <t>Crystal River</t>
  </si>
  <si>
    <t>Vintage</t>
  </si>
  <si>
    <t>Transmission Rate Formula Support - Account 353 Generator Step-up Transformers</t>
  </si>
  <si>
    <t>Other Long-Term Firm Service</t>
  </si>
  <si>
    <t>Other Taxes - FICA</t>
  </si>
  <si>
    <t>Other Taxes - Federal Unemployment</t>
  </si>
  <si>
    <t>Other Taxes - State Unemployment</t>
  </si>
  <si>
    <t>Other Taxes - Intangibles</t>
  </si>
  <si>
    <t>Other Taxes - Highway Use</t>
  </si>
  <si>
    <t>Other Taxes - Property County &amp; Local</t>
  </si>
  <si>
    <t>A&amp;G Labor</t>
  </si>
  <si>
    <t>Intangible Plant</t>
  </si>
  <si>
    <t>Transmission Plant</t>
  </si>
  <si>
    <t>Distribution Plant</t>
  </si>
  <si>
    <t>General Plant</t>
  </si>
  <si>
    <t>Intangible Amort. Reserve</t>
  </si>
  <si>
    <t>Production Depr. Reserve</t>
  </si>
  <si>
    <t>Transmission Depr. Reserve</t>
  </si>
  <si>
    <t>Distribution Depr. Reserve</t>
  </si>
  <si>
    <t>General Depr. Reserve</t>
  </si>
  <si>
    <t>Note H</t>
  </si>
  <si>
    <t>Note H:</t>
  </si>
  <si>
    <t>Investment in Transmission Energy Control Center included in Schedule 1 Ancillary Service cost</t>
  </si>
  <si>
    <t>Intangible Amortization</t>
  </si>
  <si>
    <t>Excludes all income and gross receipts taxes.  Labor related other taxes include FICA and unemployment taxes.  Property</t>
  </si>
  <si>
    <t xml:space="preserve">Trans. Related Pct of Whlse Loss </t>
  </si>
  <si>
    <t>Total Extraordniary Property Loss - Wholesale</t>
  </si>
  <si>
    <t>Extraordinary Property Losses - Balance</t>
  </si>
  <si>
    <t xml:space="preserve">Whlse Extraordinary Property Loss </t>
  </si>
  <si>
    <t xml:space="preserve">Whlse Trans. Extraordinary Propery Loss </t>
  </si>
  <si>
    <t>WEPL-T</t>
  </si>
  <si>
    <t>Rebuild Reserve Equivalent to $130MM Retail:</t>
  </si>
  <si>
    <t xml:space="preserve">    Whlse Portion of $6MM Funding</t>
  </si>
  <si>
    <t xml:space="preserve">    System Total Reserve Req't = 130MM/(1 - Line 5 %)</t>
  </si>
  <si>
    <t>Exhibit PEF - 2</t>
  </si>
  <si>
    <t>Net Production Plant</t>
  </si>
  <si>
    <t>Net Transmission Plant</t>
  </si>
  <si>
    <t>Net Distribution Plant</t>
  </si>
  <si>
    <t>Net General Plant</t>
  </si>
  <si>
    <t>Net Intangible Plant</t>
  </si>
  <si>
    <t>ADIT - 283  Excluding FAS 109 (Neg.)</t>
  </si>
  <si>
    <t>Exhibit PEF - 3</t>
  </si>
  <si>
    <t>OATT LABOR</t>
  </si>
  <si>
    <t>Exhibit PEF - 5</t>
  </si>
  <si>
    <t>Page 1 of 2</t>
  </si>
  <si>
    <t>Page 2 of 2</t>
  </si>
  <si>
    <t>Note I</t>
  </si>
  <si>
    <t>Note I:</t>
  </si>
  <si>
    <t>Daily Firm/Non-Firm P-t-P Rates ($/MW):</t>
  </si>
  <si>
    <t>Weekly Firm/Non-Firm P-t-P Rate $/MW-Week</t>
  </si>
  <si>
    <t>Total Firm Monthly Trans. $/MW-Month</t>
  </si>
  <si>
    <t>Preferred Stock Issued</t>
  </si>
  <si>
    <t>Loss on Reacquired Debt</t>
  </si>
  <si>
    <t>Account 216.1</t>
  </si>
  <si>
    <t>Proprietary Capital</t>
  </si>
  <si>
    <t>Gain on Reacquired Debt</t>
  </si>
  <si>
    <t>Exhibit PEF - 6</t>
  </si>
  <si>
    <t>Transmission Rate Formula Support - List of Inputs from FERC Form-1</t>
  </si>
  <si>
    <t>Note J</t>
  </si>
  <si>
    <t>Note J:</t>
  </si>
  <si>
    <t>Functionalized Transmission part 182.1 Extraordinary Property Losses balance only, "WEPL-T."  Consistent with the process</t>
  </si>
  <si>
    <t>described in Note H above, the OATT-related amount of the transmission loss is then derived using the TP allocation factor</t>
  </si>
  <si>
    <t>Note K:</t>
  </si>
  <si>
    <t>to the OATT. See also Notes H and J.</t>
  </si>
  <si>
    <t>Because the Page 2 Rate Base amounts are total system numbers, the wholesale specific loss/reserve balance is grossed up</t>
  </si>
  <si>
    <t>using the relationship between system and wholesale only transmission demands times the percent of the balance applicable</t>
  </si>
  <si>
    <t>Total Classified as Non-Firm = Revenue Credit</t>
  </si>
  <si>
    <t>Includes Network Integration Service and Network Contract Demand Service</t>
  </si>
  <si>
    <t>Unit</t>
  </si>
  <si>
    <t>Bank</t>
  </si>
  <si>
    <t xml:space="preserve">Page 6 </t>
  </si>
  <si>
    <t>Adj. to Imputed Whlse PBOP Exp. - System</t>
  </si>
  <si>
    <t>Page 5 of 6</t>
  </si>
  <si>
    <t>Page 6 of 6</t>
  </si>
  <si>
    <t>Adjustment to Per Books PBOP Expenses</t>
  </si>
  <si>
    <t>vs. Imputed Amount</t>
  </si>
  <si>
    <t xml:space="preserve">Reference for System Amount Basis in Wholesale Rates: </t>
  </si>
  <si>
    <t>Page 3 of 6</t>
  </si>
  <si>
    <t>Page 1 of 6</t>
  </si>
  <si>
    <t>Page 2 of 6</t>
  </si>
  <si>
    <t>Page 4 of 6</t>
  </si>
  <si>
    <t xml:space="preserve"> ==&gt; PBOP Expense Adjustment</t>
  </si>
  <si>
    <t>Prepayments (Note L)</t>
  </si>
  <si>
    <t>335.1-3.b</t>
  </si>
  <si>
    <t xml:space="preserve"> Less Industry Dues and R&amp;D Expense</t>
  </si>
  <si>
    <t>Gross PEF Revenue Requirement</t>
  </si>
  <si>
    <t xml:space="preserve">  Less Account 561</t>
  </si>
  <si>
    <t>Less Interconnection Facilities (Order 2003)</t>
  </si>
  <si>
    <t>321.84-92.b</t>
  </si>
  <si>
    <t>TExp</t>
  </si>
  <si>
    <t>Accumulated Deferred</t>
  </si>
  <si>
    <t>Factor</t>
  </si>
  <si>
    <t>Result</t>
  </si>
  <si>
    <t>Account</t>
  </si>
  <si>
    <t>Retail</t>
  </si>
  <si>
    <t>LABOR</t>
  </si>
  <si>
    <t>PROD</t>
  </si>
  <si>
    <t>DIST</t>
  </si>
  <si>
    <t>Other</t>
  </si>
  <si>
    <t xml:space="preserve">  Balance in Account 190</t>
  </si>
  <si>
    <t xml:space="preserve">  Balance in Account 281</t>
  </si>
  <si>
    <t xml:space="preserve">  Balance in Account 282</t>
  </si>
  <si>
    <t xml:space="preserve">  Balance in Account 283</t>
  </si>
  <si>
    <t xml:space="preserve">  Total Accumulated Deferred Income Tax</t>
  </si>
  <si>
    <t>Divisor - Sum of Monthly MW Transmission System Peaks (Excludes STF)</t>
  </si>
  <si>
    <t>Less system storm reserve funding</t>
  </si>
  <si>
    <t>Adj. - RCO Labor in A&amp;G Labor</t>
  </si>
  <si>
    <t xml:space="preserve">  Total 456 NF + STF Revenue </t>
  </si>
  <si>
    <t>Contract Demand Adjustment</t>
  </si>
  <si>
    <t xml:space="preserve">  Net OATT Revenue Credit</t>
  </si>
  <si>
    <t xml:space="preserve"> </t>
  </si>
  <si>
    <t>b&amp;g</t>
  </si>
  <si>
    <t>Beginning Balance</t>
  </si>
  <si>
    <t>Ending Balance</t>
  </si>
  <si>
    <t>Ending Balance or Annual Value</t>
  </si>
  <si>
    <t>c&amp;d</t>
  </si>
  <si>
    <t>Rate Base Items from Prior Year Form 1 (Year End Value Where Not Available as Beginning Balance Above)</t>
  </si>
  <si>
    <t xml:space="preserve">Production Plant </t>
  </si>
  <si>
    <t>B/E Average</t>
  </si>
  <si>
    <t>Return and Average Capitalization:</t>
  </si>
  <si>
    <t>Plant Held for Future Use (Trans Only)</t>
  </si>
  <si>
    <t>b&amp;h</t>
  </si>
  <si>
    <t>b&amp;k</t>
  </si>
  <si>
    <t>b&amp;c</t>
  </si>
  <si>
    <t>AVERAGE CAPITALIZATION:</t>
  </si>
  <si>
    <t>Development of Rate Base and Capital Structure</t>
  </si>
  <si>
    <t>Industry Association Dues</t>
  </si>
  <si>
    <t>ER95-469</t>
  </si>
  <si>
    <t>Interest Accrued/Capitalized on Network Prepayments</t>
  </si>
  <si>
    <t>Interest Disbursed with Network Prepayment Refunds</t>
  </si>
  <si>
    <t>Adjustments to Rate Base - Deferred Taxes</t>
  </si>
  <si>
    <t>Total Deferred Tax Adjustments</t>
  </si>
  <si>
    <t>Total Network Upgrade Prepayment Adjustments</t>
  </si>
  <si>
    <t>Transmission</t>
  </si>
  <si>
    <t xml:space="preserve">   Total Account 454</t>
  </si>
  <si>
    <t>Acct 456 - NF + STF Service (x/ Ancillaries)</t>
  </si>
  <si>
    <t>Acct 454 - Transmission Related</t>
  </si>
  <si>
    <r>
      <t>Tax Rev.Req't Factor  = T / (1 -T) * (1 - Wtd.Debt.Cost/R</t>
    </r>
    <r>
      <rPr>
        <vertAlign val="subscript"/>
        <sz val="10"/>
        <rFont val="Arial"/>
        <family val="2"/>
      </rPr>
      <t>0</t>
    </r>
    <r>
      <rPr>
        <sz val="10"/>
        <rFont val="Arial"/>
        <family val="2"/>
      </rPr>
      <t>)</t>
    </r>
  </si>
  <si>
    <t>Adjusted Labor w/o A&amp;G (Line 9 - Line 10 + Line 11)</t>
  </si>
  <si>
    <t>Trans Labor Factor (Line 13 / Line 12)</t>
  </si>
  <si>
    <t>B/E Avg. Transmission Plant Included in OATT Rate:</t>
  </si>
  <si>
    <t xml:space="preserve">Less Energy Control Center </t>
  </si>
  <si>
    <t xml:space="preserve">Avg.Trans Plant for OATT Rate </t>
  </si>
  <si>
    <t>TP Allocator (Line 5 / Line 1)</t>
  </si>
  <si>
    <t xml:space="preserve">  Less Associated Ancillaries</t>
  </si>
  <si>
    <t>Short Term Firm  -  Revenue Credit</t>
  </si>
  <si>
    <t>Excludes Asset Retirement Obligations from plant balances</t>
  </si>
  <si>
    <t>Gross Plant in Service (Note A):</t>
  </si>
  <si>
    <t>Accumulated Depreciation:</t>
  </si>
  <si>
    <r>
      <t xml:space="preserve">  Total System </t>
    </r>
    <r>
      <rPr>
        <sz val="10"/>
        <rFont val="Arial"/>
        <family val="2"/>
      </rPr>
      <t xml:space="preserve">Long Term </t>
    </r>
    <r>
      <rPr>
        <sz val="10"/>
        <rFont val="Arial"/>
        <family val="2"/>
      </rPr>
      <t>Firm Transmission Load</t>
    </r>
  </si>
  <si>
    <t>Net 182.1 (+) / Storm Reserve (-) - Wholesale Transmission (Note B)</t>
  </si>
  <si>
    <t>Note C</t>
  </si>
  <si>
    <t>Excludes Retail ECCR and Sebring amortizations from Form-1 reported value</t>
  </si>
  <si>
    <t>Whlse Reserve Needed = Line 6 - $130MM</t>
  </si>
  <si>
    <t xml:space="preserve">Balance 2004 Loss as of  Jan 1, 2008 </t>
  </si>
  <si>
    <t>Line No.</t>
  </si>
  <si>
    <t>Amortize Existing Loss</t>
  </si>
  <si>
    <t>Rebuild Reserve</t>
  </si>
  <si>
    <t xml:space="preserve">  Total</t>
  </si>
  <si>
    <t>Revenue Req't - Customer Owned Facilities</t>
  </si>
  <si>
    <t>Note L:</t>
  </si>
  <si>
    <t>Note D</t>
  </si>
  <si>
    <t xml:space="preserve">Analysis of Company books. Regulatory expense excludes charges by FERC pursuant to 18 CFR § 382.201  </t>
  </si>
  <si>
    <t>PROGRESS ENERGY FLORIDA</t>
  </si>
  <si>
    <t>PREPAYMENTS FOR NETWORK UPGRADES</t>
  </si>
  <si>
    <t>252 Customer advances for construction.</t>
  </si>
  <si>
    <t>This account shall include advances by customers for construction which are to be</t>
  </si>
  <si>
    <t>refunded either wholly or in part. When a customer is refunded the entire amount to</t>
  </si>
  <si>
    <t>which he is entitled, according to the agreement or rule under which the advance was</t>
  </si>
  <si>
    <t>made the balance, if any, remaining in this account shall be credited to the respective</t>
  </si>
  <si>
    <t>plant account.</t>
  </si>
  <si>
    <t>EXAMPLE</t>
  </si>
  <si>
    <t>NETWORK UPGRADE COST</t>
  </si>
  <si>
    <t>DEPRECIABLE LIFE</t>
  </si>
  <si>
    <t>40-YRS</t>
  </si>
  <si>
    <t>ANNUAL FERC INTEREST RATE</t>
  </si>
  <si>
    <t>ANNUALLY</t>
  </si>
  <si>
    <t>REFUND OVER 5 -YRS</t>
  </si>
  <si>
    <t>SCENARIO 1:</t>
  </si>
  <si>
    <t>SCENARIO 2:</t>
  </si>
  <si>
    <t>RECOVERY OF INTEREST:  PER AGREEMENT WITH CUSTOMERS, INTEREST</t>
  </si>
  <si>
    <t>YEAR OF IN-SERVICE:</t>
  </si>
  <si>
    <t>WILL BE RECOVERED UPON PAYMENT AND NOT AS ACCRUED.  THIS WILL</t>
  </si>
  <si>
    <t>DESCRIPTION</t>
  </si>
  <si>
    <t>FERC</t>
  </si>
  <si>
    <t>DEBIT</t>
  </si>
  <si>
    <t>CREDIT</t>
  </si>
  <si>
    <t>CREATE A REGULATORY ASSET TO RECOGNIZE THE DEFERRED COST</t>
  </si>
  <si>
    <t>ELEC. PLNT IN-SVC</t>
  </si>
  <si>
    <t>RECOVERY.</t>
  </si>
  <si>
    <t>CUSTOMER ADVANCES</t>
  </si>
  <si>
    <t>1st REFUND:</t>
  </si>
  <si>
    <t>CASH</t>
  </si>
  <si>
    <t>YR-1 NO REFUND:</t>
  </si>
  <si>
    <t>INTEREST EXP</t>
  </si>
  <si>
    <t>INTEREST ACCRUED</t>
  </si>
  <si>
    <r>
      <t xml:space="preserve">REG ASSET </t>
    </r>
    <r>
      <rPr>
        <sz val="8"/>
        <rFont val="Arial"/>
        <family val="2"/>
      </rPr>
      <t>(INTEREST ACCRUED)</t>
    </r>
  </si>
  <si>
    <t>RATE BASE</t>
  </si>
  <si>
    <t>EXPENSE</t>
  </si>
  <si>
    <t>INTEREST ACCRUED DEFERRAL</t>
  </si>
  <si>
    <t>YR-5 WITH REFUND:</t>
  </si>
  <si>
    <r>
      <t xml:space="preserve">FORMULA INPUT - EPIS </t>
    </r>
    <r>
      <rPr>
        <b/>
        <vertAlign val="subscript"/>
        <sz val="10"/>
        <rFont val="Arial"/>
        <family val="2"/>
      </rPr>
      <t>YR-1</t>
    </r>
  </si>
  <si>
    <t>BEGINNING BAL.</t>
  </si>
  <si>
    <r>
      <t xml:space="preserve">FORMULA INPUT </t>
    </r>
    <r>
      <rPr>
        <b/>
        <vertAlign val="subscript"/>
        <sz val="10"/>
        <rFont val="Arial"/>
        <family val="2"/>
      </rPr>
      <t>YR-1</t>
    </r>
  </si>
  <si>
    <r>
      <t xml:space="preserve">FORMULA INPUT - EPIS </t>
    </r>
    <r>
      <rPr>
        <b/>
        <vertAlign val="subscript"/>
        <sz val="10"/>
        <rFont val="Arial"/>
        <family val="2"/>
      </rPr>
      <t>YR-2</t>
    </r>
  </si>
  <si>
    <r>
      <t xml:space="preserve">FORMULA ACCUM. DEP </t>
    </r>
    <r>
      <rPr>
        <b/>
        <vertAlign val="subscript"/>
        <sz val="10"/>
        <rFont val="Arial"/>
        <family val="2"/>
      </rPr>
      <t>YR-2</t>
    </r>
  </si>
  <si>
    <t>IF NOT REFUNDED UNTIL YR 5, THAN:</t>
  </si>
  <si>
    <r>
      <t xml:space="preserve">FORMULA INPUT </t>
    </r>
    <r>
      <rPr>
        <b/>
        <vertAlign val="subscript"/>
        <sz val="10"/>
        <rFont val="Arial"/>
        <family val="2"/>
      </rPr>
      <t>YR-2</t>
    </r>
  </si>
  <si>
    <r>
      <t xml:space="preserve">FORMULA INPUT </t>
    </r>
    <r>
      <rPr>
        <b/>
        <vertAlign val="subscript"/>
        <sz val="10"/>
        <rFont val="Arial"/>
        <family val="2"/>
      </rPr>
      <t>YR-3</t>
    </r>
  </si>
  <si>
    <r>
      <t xml:space="preserve">FORMULA INPUT </t>
    </r>
    <r>
      <rPr>
        <b/>
        <vertAlign val="subscript"/>
        <sz val="10"/>
        <rFont val="Arial"/>
        <family val="2"/>
      </rPr>
      <t>YR-4</t>
    </r>
  </si>
  <si>
    <r>
      <t xml:space="preserve">FORMULA INPUT </t>
    </r>
    <r>
      <rPr>
        <b/>
        <vertAlign val="subscript"/>
        <sz val="10"/>
        <rFont val="Arial"/>
        <family val="2"/>
      </rPr>
      <t>YR-5</t>
    </r>
  </si>
  <si>
    <r>
      <t xml:space="preserve">INTEREST EXPENSE </t>
    </r>
    <r>
      <rPr>
        <vertAlign val="subscript"/>
        <sz val="10"/>
        <rFont val="Arial"/>
        <family val="2"/>
      </rPr>
      <t>YR-1</t>
    </r>
  </si>
  <si>
    <r>
      <t xml:space="preserve">REFUND </t>
    </r>
    <r>
      <rPr>
        <vertAlign val="subscript"/>
        <sz val="10"/>
        <rFont val="Arial"/>
        <family val="2"/>
      </rPr>
      <t>YR-1</t>
    </r>
  </si>
  <si>
    <r>
      <t xml:space="preserve">INTEREST ACCRUED </t>
    </r>
    <r>
      <rPr>
        <vertAlign val="subscript"/>
        <sz val="10"/>
        <rFont val="Arial"/>
        <family val="2"/>
      </rPr>
      <t>YR-1</t>
    </r>
  </si>
  <si>
    <r>
      <t xml:space="preserve">INTEREST EXPENSE </t>
    </r>
    <r>
      <rPr>
        <vertAlign val="subscript"/>
        <sz val="10"/>
        <rFont val="Arial"/>
        <family val="2"/>
      </rPr>
      <t>YR-2</t>
    </r>
  </si>
  <si>
    <r>
      <t>REG. ASSET</t>
    </r>
    <r>
      <rPr>
        <sz val="8"/>
        <rFont val="Arial"/>
        <family val="2"/>
      </rPr>
      <t xml:space="preserve"> (INTEREST ACCRUED) </t>
    </r>
    <r>
      <rPr>
        <vertAlign val="subscript"/>
        <sz val="10"/>
        <rFont val="Arial"/>
        <family val="2"/>
      </rPr>
      <t>YR-1</t>
    </r>
  </si>
  <si>
    <r>
      <t xml:space="preserve">REFUND </t>
    </r>
    <r>
      <rPr>
        <vertAlign val="subscript"/>
        <sz val="10"/>
        <rFont val="Arial"/>
        <family val="2"/>
      </rPr>
      <t>YR-2</t>
    </r>
  </si>
  <si>
    <r>
      <t xml:space="preserve">INTEREST ACCRUED </t>
    </r>
    <r>
      <rPr>
        <vertAlign val="subscript"/>
        <sz val="10"/>
        <rFont val="Arial"/>
        <family val="2"/>
      </rPr>
      <t>YR-2</t>
    </r>
  </si>
  <si>
    <r>
      <t>REG. ASSET</t>
    </r>
    <r>
      <rPr>
        <sz val="8"/>
        <rFont val="Arial"/>
        <family val="2"/>
      </rPr>
      <t xml:space="preserve"> (INTEREST ACCRUED) </t>
    </r>
    <r>
      <rPr>
        <vertAlign val="subscript"/>
        <sz val="10"/>
        <rFont val="Arial"/>
        <family val="2"/>
      </rPr>
      <t>YR-2</t>
    </r>
  </si>
  <si>
    <r>
      <t xml:space="preserve">INTEREST ACCRUED </t>
    </r>
    <r>
      <rPr>
        <vertAlign val="subscript"/>
        <sz val="10"/>
        <rFont val="Arial"/>
        <family val="2"/>
      </rPr>
      <t>YR-3</t>
    </r>
  </si>
  <si>
    <r>
      <t>REG. ASSET</t>
    </r>
    <r>
      <rPr>
        <sz val="8"/>
        <rFont val="Arial"/>
        <family val="2"/>
      </rPr>
      <t xml:space="preserve"> (INTEREST ACCRUED) </t>
    </r>
    <r>
      <rPr>
        <vertAlign val="subscript"/>
        <sz val="10"/>
        <rFont val="Arial"/>
        <family val="2"/>
      </rPr>
      <t>YR-3</t>
    </r>
  </si>
  <si>
    <r>
      <t xml:space="preserve">INTEREST ACCRUED </t>
    </r>
    <r>
      <rPr>
        <vertAlign val="subscript"/>
        <sz val="10"/>
        <rFont val="Arial"/>
        <family val="2"/>
      </rPr>
      <t>YR-4</t>
    </r>
  </si>
  <si>
    <r>
      <t>REG. ASSET</t>
    </r>
    <r>
      <rPr>
        <sz val="8"/>
        <rFont val="Arial"/>
        <family val="2"/>
      </rPr>
      <t xml:space="preserve"> (INTEREST ACCRUED) </t>
    </r>
    <r>
      <rPr>
        <vertAlign val="subscript"/>
        <sz val="10"/>
        <rFont val="Arial"/>
        <family val="2"/>
      </rPr>
      <t>YR-4</t>
    </r>
  </si>
  <si>
    <r>
      <t xml:space="preserve">INTEREST ACCRUED </t>
    </r>
    <r>
      <rPr>
        <vertAlign val="subscript"/>
        <sz val="10"/>
        <rFont val="Arial"/>
        <family val="2"/>
      </rPr>
      <t>YR-5</t>
    </r>
  </si>
  <si>
    <r>
      <t>REG. ASSET</t>
    </r>
    <r>
      <rPr>
        <sz val="8"/>
        <rFont val="Arial"/>
        <family val="2"/>
      </rPr>
      <t xml:space="preserve"> (INTEREST ACCRUED) </t>
    </r>
    <r>
      <rPr>
        <vertAlign val="subscript"/>
        <sz val="10"/>
        <rFont val="Arial"/>
        <family val="2"/>
      </rPr>
      <t>YR-5</t>
    </r>
  </si>
  <si>
    <r>
      <t xml:space="preserve">REFUND </t>
    </r>
    <r>
      <rPr>
        <vertAlign val="subscript"/>
        <sz val="10"/>
        <rFont val="Arial"/>
        <family val="2"/>
      </rPr>
      <t>YR-5</t>
    </r>
  </si>
  <si>
    <t>Transmission Rate Formula Support - Interconnection Facilities</t>
  </si>
  <si>
    <t>Generation In-Service After March 15, 2000 per FERC Order 2003</t>
  </si>
  <si>
    <t>Unit(s)</t>
  </si>
  <si>
    <t>Beginning</t>
  </si>
  <si>
    <t>Balance</t>
  </si>
  <si>
    <t>Ending</t>
  </si>
  <si>
    <t>Net Allocated Property Insurance</t>
  </si>
  <si>
    <r>
      <t xml:space="preserve">Net Revenue Requirements </t>
    </r>
    <r>
      <rPr>
        <sz val="10"/>
        <rFont val="Arial"/>
        <family val="2"/>
      </rPr>
      <t>(Line 1 - Line 4 + Line 5 + Line 6)</t>
    </r>
  </si>
  <si>
    <t xml:space="preserve">Transmission Rate Formula Support -  Revenue Credits </t>
  </si>
  <si>
    <t>Account 454</t>
  </si>
  <si>
    <t>Transmission Rate Formula Support - Revenue Credits</t>
  </si>
  <si>
    <t>Exhibit PEF - 4</t>
  </si>
  <si>
    <t>Page 1 of 3</t>
  </si>
  <si>
    <t>Page 2 of 3</t>
  </si>
  <si>
    <t>Page 3 of 3</t>
  </si>
  <si>
    <t>Note M</t>
  </si>
  <si>
    <t>Note M:</t>
  </si>
  <si>
    <t>If income tax rates change during a calendar year, the income tax rates will be pro-rated based on the number of days each income</t>
  </si>
  <si>
    <t>tax rate was in effect.</t>
  </si>
  <si>
    <t>Accumulated Deferred Tax Detail - Prior Year</t>
  </si>
  <si>
    <t>Accumulated Deferred Tax Detail - Current Year</t>
  </si>
  <si>
    <t>Fixed</t>
  </si>
  <si>
    <t>Note N:</t>
  </si>
  <si>
    <t>Pursuant to the settlement agreement, annual amounts included in line 11 will be adjusted and reversed as necessary to ensure no</t>
  </si>
  <si>
    <t xml:space="preserve">overfunding of the wholesale reserve; i.e., the year-end reserve balance for OATT rates will not exceed the $8,614,774 shown on line 7 </t>
  </si>
  <si>
    <t xml:space="preserve">  Total Interconnection Facilities </t>
  </si>
  <si>
    <t>ADIT - 283  (Negative)</t>
  </si>
  <si>
    <t>Total Capitalization (sum Lines 20, 21, 22)</t>
  </si>
  <si>
    <t>SUMMARY CAP STRUCTURE</t>
  </si>
  <si>
    <t>Rate Base Adjustments -  Network Upgrade Prepayments (Note O):</t>
  </si>
  <si>
    <t>To the extent PEF is authorized by the Florida Public Service Commission and issues bonds for distribution facilities to securitize retail</t>
  </si>
  <si>
    <t xml:space="preserve">recovery of extraordinary property losses, associated principal and interest expense are excluded in capitalization and return basis.  </t>
  </si>
  <si>
    <t>Note O:</t>
  </si>
  <si>
    <t>Payments by PEF to an Affected System Operator pursuant to Orders 2003 or 2006 (including rehearing orders) are not to be included</t>
  </si>
  <si>
    <t>in the formula rate regardless of the accounting.</t>
  </si>
  <si>
    <t xml:space="preserve">  Total 2008-2012</t>
  </si>
  <si>
    <t>STF/Non-Firm on OATT</t>
  </si>
  <si>
    <t>Storm Reserve Balance Tracking:</t>
  </si>
  <si>
    <t>Adjustment:</t>
  </si>
  <si>
    <t>2013 'til  Extraordinary Loss</t>
  </si>
  <si>
    <t>Maximum Reserve per Settlement</t>
  </si>
  <si>
    <t xml:space="preserve">LTF on OATT </t>
  </si>
  <si>
    <t>Components of Storm Amortization/Reserve Funding Adder (2008-2012 Rate Years only - Note N):</t>
  </si>
  <si>
    <t>Whlse Portion of Existing Storm Accrual</t>
  </si>
  <si>
    <r>
      <t xml:space="preserve">Levelized Storm Reserve Funding Rate $/MW-Month </t>
    </r>
    <r>
      <rPr>
        <sz val="10"/>
        <rFont val="Arial"/>
        <family val="2"/>
      </rPr>
      <t>(PEF - 6, Page 2)</t>
    </r>
  </si>
  <si>
    <t>OATT Settlement - 2004 Storm Treatment</t>
  </si>
  <si>
    <t>LEVELIZED RATE, FUNDING ADJUSTED FOR RESERVE MAXIMUM per NOTE N</t>
  </si>
  <si>
    <t xml:space="preserve">Note P:  </t>
  </si>
  <si>
    <t xml:space="preserve">Target percentages are fixed for 2008 - 2012 and were derived from projected OATT LTF billing MW-months and the MW-month equivalent  </t>
  </si>
  <si>
    <t xml:space="preserve">billings for STF and non-firm transmission revenues in the September 2007 PEF financial forecast. </t>
  </si>
  <si>
    <t>Note Q:</t>
  </si>
  <si>
    <t xml:space="preserve">Actual LTF OATT MW-Months are the sum of Lines 11 and 12 above, as reported in Form-1 for Firm Network Service for Others and  </t>
  </si>
  <si>
    <t>Long Term Firm Point-to-Point Service</t>
  </si>
  <si>
    <t xml:space="preserve">Note R:  </t>
  </si>
  <si>
    <t>Actual STF/Non-Firm equivalent "MW-Months" are equal to monthly STF/Non-firm transmission service revenue divided by the same "Total</t>
  </si>
  <si>
    <t xml:space="preserve">Firm Monthly Trans. $/MW-Month" rate (Page 1, Line 11) from which the STF/Non-firm billing rates were derived  </t>
  </si>
  <si>
    <t xml:space="preserve"> (PEF-2, Page 5, Line 4)</t>
  </si>
  <si>
    <t xml:space="preserve"> (PEF-2, Page 5, Line 7)</t>
  </si>
  <si>
    <t xml:space="preserve"> (PEF-2, Page 5, Line 8)</t>
  </si>
  <si>
    <t>Existing Wholesale Accrual         (Line 9)</t>
  </si>
  <si>
    <r>
      <t>Gross-up Factor for OATT Wholesale Reserve - System Basis</t>
    </r>
    <r>
      <rPr>
        <sz val="10"/>
        <rFont val="Arial"/>
        <family val="2"/>
      </rPr>
      <t xml:space="preserve"> (Total Load/Whlse Load * 0.84987)</t>
    </r>
  </si>
  <si>
    <t>Determination of Levelized Storm Damage Recovery Adder</t>
  </si>
  <si>
    <t>Total Funding Requirements</t>
  </si>
  <si>
    <t>Less:</t>
  </si>
  <si>
    <t>Amount assumed to be collected from non-OATT service:</t>
  </si>
  <si>
    <t>Annual Amount</t>
  </si>
  <si>
    <t>Five-Year Total</t>
  </si>
  <si>
    <t xml:space="preserve"> (Line 11 * 5)</t>
  </si>
  <si>
    <t>Net 5-Year Requirement</t>
  </si>
  <si>
    <t xml:space="preserve"> (Line 8 - Line 12)</t>
  </si>
  <si>
    <t>Annual Recovery Requirements</t>
  </si>
  <si>
    <t>Projected Billing Units (MW-months)</t>
  </si>
  <si>
    <t>(Projected and Fixed)</t>
  </si>
  <si>
    <t xml:space="preserve">  Total Projected Billing Units</t>
  </si>
  <si>
    <t>Annual Percentages</t>
  </si>
  <si>
    <t>(Ln 23 * Ln 6 / Ln 8 * Ln 14)</t>
  </si>
  <si>
    <t>(Ln 23 * Ln 7 / Ln 8 * Ln 14)</t>
  </si>
  <si>
    <t>Levelized Storm Damage Recovery</t>
  </si>
  <si>
    <t>Adder ($/MW-mo)</t>
  </si>
  <si>
    <t>(Line 28 / Line 21)</t>
  </si>
  <si>
    <t>Example Application of Levelized Adder and Annual True-Up</t>
  </si>
  <si>
    <t>(Actual MW-Months)</t>
  </si>
  <si>
    <t>(Actual Equiv. MW-Months)</t>
  </si>
  <si>
    <t xml:space="preserve">  Total Billing Units</t>
  </si>
  <si>
    <t>(Line 36 + Line 37)</t>
  </si>
  <si>
    <t>Actual Recoveries of Existing Loss &amp; Reserve Replenishment</t>
  </si>
  <si>
    <t>(Line 31 * Line 36)</t>
  </si>
  <si>
    <t>(Line 31 * Line 37)</t>
  </si>
  <si>
    <t xml:space="preserve">  Total Collections</t>
  </si>
  <si>
    <t>(Line 41 + Line 42)</t>
  </si>
  <si>
    <t>Over(Under) Recovery to Be Reflected</t>
  </si>
  <si>
    <t>In Annual True-Ups</t>
  </si>
  <si>
    <t>(Line 43 - Line 28)</t>
  </si>
  <si>
    <t>Funding From OATT Adder</t>
  </si>
  <si>
    <t>(Line 28)</t>
  </si>
  <si>
    <t>(Line 11)</t>
  </si>
  <si>
    <t>(Fixed - Note P)</t>
  </si>
  <si>
    <t>Actual Billing Units (MW-months) (Notes Q and R)</t>
  </si>
  <si>
    <t>62 thru 67</t>
  </si>
  <si>
    <t>20 thru 24</t>
  </si>
  <si>
    <t>84 thru 92</t>
  </si>
  <si>
    <t>(561) Transmission of Electricity by Others</t>
  </si>
  <si>
    <t>TP2006</t>
  </si>
  <si>
    <t>Account 456.1</t>
  </si>
  <si>
    <t>Exhibit PEF - 7</t>
  </si>
  <si>
    <t>Page 1 of 1</t>
  </si>
  <si>
    <t>Gross Plant in Service:</t>
  </si>
  <si>
    <t>B/E Balance</t>
  </si>
  <si>
    <t>Project 1</t>
  </si>
  <si>
    <t>Project 2</t>
  </si>
  <si>
    <t>…</t>
  </si>
  <si>
    <t>Project N</t>
  </si>
  <si>
    <t>Total Projects</t>
  </si>
  <si>
    <t xml:space="preserve">  Additions</t>
  </si>
  <si>
    <t xml:space="preserve">  Retirements</t>
  </si>
  <si>
    <t xml:space="preserve">  Adjustments</t>
  </si>
  <si>
    <t xml:space="preserve">  Annual Deprecation Expense</t>
  </si>
  <si>
    <t xml:space="preserve">   Project Description:</t>
  </si>
  <si>
    <t>2A</t>
  </si>
  <si>
    <t>2B</t>
  </si>
  <si>
    <t xml:space="preserve">  Less Direct Assign Radials</t>
  </si>
  <si>
    <t>PEF - 7, ll 1&amp;5</t>
  </si>
  <si>
    <t>Trans. Plant w/o Direct Assign Radials</t>
  </si>
  <si>
    <t>8A</t>
  </si>
  <si>
    <t>8B</t>
  </si>
  <si>
    <t>PEF - 7, ll 7&amp;10</t>
  </si>
  <si>
    <t>18A</t>
  </si>
  <si>
    <t>18B</t>
  </si>
  <si>
    <t xml:space="preserve">  Less Direct Assign Radial Depr Exp</t>
  </si>
  <si>
    <t>Trans. Reserve w/o Direct Assign Radials</t>
  </si>
  <si>
    <t>PEF-7, line 8</t>
  </si>
  <si>
    <t>Trans Depr. w/o Direct Assign Radials</t>
  </si>
  <si>
    <t>7A</t>
  </si>
  <si>
    <t>Add back D/A Radials to Total Trans Plt (line 1 + p2, l 2A)</t>
  </si>
  <si>
    <t>Note T:</t>
  </si>
  <si>
    <t>Should PEF construct and own radials directly assignable to wholesale customers, PEF shall make a Section 205 filing to amend its Formula</t>
  </si>
  <si>
    <t>Note S:</t>
  </si>
  <si>
    <t>attachment (e.g., Exhibit PEF-x) shall be added to the template that sets forth the direct assignment radials by customer and by facility,</t>
  </si>
  <si>
    <t xml:space="preserve">accumulated depreciation reserves be maintained separately by customer and by project to capture the associated costs by customer and to </t>
  </si>
  <si>
    <t>reflect the appropriate effect of the vintage of each project.  Such Exhibit PEF-x shall be structured to accommodate direct assignments to</t>
  </si>
  <si>
    <t>multiple wholesale customers. Exhibit PEF-2 shall be modified to remove the direct assignment wholesale radials from the base rate calculations</t>
  </si>
  <si>
    <t xml:space="preserve">wholesale customer's direct assignment radials in the aggregate in separate columns.  Such Section 205 filing shall be made sufficiently in </t>
  </si>
  <si>
    <t>advance of the first occurrence of a direct assignment wholesale transmission radial to permit the requisite modifications to the Formula Rate</t>
  </si>
  <si>
    <t>Template to become effective with the in-servie date of the associated facility.</t>
  </si>
  <si>
    <t xml:space="preserve">Rate Template to remove the costs associated with wholesale direct assignment radials from the calculation of the OATT base rates.  A new </t>
  </si>
  <si>
    <t>showing the associated monthly balances for gross plant and accumulated depreciation reserves separately by project.  The intent is that the</t>
  </si>
  <si>
    <t>in a manner consistent with retail radials, except that Exhibit PEF-2 shall be further modified to set forth separately the costs allocated to each</t>
  </si>
  <si>
    <t>Transmission Rate Formula Support - Direct Assignment Retail Radials in Accordance with OATT Attachment U</t>
  </si>
  <si>
    <t>Year Ending 12/31/yyyy</t>
  </si>
  <si>
    <t>Exhibit PEF - 5A</t>
  </si>
  <si>
    <t xml:space="preserve">  Description</t>
  </si>
  <si>
    <t>Ending
 Balance</t>
  </si>
  <si>
    <t>Section 2.12 of Schedule 10.3 states “The Formula Rate excludes all costs that are properly directly assigned or assignable to one or more</t>
  </si>
  <si>
    <t>particular customers, including costs directly assigned or assignable to PEF.”  Per Settlement of 2008 Annual Update, the amount specified</t>
  </si>
  <si>
    <t>excludes directly assignable retail costs/credits booked to Account 935 and retail sales tax portion of Florida sales tax audit expense booked</t>
  </si>
  <si>
    <t>to Account 930.2 from Form-1 reported value.</t>
  </si>
  <si>
    <t>Network prepayments include interest that has been accrued but not yet refunded.</t>
  </si>
  <si>
    <t>Note U:</t>
  </si>
  <si>
    <t>Note V:</t>
  </si>
  <si>
    <t>Note W:</t>
  </si>
  <si>
    <r>
      <t xml:space="preserve">Beginning balance excludes $0 </t>
    </r>
    <r>
      <rPr>
        <sz val="10"/>
        <rFont val="Arial"/>
        <family val="2"/>
      </rPr>
      <t>and ending balance excludes $</t>
    </r>
    <r>
      <rPr>
        <sz val="10"/>
        <rFont val="Arial"/>
        <family val="2"/>
      </rPr>
      <t>0</t>
    </r>
    <r>
      <rPr>
        <sz val="10"/>
        <rFont val="Arial"/>
        <family val="2"/>
      </rPr>
      <t xml:space="preserve"> for prepaid pensions from Form-1 A/C 165 balances.</t>
    </r>
  </si>
  <si>
    <t>Line 2 - Line 8</t>
  </si>
  <si>
    <t>Exhibit PEF-5A</t>
  </si>
  <si>
    <t>direct assignment radials</t>
  </si>
  <si>
    <t>Transmission Related CWIP - Identified Projects (Note V):</t>
  </si>
  <si>
    <t>Outstanding Balance - Network Prepayments (Note T)</t>
  </si>
  <si>
    <r>
      <t xml:space="preserve">Unfunded </t>
    </r>
    <r>
      <rPr>
        <sz val="11"/>
        <rFont val="Calibri"/>
        <family val="2"/>
        <scheme val="minor"/>
      </rPr>
      <t xml:space="preserve"> Reserves</t>
    </r>
  </si>
  <si>
    <t>Value</t>
  </si>
  <si>
    <t>Identified Reserves:</t>
  </si>
  <si>
    <t xml:space="preserve">   Total Reserves</t>
  </si>
  <si>
    <t>Less Externally Funded Amounts:</t>
  </si>
  <si>
    <t xml:space="preserve">  Total Externally Funded Amounts</t>
  </si>
  <si>
    <t>Net Unfunded Reserves</t>
  </si>
  <si>
    <t>Note U</t>
  </si>
  <si>
    <t>The inclusion of Line 24, "Unfunded Reserves," ensures that identified "Unfunded Reserves" are appropriately excluded from rate base in</t>
  </si>
  <si>
    <t>the Formula Rate calculations.  The specific treatment of these "Unfunded Reserves" in no way precludes the Transmission Provider or</t>
  </si>
  <si>
    <t xml:space="preserve">interested parties from making any argument in any proceeding at the Commission or in any review or challenge proceeding under the </t>
  </si>
  <si>
    <t>Formula Rate as to the appropriate accounting or ratemaking treatment in the Formula Rate of any unfunded reserve.</t>
  </si>
  <si>
    <t>Unfunded Reserves</t>
  </si>
  <si>
    <r>
      <t xml:space="preserve">Total Transmission Plant </t>
    </r>
    <r>
      <rPr>
        <sz val="10"/>
        <rFont val="Arial"/>
        <family val="2"/>
      </rPr>
      <t>w/o D/A Radials</t>
    </r>
  </si>
  <si>
    <r>
      <t>p 2, line 2</t>
    </r>
    <r>
      <rPr>
        <sz val="10"/>
        <rFont val="Arial"/>
        <family val="2"/>
      </rPr>
      <t>B</t>
    </r>
  </si>
  <si>
    <t>Add Back ECC to OATT Plant (Line 4 + Line 5)</t>
  </si>
  <si>
    <t>TExp Allocator (Expenses excluding 561 and 565) (Line 7 / Line 7A)</t>
  </si>
  <si>
    <t>OATT LABOR Allocator (Line 5 / Line 7A * Line 14)</t>
  </si>
  <si>
    <t>Adjusted to remove ADUFC accruals from CWIP projects that were included in rate base.  Qualifying CWIP excludes CWIP associated with</t>
  </si>
  <si>
    <r>
      <t xml:space="preserve">The allocator "TP" is the percent of </t>
    </r>
    <r>
      <rPr>
        <sz val="10"/>
        <rFont val="Arial"/>
        <family val="2"/>
      </rPr>
      <t xml:space="preserve">allocated gross transmission plant that is OATT related, i.e., after removal of ECC, interconnections and </t>
    </r>
  </si>
  <si>
    <t xml:space="preserve">generator step-up transformer investment. </t>
  </si>
  <si>
    <t>Year</t>
  </si>
  <si>
    <t>YR</t>
  </si>
  <si>
    <t>L_YR</t>
  </si>
  <si>
    <t>L_YR_P</t>
  </si>
  <si>
    <t>Notes</t>
  </si>
  <si>
    <t>Joint Use Pole Attachments - Distrib</t>
  </si>
  <si>
    <t>Joint Use Transmission Portion</t>
  </si>
  <si>
    <t>Transmission Tower Attachments</t>
  </si>
  <si>
    <t>Lighting Fixtures &amp; Poles</t>
  </si>
  <si>
    <t>SECI Equip Rental</t>
  </si>
  <si>
    <t>Cogen Equip Rental</t>
  </si>
  <si>
    <t>Wheelabrator Pinellas Cogen (non-CSS)</t>
  </si>
  <si>
    <t>Primary Metering &amp; Prem Distb Svc</t>
  </si>
  <si>
    <t>Premier Power Service</t>
  </si>
  <si>
    <t>Reclass Premier Power Service to 456</t>
  </si>
  <si>
    <t>Georgia Power Joint Owner-11 Rent Common Plant</t>
  </si>
  <si>
    <t>Telemetering - Miami Dade Equipment Rental</t>
  </si>
  <si>
    <t>Nuclear Participants Rent</t>
  </si>
  <si>
    <t>Lease Agreement for Antennae Use at Anclote</t>
  </si>
  <si>
    <t>Rent - Transmission - Level 3 &amp; Tower Lease</t>
  </si>
  <si>
    <t>Corporate Allocation Sublease Revenue</t>
  </si>
  <si>
    <t xml:space="preserve"> Allocated by LABOR</t>
  </si>
  <si>
    <t>General Leases - Real Estate</t>
  </si>
  <si>
    <t>Parking Lot Rent &amp; Building Rent</t>
  </si>
  <si>
    <t>Miscellaneous Other</t>
  </si>
  <si>
    <t>328-330, line1</t>
  </si>
  <si>
    <t>CIty of Alachua-Gainesville</t>
  </si>
  <si>
    <t>LFP</t>
  </si>
  <si>
    <t>T6/72</t>
  </si>
  <si>
    <t>328-330, line2</t>
  </si>
  <si>
    <t>City of Bartow</t>
  </si>
  <si>
    <t>FNO</t>
  </si>
  <si>
    <t>T6/136</t>
  </si>
  <si>
    <t>328-330, line3</t>
  </si>
  <si>
    <t>Calpine Energy Services</t>
  </si>
  <si>
    <t>NF</t>
  </si>
  <si>
    <t>T6/106</t>
  </si>
  <si>
    <t>328-330, line4</t>
  </si>
  <si>
    <t>Cargill Power Markets, LLC.</t>
  </si>
  <si>
    <t>T6/230C</t>
  </si>
  <si>
    <t>328-330, line5</t>
  </si>
  <si>
    <t>Central Power and Lime</t>
  </si>
  <si>
    <t>T6/141</t>
  </si>
  <si>
    <t>328-330, line6</t>
  </si>
  <si>
    <t>Cobb Electric Membership</t>
  </si>
  <si>
    <t>T6/114</t>
  </si>
  <si>
    <t>328-330, line7</t>
  </si>
  <si>
    <t>Conoco, Inc.</t>
  </si>
  <si>
    <t>T6/232C</t>
  </si>
  <si>
    <t>328-330, line8</t>
  </si>
  <si>
    <t>Constellation Energy</t>
  </si>
  <si>
    <t>T6/63C</t>
  </si>
  <si>
    <t>328-330, line9</t>
  </si>
  <si>
    <t>Eagle Energy Partners</t>
  </si>
  <si>
    <t>T6/257C</t>
  </si>
  <si>
    <t>328-330, line10</t>
  </si>
  <si>
    <t>Florida Municipal Power Authorty</t>
  </si>
  <si>
    <t>T6/31</t>
  </si>
  <si>
    <t>328-330, line11</t>
  </si>
  <si>
    <t>Florida Power &amp; Light Co.</t>
  </si>
  <si>
    <t>T6/7C</t>
  </si>
  <si>
    <t>328-330, line12</t>
  </si>
  <si>
    <t>Fortis Energy Marketing Trading</t>
  </si>
  <si>
    <t>T6/285C</t>
  </si>
  <si>
    <t>328-330, line13</t>
  </si>
  <si>
    <t>Gainesville Regional Utilities</t>
  </si>
  <si>
    <t>T6/73</t>
  </si>
  <si>
    <t>328-330, line14</t>
  </si>
  <si>
    <t>Georgia Power Company</t>
  </si>
  <si>
    <t>OLF</t>
  </si>
  <si>
    <t>FERC No. 105</t>
  </si>
  <si>
    <t>328-330, line15</t>
  </si>
  <si>
    <t>City of Homestead</t>
  </si>
  <si>
    <t>T6/130</t>
  </si>
  <si>
    <t>328-330, line16</t>
  </si>
  <si>
    <t>T6/52</t>
  </si>
  <si>
    <t>328-330, line17</t>
  </si>
  <si>
    <t>SFP</t>
  </si>
  <si>
    <t>T6/53</t>
  </si>
  <si>
    <t>328-330, line18</t>
  </si>
  <si>
    <t>Kissimmee Utility Auth</t>
  </si>
  <si>
    <t>T6/74</t>
  </si>
  <si>
    <t>328-330, line19</t>
  </si>
  <si>
    <t>Lakeland Utilites</t>
  </si>
  <si>
    <t>T6/56</t>
  </si>
  <si>
    <t>328-330, line20</t>
  </si>
  <si>
    <t>City of Mt. Dora</t>
  </si>
  <si>
    <t>T6/133</t>
  </si>
  <si>
    <t>328-330, line21</t>
  </si>
  <si>
    <t>JP Morgan Ventures</t>
  </si>
  <si>
    <t>T6/132</t>
  </si>
  <si>
    <t>328-330, line22</t>
  </si>
  <si>
    <t>Utilities Comm of New Smyrna Beach</t>
  </si>
  <si>
    <t>T6/75</t>
  </si>
  <si>
    <t>328-330, line23</t>
  </si>
  <si>
    <t>T6/138</t>
  </si>
  <si>
    <t>328-330, line24</t>
  </si>
  <si>
    <t>T6/12</t>
  </si>
  <si>
    <t>328-330, line25</t>
  </si>
  <si>
    <t>Oglethorpe Power Corp</t>
  </si>
  <si>
    <t>T6/187C</t>
  </si>
  <si>
    <t>328-330, line26</t>
  </si>
  <si>
    <t>Orange Cogen LP</t>
  </si>
  <si>
    <t>T6/77</t>
  </si>
  <si>
    <t>328-330, line27</t>
  </si>
  <si>
    <t>Orlando Utilities Commission</t>
  </si>
  <si>
    <t>T6/76</t>
  </si>
  <si>
    <t>328-330, line28</t>
  </si>
  <si>
    <t>T6/10</t>
  </si>
  <si>
    <t>328-330, line29</t>
  </si>
  <si>
    <t>City of Quincy</t>
  </si>
  <si>
    <t>T6/137</t>
  </si>
  <si>
    <t>328-330, line30</t>
  </si>
  <si>
    <t>Rainbow Energy Marketing Corp.</t>
  </si>
  <si>
    <t>T6/35C</t>
  </si>
  <si>
    <t>328-330, line31</t>
  </si>
  <si>
    <t>Reedy Creek Improvement Dist.</t>
  </si>
  <si>
    <t>T6/14</t>
  </si>
  <si>
    <t>328-330, line32</t>
  </si>
  <si>
    <t>Reliant Energy Services</t>
  </si>
  <si>
    <t>T6/92</t>
  </si>
  <si>
    <t>328-330, line33</t>
  </si>
  <si>
    <t>T6/3</t>
  </si>
  <si>
    <t>328-330, line34</t>
  </si>
  <si>
    <t>Seminole Electric Coop</t>
  </si>
  <si>
    <t>T6/24</t>
  </si>
  <si>
    <t>328.1-330.1, line1</t>
  </si>
  <si>
    <t>T6/23</t>
  </si>
  <si>
    <t>328.1-330.1, line2</t>
  </si>
  <si>
    <t>T6/143</t>
  </si>
  <si>
    <t>328.1-330.1, line3</t>
  </si>
  <si>
    <t>Southern Company of Florida</t>
  </si>
  <si>
    <t>T6/29C</t>
  </si>
  <si>
    <t>328.1-330.1, line4</t>
  </si>
  <si>
    <t>City of Tallahassee</t>
  </si>
  <si>
    <t>T6/96</t>
  </si>
  <si>
    <t>328.1-330.1, line5</t>
  </si>
  <si>
    <t>T6/97</t>
  </si>
  <si>
    <t>328.1-330.1, line6</t>
  </si>
  <si>
    <t>T6/19</t>
  </si>
  <si>
    <t>328.1-330.1, line7</t>
  </si>
  <si>
    <t>Tampa Electric Company</t>
  </si>
  <si>
    <t>T6/134</t>
  </si>
  <si>
    <t>328.1-330.1, line8</t>
  </si>
  <si>
    <t>T6/160C</t>
  </si>
  <si>
    <t>328.1-330.1, line9</t>
  </si>
  <si>
    <t>T6/98</t>
  </si>
  <si>
    <t>328.1-330.1, line10</t>
  </si>
  <si>
    <t>T6/25</t>
  </si>
  <si>
    <t>328.1-330.1, line11</t>
  </si>
  <si>
    <t>Tennessee Valley Authoritty</t>
  </si>
  <si>
    <t>T6/21C</t>
  </si>
  <si>
    <t>328.1-330.1, line12</t>
  </si>
  <si>
    <t>The Energy Authority</t>
  </si>
  <si>
    <t>T6/140</t>
  </si>
  <si>
    <t>328.1-330.1, line13</t>
  </si>
  <si>
    <t>T6/139</t>
  </si>
  <si>
    <t>328.1-330.1, line14</t>
  </si>
  <si>
    <t>T6/142</t>
  </si>
  <si>
    <t>328.1-330.1, line15</t>
  </si>
  <si>
    <t>T6/62</t>
  </si>
  <si>
    <t>328.1-330.1, line16</t>
  </si>
  <si>
    <t>T6/68C</t>
  </si>
  <si>
    <t>328.1-330.1, line17</t>
  </si>
  <si>
    <t>City of Williston</t>
  </si>
  <si>
    <t>T6/125</t>
  </si>
  <si>
    <t>328.1-330.1, line18</t>
  </si>
  <si>
    <t>City of Winter Park</t>
  </si>
  <si>
    <t>T6/124</t>
  </si>
  <si>
    <t>328.1-330.1, line19</t>
  </si>
  <si>
    <t>FPC Power Marketing &amp; CPL</t>
  </si>
  <si>
    <t>T6/76C</t>
  </si>
  <si>
    <t>328.1-330.1, line20</t>
  </si>
  <si>
    <t>Florida Municipal Power Auth-OS</t>
  </si>
  <si>
    <t>OS</t>
  </si>
  <si>
    <t>328.1-330.1, line21</t>
  </si>
  <si>
    <t>Reedy Creek-OS</t>
  </si>
  <si>
    <t>T6</t>
  </si>
  <si>
    <t>328.1-330.1, line22</t>
  </si>
  <si>
    <t>Seminole Electric Cooperative Inc.</t>
  </si>
  <si>
    <t>328.1-330.1, line23</t>
  </si>
  <si>
    <t>Southeastern Power Admin-OS</t>
  </si>
  <si>
    <t>328.1-330.1, line24</t>
  </si>
  <si>
    <t>Constellation Power Source</t>
  </si>
  <si>
    <t>T8</t>
  </si>
  <si>
    <t>328.1-330.1, line25</t>
  </si>
  <si>
    <t>Alabama Electric Coop</t>
  </si>
  <si>
    <t>328.1-330.1, line26</t>
  </si>
  <si>
    <t>City of New Symrna</t>
  </si>
  <si>
    <t>328.1-330.1, line27</t>
  </si>
  <si>
    <t>Pa-NJ-Maryland Int (PJM)</t>
  </si>
  <si>
    <t>328.1-330.1, line28</t>
  </si>
  <si>
    <t>Tennessee Valley Authority</t>
  </si>
  <si>
    <t>T6/70</t>
  </si>
  <si>
    <t>328.1-330.1, line29</t>
  </si>
  <si>
    <t>Carolina Power &amp; Light</t>
  </si>
  <si>
    <t>T8/76</t>
  </si>
  <si>
    <t>328.1-330.1, line30</t>
  </si>
  <si>
    <t>Duke Power</t>
  </si>
  <si>
    <t xml:space="preserve">  Less Imputed Storm AdderAncillaries</t>
  </si>
  <si>
    <t>BK 5</t>
  </si>
  <si>
    <t>Peaker #1,3</t>
  </si>
  <si>
    <t>BK 6</t>
  </si>
  <si>
    <t>Peaker #2,4</t>
  </si>
  <si>
    <t>Peaker #1,2</t>
  </si>
  <si>
    <t>Peaker #3</t>
  </si>
  <si>
    <t>Bartow CC</t>
  </si>
  <si>
    <t>ST1S</t>
  </si>
  <si>
    <t>CT1A</t>
  </si>
  <si>
    <t>CT1B</t>
  </si>
  <si>
    <t>CT1C</t>
  </si>
  <si>
    <t>CT1D</t>
  </si>
  <si>
    <t>BK 4</t>
  </si>
  <si>
    <t>Peaker #3,4</t>
  </si>
  <si>
    <t>Bk 4</t>
  </si>
  <si>
    <t>Bk 5</t>
  </si>
  <si>
    <t>Spare</t>
  </si>
  <si>
    <t>BK 1</t>
  </si>
  <si>
    <t>Unit #1</t>
  </si>
  <si>
    <t>BK 2</t>
  </si>
  <si>
    <t>Unit #2</t>
  </si>
  <si>
    <t>BK 3</t>
  </si>
  <si>
    <t>Unit #3</t>
  </si>
  <si>
    <t>Peaker #1</t>
  </si>
  <si>
    <t>BK 7</t>
  </si>
  <si>
    <t>Peaker #5,6</t>
  </si>
  <si>
    <t>BK 8</t>
  </si>
  <si>
    <t>Peaker #7</t>
  </si>
  <si>
    <t>BK 9</t>
  </si>
  <si>
    <t>Peaker #8</t>
  </si>
  <si>
    <t>BK 10</t>
  </si>
  <si>
    <t>Peaker #9</t>
  </si>
  <si>
    <t>BK 11</t>
  </si>
  <si>
    <t>Peaker #10</t>
  </si>
  <si>
    <t>Peaker #12-14</t>
  </si>
  <si>
    <t>BK 12</t>
  </si>
  <si>
    <t>Peaker #11</t>
  </si>
  <si>
    <t>Bk 1a</t>
  </si>
  <si>
    <t>Bk 1b</t>
  </si>
  <si>
    <t>Bk 2</t>
  </si>
  <si>
    <t>Bk 3</t>
  </si>
  <si>
    <t>Unit #4</t>
  </si>
  <si>
    <t>Unit #5</t>
  </si>
  <si>
    <t>Anclote</t>
  </si>
  <si>
    <t>Bk 1</t>
  </si>
  <si>
    <t>Debary</t>
  </si>
  <si>
    <t>Peaker #4,6</t>
  </si>
  <si>
    <t>Peaker #3,5</t>
  </si>
  <si>
    <t>Bk 7</t>
  </si>
  <si>
    <t>Bk 8</t>
  </si>
  <si>
    <t>Bk 9</t>
  </si>
  <si>
    <t>Bk 10</t>
  </si>
  <si>
    <t>Turner Pk</t>
  </si>
  <si>
    <t>Avon Park Pk</t>
  </si>
  <si>
    <t>Bk 6</t>
  </si>
  <si>
    <t xml:space="preserve">Univ of Fla </t>
  </si>
  <si>
    <t xml:space="preserve">Hines PB1 </t>
  </si>
  <si>
    <t>Hines PB2</t>
  </si>
  <si>
    <t xml:space="preserve">Hines PB3 </t>
  </si>
  <si>
    <t>Hines PB4</t>
  </si>
  <si>
    <t>All</t>
  </si>
  <si>
    <t>Tiger Bay</t>
  </si>
  <si>
    <t>CT1</t>
  </si>
  <si>
    <t>ST1</t>
  </si>
  <si>
    <t>CC/CT System Spares</t>
  </si>
  <si>
    <t>CT's</t>
  </si>
  <si>
    <t>CC's</t>
  </si>
  <si>
    <t>Subtotal (p2)</t>
  </si>
  <si>
    <t>Intercession City P12-P14</t>
  </si>
  <si>
    <t>Breaker and 1/2 Scheme</t>
  </si>
  <si>
    <t>Hines 2</t>
  </si>
  <si>
    <t>HInes 3</t>
  </si>
  <si>
    <t>HInes 4</t>
  </si>
  <si>
    <t>Accumulated Provision for Uncollect Accounts FPC</t>
  </si>
  <si>
    <t>Accumulated Provision for Uncollect Accounts-Non Elec</t>
  </si>
  <si>
    <t>Accumulated Provision for Uncollect Accounts-Whlsl</t>
  </si>
  <si>
    <t>Inventory Reserve</t>
  </si>
  <si>
    <t>Interest On Income Tax Deficiency</t>
  </si>
  <si>
    <t>Curr &amp; Accr Liab - FPC LTD</t>
  </si>
  <si>
    <t>Curr &amp; Accr Liab - Severance</t>
  </si>
  <si>
    <t>Curr &amp; Accr Liab Workers Comp</t>
  </si>
  <si>
    <t>FPC LT Diability Plan</t>
  </si>
  <si>
    <t>IRU Indemnification - ST</t>
  </si>
  <si>
    <t>Misc C&amp;A MICP/ECIP/RCIP</t>
  </si>
  <si>
    <t>Emmission Allowances</t>
  </si>
  <si>
    <t>Unbilled Revenue - Service Charge /Equip Rent</t>
  </si>
  <si>
    <t>Unbilled Revenue - Recovery Clauses</t>
  </si>
  <si>
    <t>Accrued Vacation Pay</t>
  </si>
  <si>
    <t>Sales Tax Reserve - Audit reserves</t>
  </si>
  <si>
    <t>State Income Tax - Federal Timing</t>
  </si>
  <si>
    <t>Deferred Fuel Expense- Gl 2540950</t>
  </si>
  <si>
    <t xml:space="preserve"> Retail Unfunded - Storm Damage </t>
  </si>
  <si>
    <t>Workman's Comp Reserve</t>
  </si>
  <si>
    <t>Claims Reserve</t>
  </si>
  <si>
    <t>SERP/Deferred SERP/MIC Plan</t>
  </si>
  <si>
    <t>Last Core Nuclear Fuel</t>
  </si>
  <si>
    <t>EOL Nuclear M&amp;S</t>
  </si>
  <si>
    <t xml:space="preserve">Nuclear Refuel Outage </t>
  </si>
  <si>
    <t>2000 Class Deferred Compensation</t>
  </si>
  <si>
    <t>Preferred  Shared Sub Plan</t>
  </si>
  <si>
    <t>Environmental Cleanup Reserve</t>
  </si>
  <si>
    <t>Mngmnt Incntv Award Deferred Comp</t>
  </si>
  <si>
    <t>Other Defer CR Stranded Cost</t>
  </si>
  <si>
    <t>IRU Indemnification - LT</t>
  </si>
  <si>
    <t>Reg Liab Nuc Decom Trust Ureal Gains</t>
  </si>
  <si>
    <t>Reg Liab Deriv - MTM Oil</t>
  </si>
  <si>
    <t xml:space="preserve"> Wholesale QF Energy</t>
  </si>
  <si>
    <t>Regulatory Liability FAS 109</t>
  </si>
  <si>
    <t xml:space="preserve"> Unamortized Investment Tax Credit</t>
  </si>
  <si>
    <t xml:space="preserve"> Other Def Cr Miscellaneous</t>
  </si>
  <si>
    <t xml:space="preserve">Interest Rate Hedge </t>
  </si>
  <si>
    <t>Restricted Stock</t>
  </si>
  <si>
    <t>PSSP Stock Plan</t>
  </si>
  <si>
    <t>Nonqualified Stock Options</t>
  </si>
  <si>
    <t>Pension</t>
  </si>
  <si>
    <t>Pension Restoration</t>
  </si>
  <si>
    <t>Regulatory Liability Asbestos SFAS 143</t>
  </si>
  <si>
    <t>Regulatory Nuc Deco SFAS 143</t>
  </si>
  <si>
    <t>Derivative Asset/Liabilities</t>
  </si>
  <si>
    <t>Fleet Hedging</t>
  </si>
  <si>
    <t>Health &amp; Life Loading</t>
  </si>
  <si>
    <t>Medical/Dental Life</t>
  </si>
  <si>
    <t>Salary Continuation</t>
  </si>
  <si>
    <t>Salary Continuation Loading</t>
  </si>
  <si>
    <t>Bargaining Unit Dental Reserve</t>
  </si>
  <si>
    <t>Cur &amp; Accr Liab Medi/Detl Ins Act</t>
  </si>
  <si>
    <t>Funded Med/Life Res Post Emp</t>
  </si>
  <si>
    <t>Fed/Life Res Post Emp Retail</t>
  </si>
  <si>
    <t>Med/Life Res PostEmp Whls</t>
  </si>
  <si>
    <t>OPEB Contributions to Whsl Fund</t>
  </si>
  <si>
    <t>Accrued Liability ARO</t>
  </si>
  <si>
    <t>Misc Deferred Debit Workers Comp</t>
  </si>
  <si>
    <t>Pension Regulatory Asset</t>
  </si>
  <si>
    <t>Post Retirements Benefits Medicare Subsidy</t>
  </si>
  <si>
    <t>CR 3 Capacity Outage Accrual</t>
  </si>
  <si>
    <t>Imputed Interest Income-City of Zephryhills loan</t>
  </si>
  <si>
    <t xml:space="preserve">Bartow LTSA O&amp;M </t>
  </si>
  <si>
    <t>Tie in to Financials</t>
  </si>
  <si>
    <t>Page 1 of 4</t>
  </si>
  <si>
    <t>Page 2 of 4</t>
  </si>
  <si>
    <t xml:space="preserve"> Electric Plant - Pollution Control</t>
  </si>
  <si>
    <t xml:space="preserve"> Electric Plant - Utility</t>
  </si>
  <si>
    <t xml:space="preserve"> Electric Plant -Nuclear Cost Recovery</t>
  </si>
  <si>
    <t>Electric Plant-Nuc Decommissioning</t>
  </si>
  <si>
    <t>Tie to Balance Sheet</t>
  </si>
  <si>
    <t>Derivative Asset/Liability - PEF - MTM Oil</t>
  </si>
  <si>
    <t>Recovery Clause- Nuclear</t>
  </si>
  <si>
    <t>Recovery Clause - Environmental</t>
  </si>
  <si>
    <t xml:space="preserve">Recovery Clause - Capacity </t>
  </si>
  <si>
    <t>CR#3-Qual Unreal Gains/Losses</t>
  </si>
  <si>
    <t>Reg Asset - Derivative MTM</t>
  </si>
  <si>
    <t>Reg Asset - FAS 158</t>
  </si>
  <si>
    <t>Accrued ECRC  - Deferred Expense Bk</t>
  </si>
  <si>
    <t>Deferred GPIF Asset</t>
  </si>
  <si>
    <t>Amortization OID</t>
  </si>
  <si>
    <t>Regulatory Asset FAS 109</t>
  </si>
  <si>
    <t>Deferred Storm Cost -Wholesale</t>
  </si>
  <si>
    <t>Deferred Storm Cost- Transmission</t>
  </si>
  <si>
    <t>OATT</t>
  </si>
  <si>
    <t>Deferred Storm Costs deducted per Tax</t>
  </si>
  <si>
    <t>Regulatory Asset Asbestos</t>
  </si>
  <si>
    <t>State Income Tax Federal Timing</t>
  </si>
  <si>
    <t>Deferred Rate Case Expense</t>
  </si>
  <si>
    <t>Emission Allowances</t>
  </si>
  <si>
    <t>Regulatory Assets- Landfill</t>
  </si>
  <si>
    <t>Investment in Partnerships, LLC, subsidiaries</t>
  </si>
  <si>
    <t>Page 3 of 4</t>
  </si>
  <si>
    <t>OTHER</t>
  </si>
  <si>
    <t>Accrued Bonuses</t>
  </si>
  <si>
    <t xml:space="preserve"> Emission Allowances</t>
  </si>
  <si>
    <t xml:space="preserve"> Unbilled Revenue - Service Charge /Equip Rent</t>
  </si>
  <si>
    <t>State Net Operating Loss</t>
  </si>
  <si>
    <t xml:space="preserve">State Income Tax </t>
  </si>
  <si>
    <t>Federal Net Operating Loss</t>
  </si>
  <si>
    <t>Charitable Contribution Carryover</t>
  </si>
  <si>
    <t xml:space="preserve">Deferred GPIF </t>
  </si>
  <si>
    <t>Regulatory Liability - Fuel</t>
  </si>
  <si>
    <t xml:space="preserve"> Workman's Comp Reserve</t>
  </si>
  <si>
    <t xml:space="preserve"> Claims Reserve</t>
  </si>
  <si>
    <t>Supplemental Executive Retirement Plan</t>
  </si>
  <si>
    <t>Perferred  Shared Sub Plan</t>
  </si>
  <si>
    <t>Unamortized Investment Tax Credit</t>
  </si>
  <si>
    <t>Other Def Cr Miscellaneous</t>
  </si>
  <si>
    <t>2009 Pension Regulatory Asset</t>
  </si>
  <si>
    <t>Med/Life Res Post Emp Retail</t>
  </si>
  <si>
    <t>Bartow Long Term Service Agreement</t>
  </si>
  <si>
    <t>Miscellaneous</t>
  </si>
  <si>
    <t>Recovery Clause -  Nuclear</t>
  </si>
  <si>
    <t>Recovery Clause - Fuel</t>
  </si>
  <si>
    <t>Nuclear Decommissioning Unrealized Gains/Losses</t>
  </si>
  <si>
    <t>Reg Asset - Minimum Pension Liab</t>
  </si>
  <si>
    <t>Proceeds from Auctioned SO2 Allowances</t>
  </si>
  <si>
    <t xml:space="preserve"> Amort Loss Reacquired Debt</t>
  </si>
  <si>
    <t xml:space="preserve"> Spare Parts Credit to EPIS</t>
  </si>
  <si>
    <t xml:space="preserve"> Amortization OID</t>
  </si>
  <si>
    <t>FAS 143 ARO Liability - LandFill</t>
  </si>
  <si>
    <t>State Income Taxes</t>
  </si>
  <si>
    <t>Investments</t>
  </si>
  <si>
    <t>Medical/Life Res Postemp Retail</t>
  </si>
  <si>
    <t>Medical/Life Res Postemp Whlse</t>
  </si>
  <si>
    <t>Funded Med/Life Res Postemp -W</t>
  </si>
  <si>
    <t>Medical/Dental/Life</t>
  </si>
  <si>
    <t>Medical/Dental/Life Loading</t>
  </si>
  <si>
    <t>Workman's Comp</t>
  </si>
  <si>
    <t>Claims</t>
  </si>
  <si>
    <t>Environmental Cleanup</t>
  </si>
  <si>
    <t>Self Insured Medical Subaccounts</t>
  </si>
  <si>
    <t>Closed to EPIS</t>
  </si>
  <si>
    <t>50% of Mount</t>
  </si>
  <si>
    <t>Cumulative</t>
  </si>
  <si>
    <t>Contra OATT CWIP</t>
  </si>
  <si>
    <t>Sum of Demands for Adjustment (SEPA/Chattahoochie)</t>
  </si>
  <si>
    <t>SEPA</t>
  </si>
  <si>
    <t>=&gt;  SEPA allocation per D. Prichard</t>
  </si>
  <si>
    <t>Chattahoochie</t>
  </si>
  <si>
    <t>=&gt; Chattahooochie actuals from Ed Lynch File</t>
  </si>
  <si>
    <t>Acct</t>
  </si>
  <si>
    <t>$</t>
  </si>
  <si>
    <t>9200REC</t>
  </si>
  <si>
    <t>9210REC</t>
  </si>
  <si>
    <t>9230REC</t>
  </si>
  <si>
    <t>9260REC</t>
  </si>
  <si>
    <t>9350REC</t>
  </si>
  <si>
    <t>Florida Sales Tax Audit (FF1 335.8b)</t>
  </si>
  <si>
    <t>Retail Pension Asset Balance</t>
  </si>
  <si>
    <t>Total Adjustments</t>
  </si>
  <si>
    <t>YE ECC EPIS From D Crawford</t>
  </si>
  <si>
    <t>Surveillance - Manual Entry File</t>
  </si>
  <si>
    <t>AVG</t>
  </si>
  <si>
    <t>Summary of Allocation Factors:</t>
  </si>
  <si>
    <t>STORM</t>
  </si>
  <si>
    <t>Direct assigned retail accounts/other adjustments in line 5</t>
  </si>
  <si>
    <t>Subtotal</t>
  </si>
  <si>
    <t>Subtotal from prior page</t>
  </si>
  <si>
    <t>Page 4 of 4</t>
  </si>
  <si>
    <t>2010 Expense</t>
  </si>
  <si>
    <t>CONTRA OATT CWIP A/D adjustments</t>
  </si>
  <si>
    <t>CONTRA OATT CWIP Depreciation Exp Adj.</t>
  </si>
</sst>
</file>

<file path=xl/styles.xml><?xml version="1.0" encoding="utf-8"?>
<styleSheet xmlns="http://schemas.openxmlformats.org/spreadsheetml/2006/main">
  <numFmts count="12">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0.00000_);\(0.00000\)"/>
    <numFmt numFmtId="165" formatCode="#,##0.00000_);\(#,##0.00000\)"/>
    <numFmt numFmtId="166" formatCode="#,##0.000_);\(#,##0.000\)"/>
    <numFmt numFmtId="167" formatCode="0.0%"/>
    <numFmt numFmtId="168" formatCode="0%_);\(0%\)"/>
    <numFmt numFmtId="169" formatCode="_(&quot;$&quot;* #,##0_);_(&quot;$&quot;* \(#,##0\);_(&quot;$&quot;* &quot;-&quot;??_);_(@_)"/>
    <numFmt numFmtId="170" formatCode="_(* #,##0_);_(* \(#,##0\);_(* &quot;-&quot;??_);_(@_)"/>
    <numFmt numFmtId="171" formatCode="General_)"/>
  </numFmts>
  <fonts count="45">
    <font>
      <sz val="10"/>
      <name val="Arial"/>
    </font>
    <font>
      <sz val="10"/>
      <name val="Arial"/>
      <family val="2"/>
    </font>
    <font>
      <b/>
      <sz val="10"/>
      <name val="Arial"/>
      <family val="2"/>
    </font>
    <font>
      <sz val="10"/>
      <name val="Arial"/>
      <family val="2"/>
    </font>
    <font>
      <u/>
      <sz val="10"/>
      <name val="Arial"/>
      <family val="2"/>
    </font>
    <font>
      <b/>
      <vertAlign val="subscript"/>
      <sz val="10"/>
      <name val="Arial"/>
      <family val="2"/>
    </font>
    <font>
      <sz val="10"/>
      <color indexed="9"/>
      <name val="Arial"/>
      <family val="2"/>
    </font>
    <font>
      <b/>
      <sz val="10"/>
      <color indexed="8"/>
      <name val="Arial"/>
      <family val="2"/>
    </font>
    <font>
      <sz val="8"/>
      <name val="Arial"/>
      <family val="2"/>
    </font>
    <font>
      <sz val="10"/>
      <color indexed="8"/>
      <name val="Arial"/>
      <family val="2"/>
    </font>
    <font>
      <sz val="8"/>
      <color indexed="81"/>
      <name val="Tahoma"/>
      <family val="2"/>
    </font>
    <font>
      <sz val="10"/>
      <color indexed="12"/>
      <name val="Arial"/>
      <family val="2"/>
    </font>
    <font>
      <b/>
      <sz val="11"/>
      <name val="Arial"/>
      <family val="2"/>
    </font>
    <font>
      <sz val="11"/>
      <name val="Arial"/>
      <family val="2"/>
    </font>
    <font>
      <u/>
      <sz val="10"/>
      <name val="Arial"/>
      <family val="2"/>
    </font>
    <font>
      <sz val="8"/>
      <name val="Arial"/>
      <family val="2"/>
    </font>
    <font>
      <b/>
      <sz val="10"/>
      <name val="Arial"/>
      <family val="2"/>
    </font>
    <font>
      <sz val="12"/>
      <name val="Arial"/>
      <family val="2"/>
    </font>
    <font>
      <b/>
      <sz val="10"/>
      <name val="Arial Narrow"/>
      <family val="2"/>
    </font>
    <font>
      <sz val="10"/>
      <name val="MS Sans Serif"/>
      <family val="2"/>
    </font>
    <font>
      <b/>
      <sz val="10"/>
      <name val="MS Sans Serif"/>
      <family val="2"/>
    </font>
    <font>
      <sz val="10"/>
      <name val="Tahoma"/>
      <family val="2"/>
    </font>
    <font>
      <sz val="8"/>
      <name val="Arial Narrow"/>
      <family val="2"/>
    </font>
    <font>
      <b/>
      <sz val="10"/>
      <color indexed="10"/>
      <name val="Arial"/>
      <family val="2"/>
    </font>
    <font>
      <b/>
      <sz val="8"/>
      <name val="Arial"/>
      <family val="2"/>
    </font>
    <font>
      <strike/>
      <sz val="10"/>
      <name val="Arial"/>
      <family val="2"/>
    </font>
    <font>
      <b/>
      <sz val="8"/>
      <name val="Arial"/>
      <family val="2"/>
    </font>
    <font>
      <vertAlign val="subscript"/>
      <sz val="10"/>
      <name val="Arial"/>
      <family val="2"/>
    </font>
    <font>
      <b/>
      <u/>
      <sz val="10"/>
      <name val="Arial"/>
      <family val="2"/>
    </font>
    <font>
      <b/>
      <i/>
      <sz val="9"/>
      <name val="Arial"/>
      <family val="2"/>
    </font>
    <font>
      <sz val="10"/>
      <name val="Arial"/>
      <family val="2"/>
    </font>
    <font>
      <b/>
      <sz val="12"/>
      <name val="Calibri"/>
      <family val="2"/>
      <scheme val="minor"/>
    </font>
    <font>
      <sz val="11"/>
      <name val="Calibri"/>
      <family val="2"/>
      <scheme val="minor"/>
    </font>
    <font>
      <b/>
      <sz val="11"/>
      <name val="Calibri"/>
      <family val="2"/>
      <scheme val="minor"/>
    </font>
    <font>
      <u/>
      <sz val="11"/>
      <name val="Calibri"/>
      <family val="2"/>
      <scheme val="minor"/>
    </font>
    <font>
      <strike/>
      <sz val="11"/>
      <name val="Calibri"/>
      <family val="2"/>
      <scheme val="minor"/>
    </font>
    <font>
      <b/>
      <u/>
      <sz val="11"/>
      <name val="Calibri"/>
      <family val="2"/>
      <scheme val="minor"/>
    </font>
    <font>
      <sz val="12"/>
      <name val="Calibri"/>
      <family val="2"/>
      <scheme val="minor"/>
    </font>
    <font>
      <b/>
      <sz val="8"/>
      <color indexed="81"/>
      <name val="Tahoma"/>
      <family val="2"/>
    </font>
    <font>
      <b/>
      <sz val="12"/>
      <name val="Arial"/>
      <family val="2"/>
    </font>
    <font>
      <sz val="10"/>
      <color rgb="FF0070C0"/>
      <name val="Arial"/>
      <family val="2"/>
    </font>
    <font>
      <sz val="12"/>
      <color theme="9" tint="-0.499984740745262"/>
      <name val="Arial"/>
      <family val="2"/>
    </font>
    <font>
      <sz val="11"/>
      <color theme="1"/>
      <name val="Calibri"/>
      <family val="2"/>
      <scheme val="minor"/>
    </font>
    <font>
      <sz val="8"/>
      <color indexed="81"/>
      <name val="Tahoma"/>
      <charset val="1"/>
    </font>
    <font>
      <b/>
      <sz val="8"/>
      <color indexed="81"/>
      <name val="Tahoma"/>
      <charset val="1"/>
    </font>
  </fonts>
  <fills count="12">
    <fill>
      <patternFill patternType="none"/>
    </fill>
    <fill>
      <patternFill patternType="gray125"/>
    </fill>
    <fill>
      <patternFill patternType="gray0625"/>
    </fill>
    <fill>
      <patternFill patternType="solid">
        <fgColor indexed="27"/>
        <bgColor indexed="64"/>
      </patternFill>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rgb="FFFFFF99"/>
        <bgColor indexed="64"/>
      </patternFill>
    </fill>
    <fill>
      <patternFill patternType="solid">
        <fgColor theme="6" tint="0.59999389629810485"/>
        <bgColor indexed="64"/>
      </patternFill>
    </fill>
  </fills>
  <borders count="18">
    <border>
      <left/>
      <right/>
      <top/>
      <bottom/>
      <diagonal/>
    </border>
    <border>
      <left/>
      <right/>
      <top/>
      <bottom style="medium">
        <color indexed="64"/>
      </bottom>
      <diagonal/>
    </border>
    <border>
      <left/>
      <right/>
      <top style="thick">
        <color indexed="64"/>
      </top>
      <bottom/>
      <diagonal/>
    </border>
    <border>
      <left/>
      <right/>
      <top/>
      <bottom style="thin">
        <color indexed="64"/>
      </bottom>
      <diagonal/>
    </border>
    <border>
      <left/>
      <right/>
      <top/>
      <bottom style="thin">
        <color indexed="8"/>
      </bottom>
      <diagonal/>
    </border>
    <border>
      <left/>
      <right/>
      <top style="thin">
        <color indexed="8"/>
      </top>
      <bottom style="double">
        <color indexed="8"/>
      </bottom>
      <diagonal/>
    </border>
    <border>
      <left/>
      <right/>
      <top style="thin">
        <color indexed="64"/>
      </top>
      <bottom style="double">
        <color indexed="64"/>
      </bottom>
      <diagonal/>
    </border>
    <border>
      <left/>
      <right/>
      <top/>
      <bottom style="thick">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diagonal/>
    </border>
    <border>
      <left/>
      <right/>
      <top style="thin">
        <color indexed="8"/>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8">
    <xf numFmtId="0" fontId="0" fillId="0" borderId="0"/>
    <xf numFmtId="0" fontId="1" fillId="0" borderId="0"/>
    <xf numFmtId="43" fontId="1" fillId="0" borderId="0" applyFont="0" applyFill="0" applyBorder="0" applyAlignment="0" applyProtection="0"/>
    <xf numFmtId="43" fontId="30" fillId="0" borderId="0" applyFont="0" applyFill="0" applyBorder="0" applyAlignment="0" applyProtection="0"/>
    <xf numFmtId="0" fontId="17" fillId="0" borderId="0" applyNumberFormat="0"/>
    <xf numFmtId="43" fontId="1" fillId="0" borderId="0" applyNumberFormat="0" applyFill="0" applyBorder="0" applyAlignment="0" applyProtection="0"/>
    <xf numFmtId="44" fontId="1" fillId="0" borderId="0" applyFont="0" applyFill="0" applyBorder="0" applyAlignment="0" applyProtection="0"/>
    <xf numFmtId="40" fontId="18" fillId="2" borderId="0">
      <alignment horizontal="right"/>
    </xf>
    <xf numFmtId="14" fontId="2" fillId="3" borderId="1">
      <alignment horizontal="center" vertical="center" wrapText="1"/>
    </xf>
    <xf numFmtId="0" fontId="3" fillId="0" borderId="0"/>
    <xf numFmtId="0" fontId="1" fillId="0" borderId="0"/>
    <xf numFmtId="9" fontId="1" fillId="0" borderId="0" applyFont="0" applyFill="0" applyBorder="0" applyAlignment="0" applyProtection="0"/>
    <xf numFmtId="168" fontId="1" fillId="0" borderId="0" applyFont="0" applyFill="0" applyBorder="0" applyAlignment="0" applyProtection="0"/>
    <xf numFmtId="0" fontId="19" fillId="0" borderId="0" applyNumberFormat="0" applyFont="0" applyFill="0" applyBorder="0" applyAlignment="0" applyProtection="0">
      <alignment horizontal="left"/>
    </xf>
    <xf numFmtId="15" fontId="19" fillId="0" borderId="0" applyFont="0" applyFill="0" applyBorder="0" applyAlignment="0" applyProtection="0"/>
    <xf numFmtId="4" fontId="19" fillId="0" borderId="0" applyFont="0" applyFill="0" applyBorder="0" applyAlignment="0" applyProtection="0"/>
    <xf numFmtId="0" fontId="20" fillId="0" borderId="1">
      <alignment horizontal="center"/>
    </xf>
    <xf numFmtId="3" fontId="21" fillId="0" borderId="0" applyFill="0" applyBorder="0" applyAlignment="0" applyProtection="0"/>
    <xf numFmtId="0" fontId="19" fillId="4" borderId="0" applyNumberFormat="0" applyFont="0" applyBorder="0" applyAlignment="0" applyProtection="0"/>
    <xf numFmtId="39" fontId="22" fillId="0" borderId="0"/>
    <xf numFmtId="0" fontId="1" fillId="0" borderId="0" applyNumberFormat="0" applyFill="0" applyBorder="0" applyAlignment="0" applyProtection="0"/>
    <xf numFmtId="0" fontId="23" fillId="0" borderId="0" applyFill="0" applyBorder="0" applyProtection="0">
      <alignment horizontal="left" vertical="top"/>
    </xf>
    <xf numFmtId="0" fontId="1" fillId="0" borderId="0"/>
    <xf numFmtId="0" fontId="1" fillId="0" borderId="0"/>
    <xf numFmtId="44" fontId="1" fillId="0" borderId="0" applyFont="0" applyFill="0" applyBorder="0" applyAlignment="0" applyProtection="0"/>
    <xf numFmtId="0" fontId="1" fillId="0" borderId="0"/>
    <xf numFmtId="0" fontId="42" fillId="0" borderId="0"/>
    <xf numFmtId="9" fontId="1" fillId="0" borderId="0" applyFont="0" applyFill="0" applyBorder="0" applyAlignment="0" applyProtection="0"/>
  </cellStyleXfs>
  <cellXfs count="344">
    <xf numFmtId="0" fontId="0" fillId="0" borderId="0" xfId="0"/>
    <xf numFmtId="37" fontId="0" fillId="0" borderId="0" xfId="0" applyNumberFormat="1"/>
    <xf numFmtId="0" fontId="0" fillId="0" borderId="0" xfId="0" applyAlignment="1">
      <alignment horizontal="center"/>
    </xf>
    <xf numFmtId="0" fontId="2" fillId="0" borderId="0" xfId="0" applyFont="1"/>
    <xf numFmtId="0" fontId="2" fillId="0" borderId="0" xfId="0" applyFont="1" applyAlignment="1">
      <alignment horizontal="center"/>
    </xf>
    <xf numFmtId="37" fontId="0" fillId="0" borderId="2" xfId="0" applyNumberFormat="1" applyBorder="1"/>
    <xf numFmtId="37" fontId="0" fillId="0" borderId="0" xfId="0" applyNumberFormat="1" applyAlignment="1">
      <alignment horizontal="center"/>
    </xf>
    <xf numFmtId="164" fontId="0" fillId="0" borderId="0" xfId="0" applyNumberFormat="1"/>
    <xf numFmtId="0" fontId="0" fillId="0" borderId="0" xfId="0" quotePrefix="1" applyAlignment="1">
      <alignment horizontal="center"/>
    </xf>
    <xf numFmtId="37" fontId="0" fillId="0" borderId="0" xfId="0" applyNumberFormat="1" applyAlignment="1">
      <alignment horizontal="right"/>
    </xf>
    <xf numFmtId="37" fontId="0" fillId="0" borderId="0" xfId="0" applyNumberFormat="1" applyBorder="1"/>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wrapText="1"/>
    </xf>
    <xf numFmtId="165" fontId="0" fillId="0" borderId="0" xfId="0" applyNumberFormat="1"/>
    <xf numFmtId="0" fontId="0" fillId="0" borderId="0" xfId="0" applyAlignment="1">
      <alignment horizontal="center" vertical="center"/>
    </xf>
    <xf numFmtId="37" fontId="0" fillId="0" borderId="0" xfId="0" applyNumberFormat="1" applyAlignment="1">
      <alignment vertical="center"/>
    </xf>
    <xf numFmtId="164" fontId="0" fillId="0" borderId="0" xfId="0" applyNumberFormat="1" applyAlignment="1">
      <alignment vertical="center"/>
    </xf>
    <xf numFmtId="0" fontId="0" fillId="5" borderId="0" xfId="0" applyFill="1"/>
    <xf numFmtId="0" fontId="6" fillId="0" borderId="0" xfId="0" applyFont="1"/>
    <xf numFmtId="0" fontId="3" fillId="0" borderId="0" xfId="0" applyNumberFormat="1" applyFont="1"/>
    <xf numFmtId="37" fontId="7" fillId="0" borderId="0" xfId="0" applyNumberFormat="1" applyFont="1" applyBorder="1"/>
    <xf numFmtId="37" fontId="9" fillId="6" borderId="0" xfId="0" applyNumberFormat="1" applyFont="1" applyFill="1" applyBorder="1"/>
    <xf numFmtId="5" fontId="7" fillId="0" borderId="5" xfId="0" applyNumberFormat="1" applyFont="1" applyBorder="1"/>
    <xf numFmtId="0" fontId="3" fillId="0" borderId="0" xfId="0" applyNumberFormat="1" applyFont="1" applyBorder="1" applyAlignment="1">
      <alignment horizontal="center"/>
    </xf>
    <xf numFmtId="5" fontId="7" fillId="0" borderId="0" xfId="0" applyNumberFormat="1" applyFont="1" applyBorder="1"/>
    <xf numFmtId="0" fontId="11" fillId="0" borderId="0" xfId="0" applyFont="1" applyAlignment="1">
      <alignment horizontal="center"/>
    </xf>
    <xf numFmtId="0" fontId="0" fillId="0" borderId="0" xfId="0" applyAlignment="1">
      <alignment vertical="center" wrapText="1"/>
    </xf>
    <xf numFmtId="164" fontId="0" fillId="0" borderId="0" xfId="0" applyNumberFormat="1" applyAlignment="1">
      <alignment vertical="center" wrapText="1"/>
    </xf>
    <xf numFmtId="0" fontId="0" fillId="0" borderId="0" xfId="0" applyAlignment="1">
      <alignment horizontal="center" vertical="center" wrapText="1"/>
    </xf>
    <xf numFmtId="0" fontId="0" fillId="0" borderId="0" xfId="0" quotePrefix="1" applyAlignment="1">
      <alignment horizontal="center" vertical="center" wrapText="1"/>
    </xf>
    <xf numFmtId="37" fontId="0" fillId="0" borderId="0" xfId="0" applyNumberFormat="1" applyAlignment="1">
      <alignment horizontal="right" vertical="center"/>
    </xf>
    <xf numFmtId="0" fontId="12" fillId="0" borderId="0" xfId="0" applyFont="1" applyAlignment="1">
      <alignment horizontal="left"/>
    </xf>
    <xf numFmtId="37" fontId="1" fillId="0" borderId="0" xfId="0" applyNumberFormat="1" applyFont="1"/>
    <xf numFmtId="0" fontId="12" fillId="0" borderId="0" xfId="0" applyFont="1"/>
    <xf numFmtId="0" fontId="14" fillId="0" borderId="0" xfId="0" applyNumberFormat="1" applyFont="1" applyAlignment="1">
      <alignment horizontal="center"/>
    </xf>
    <xf numFmtId="0" fontId="3" fillId="0" borderId="0" xfId="0" applyFont="1" applyAlignment="1">
      <alignment horizontal="left" vertical="center"/>
    </xf>
    <xf numFmtId="0" fontId="2" fillId="0" borderId="0" xfId="0" quotePrefix="1" applyFont="1"/>
    <xf numFmtId="0" fontId="0" fillId="0" borderId="0" xfId="0" applyFill="1"/>
    <xf numFmtId="0" fontId="3" fillId="0" borderId="0" xfId="0" applyFont="1" applyFill="1" applyAlignment="1">
      <alignment horizontal="left" vertical="center"/>
    </xf>
    <xf numFmtId="37" fontId="0" fillId="0" borderId="0" xfId="0" applyNumberFormat="1" applyFill="1"/>
    <xf numFmtId="164" fontId="0" fillId="0" borderId="0" xfId="0" applyNumberFormat="1" applyFill="1"/>
    <xf numFmtId="0" fontId="15" fillId="0" borderId="0" xfId="0" applyFont="1"/>
    <xf numFmtId="165" fontId="6" fillId="0" borderId="0" xfId="0" applyNumberFormat="1" applyFont="1"/>
    <xf numFmtId="0" fontId="0" fillId="0" borderId="0" xfId="0" applyFill="1" applyAlignment="1">
      <alignment horizontal="center"/>
    </xf>
    <xf numFmtId="0" fontId="2" fillId="0" borderId="0" xfId="0" applyFont="1" applyFill="1"/>
    <xf numFmtId="0" fontId="0" fillId="0" borderId="0" xfId="0" applyFill="1" applyAlignment="1">
      <alignment horizontal="left"/>
    </xf>
    <xf numFmtId="0" fontId="2" fillId="0" borderId="0" xfId="0" applyFont="1" applyAlignment="1">
      <alignment horizontal="center" wrapText="1"/>
    </xf>
    <xf numFmtId="37" fontId="1" fillId="0" borderId="0" xfId="0" applyNumberFormat="1" applyFont="1" applyFill="1"/>
    <xf numFmtId="44" fontId="0" fillId="0" borderId="0" xfId="0" applyNumberFormat="1" applyFill="1" applyAlignment="1">
      <alignment horizontal="center"/>
    </xf>
    <xf numFmtId="37" fontId="11" fillId="0" borderId="0" xfId="0" applyNumberFormat="1" applyFont="1" applyFill="1"/>
    <xf numFmtId="37" fontId="0" fillId="0" borderId="0" xfId="0" applyNumberFormat="1" applyAlignment="1">
      <alignment horizontal="center" vertical="center"/>
    </xf>
    <xf numFmtId="37" fontId="0" fillId="0" borderId="0" xfId="0" applyNumberFormat="1" applyFill="1" applyAlignment="1">
      <alignment horizontal="right"/>
    </xf>
    <xf numFmtId="37" fontId="0" fillId="0" borderId="2" xfId="0" applyNumberFormat="1" applyFill="1" applyBorder="1"/>
    <xf numFmtId="165" fontId="0" fillId="0" borderId="0" xfId="0" applyNumberFormat="1" applyFill="1"/>
    <xf numFmtId="0" fontId="4" fillId="0" borderId="0" xfId="0" applyFont="1" applyFill="1"/>
    <xf numFmtId="0" fontId="4" fillId="0" borderId="0" xfId="0" applyFont="1" applyFill="1" applyAlignment="1">
      <alignment horizontal="center"/>
    </xf>
    <xf numFmtId="10" fontId="0" fillId="0" borderId="0" xfId="0" applyNumberFormat="1" applyFill="1"/>
    <xf numFmtId="10" fontId="2" fillId="0" borderId="0" xfId="0" applyNumberFormat="1" applyFont="1" applyFill="1"/>
    <xf numFmtId="10" fontId="2" fillId="0" borderId="2" xfId="0" applyNumberFormat="1" applyFont="1" applyFill="1" applyBorder="1"/>
    <xf numFmtId="0" fontId="0" fillId="0" borderId="0" xfId="0" applyFill="1" applyAlignment="1">
      <alignment horizontal="center" vertical="center"/>
    </xf>
    <xf numFmtId="37" fontId="0" fillId="0" borderId="0" xfId="0" applyNumberFormat="1" applyFill="1" applyAlignment="1">
      <alignment horizontal="center" vertical="center"/>
    </xf>
    <xf numFmtId="37" fontId="0" fillId="0" borderId="0" xfId="0" applyNumberFormat="1" applyFill="1" applyAlignment="1">
      <alignment vertical="center"/>
    </xf>
    <xf numFmtId="0" fontId="0" fillId="0" borderId="0" xfId="0" applyFill="1" applyAlignment="1">
      <alignment vertical="center"/>
    </xf>
    <xf numFmtId="164" fontId="0" fillId="0" borderId="0" xfId="0" applyNumberFormat="1" applyFill="1" applyAlignment="1">
      <alignment vertical="center"/>
    </xf>
    <xf numFmtId="0" fontId="1" fillId="0" borderId="0" xfId="0" applyFont="1" applyFill="1" applyAlignment="1">
      <alignment horizontal="center"/>
    </xf>
    <xf numFmtId="0" fontId="25" fillId="0" borderId="0" xfId="0" applyFont="1" applyFill="1"/>
    <xf numFmtId="0" fontId="1" fillId="0" borderId="0" xfId="0" applyFont="1" applyFill="1" applyAlignment="1">
      <alignment horizontal="left" vertical="center"/>
    </xf>
    <xf numFmtId="0" fontId="25" fillId="0" borderId="0" xfId="0" applyFont="1" applyFill="1" applyAlignment="1">
      <alignment horizontal="center" vertical="center"/>
    </xf>
    <xf numFmtId="37" fontId="0" fillId="0" borderId="0" xfId="0" applyNumberFormat="1" applyFill="1" applyAlignment="1">
      <alignment horizontal="left"/>
    </xf>
    <xf numFmtId="37" fontId="16" fillId="0" borderId="0" xfId="0" applyNumberFormat="1" applyFont="1" applyFill="1"/>
    <xf numFmtId="37" fontId="24" fillId="0" borderId="0" xfId="0" applyNumberFormat="1" applyFont="1" applyFill="1"/>
    <xf numFmtId="37" fontId="15" fillId="0" borderId="0" xfId="0" applyNumberFormat="1" applyFont="1" applyFill="1"/>
    <xf numFmtId="37" fontId="2" fillId="0" borderId="0" xfId="0" applyNumberFormat="1" applyFont="1" applyFill="1" applyAlignment="1">
      <alignment horizontal="center" vertical="center"/>
    </xf>
    <xf numFmtId="37" fontId="16" fillId="0" borderId="0" xfId="0" applyNumberFormat="1" applyFont="1" applyFill="1" applyAlignment="1">
      <alignment horizontal="center"/>
    </xf>
    <xf numFmtId="37" fontId="0" fillId="0" borderId="0" xfId="0" applyNumberFormat="1" applyFill="1" applyAlignment="1">
      <alignment horizontal="center"/>
    </xf>
    <xf numFmtId="37" fontId="16" fillId="0" borderId="6" xfId="0" applyNumberFormat="1" applyFont="1" applyFill="1" applyBorder="1"/>
    <xf numFmtId="37" fontId="16" fillId="0" borderId="0" xfId="0" applyNumberFormat="1" applyFont="1" applyFill="1" applyBorder="1"/>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xf>
    <xf numFmtId="0" fontId="0" fillId="0" borderId="0" xfId="0" quotePrefix="1" applyFill="1" applyAlignment="1">
      <alignment horizontal="center"/>
    </xf>
    <xf numFmtId="2" fontId="0" fillId="0" borderId="0" xfId="0" applyNumberFormat="1" applyFill="1" applyBorder="1"/>
    <xf numFmtId="2" fontId="0" fillId="0" borderId="0" xfId="0" applyNumberFormat="1" applyFill="1" applyBorder="1" applyAlignment="1">
      <alignment horizontal="center"/>
    </xf>
    <xf numFmtId="39" fontId="0" fillId="0" borderId="0" xfId="0" applyNumberFormat="1" applyFill="1"/>
    <xf numFmtId="0" fontId="0" fillId="0" borderId="0" xfId="0" applyFill="1" applyAlignment="1">
      <alignment horizontal="left" vertical="center"/>
    </xf>
    <xf numFmtId="39" fontId="0" fillId="0" borderId="0" xfId="0" applyNumberFormat="1" applyFill="1" applyAlignment="1">
      <alignment vertical="center"/>
    </xf>
    <xf numFmtId="37" fontId="0" fillId="0" borderId="0" xfId="0" applyNumberFormat="1" applyFill="1" applyBorder="1"/>
    <xf numFmtId="37" fontId="0" fillId="0" borderId="7" xfId="0" applyNumberFormat="1" applyFill="1" applyBorder="1"/>
    <xf numFmtId="37" fontId="24" fillId="0" borderId="0" xfId="0" applyNumberFormat="1" applyFont="1" applyFill="1" applyAlignment="1">
      <alignment horizontal="center"/>
    </xf>
    <xf numFmtId="38" fontId="0" fillId="0" borderId="0" xfId="0" applyNumberFormat="1" applyFill="1"/>
    <xf numFmtId="0" fontId="26" fillId="0" borderId="0" xfId="0" applyFont="1"/>
    <xf numFmtId="37" fontId="2" fillId="0" borderId="2" xfId="0" applyNumberFormat="1" applyFont="1" applyFill="1" applyBorder="1"/>
    <xf numFmtId="37" fontId="2" fillId="0" borderId="0" xfId="0" applyNumberFormat="1" applyFont="1" applyFill="1"/>
    <xf numFmtId="166" fontId="0" fillId="0" borderId="0" xfId="0" applyNumberFormat="1" applyFill="1"/>
    <xf numFmtId="0" fontId="3" fillId="0" borderId="0" xfId="0" applyFont="1" applyFill="1"/>
    <xf numFmtId="0" fontId="0" fillId="0" borderId="0" xfId="0" applyFill="1" applyAlignment="1">
      <alignment horizontal="center" vertical="center" wrapText="1"/>
    </xf>
    <xf numFmtId="0" fontId="0" fillId="0" borderId="0" xfId="0" applyAlignment="1">
      <alignment horizontal="left"/>
    </xf>
    <xf numFmtId="0" fontId="28" fillId="0" borderId="0" xfId="0" applyFont="1"/>
    <xf numFmtId="169" fontId="1" fillId="0" borderId="0" xfId="6" applyNumberFormat="1"/>
    <xf numFmtId="169" fontId="1" fillId="0" borderId="0" xfId="6" applyNumberFormat="1" applyFont="1"/>
    <xf numFmtId="0" fontId="0" fillId="0" borderId="0" xfId="0" applyNumberFormat="1"/>
    <xf numFmtId="9" fontId="1" fillId="0" borderId="0" xfId="11"/>
    <xf numFmtId="0" fontId="2" fillId="7" borderId="0" xfId="0" applyFont="1" applyFill="1" applyBorder="1"/>
    <xf numFmtId="0" fontId="0" fillId="7" borderId="0" xfId="0" applyFill="1"/>
    <xf numFmtId="0" fontId="29" fillId="0" borderId="0" xfId="0" applyFont="1" applyFill="1"/>
    <xf numFmtId="0" fontId="0" fillId="0" borderId="3" xfId="0" applyBorder="1" applyAlignment="1">
      <alignment horizontal="center"/>
    </xf>
    <xf numFmtId="169" fontId="0" fillId="0" borderId="0" xfId="0" applyNumberFormat="1"/>
    <xf numFmtId="0" fontId="0" fillId="0" borderId="1" xfId="0" applyBorder="1"/>
    <xf numFmtId="0" fontId="2" fillId="0" borderId="1" xfId="0" applyFont="1" applyBorder="1" applyAlignment="1">
      <alignment horizontal="center"/>
    </xf>
    <xf numFmtId="169" fontId="0" fillId="0" borderId="0" xfId="0" applyNumberFormat="1" applyFill="1"/>
    <xf numFmtId="0" fontId="2" fillId="0" borderId="0" xfId="0" applyFont="1" applyBorder="1" applyAlignment="1">
      <alignment horizontal="center"/>
    </xf>
    <xf numFmtId="0" fontId="2" fillId="0" borderId="0" xfId="0" applyFont="1" applyBorder="1"/>
    <xf numFmtId="169" fontId="2" fillId="0" borderId="0" xfId="0" applyNumberFormat="1" applyFont="1" applyBorder="1" applyAlignment="1">
      <alignment horizontal="center"/>
    </xf>
    <xf numFmtId="169" fontId="2" fillId="0" borderId="6" xfId="0" applyNumberFormat="1" applyFont="1" applyBorder="1"/>
    <xf numFmtId="169" fontId="2" fillId="0" borderId="0" xfId="6" applyNumberFormat="1" applyFont="1"/>
    <xf numFmtId="0" fontId="2" fillId="0" borderId="1" xfId="0" applyFont="1" applyBorder="1"/>
    <xf numFmtId="0" fontId="3" fillId="0" borderId="0" xfId="0" applyNumberFormat="1" applyFont="1" applyBorder="1"/>
    <xf numFmtId="0" fontId="14" fillId="0" borderId="0" xfId="0" applyNumberFormat="1" applyFont="1" applyBorder="1"/>
    <xf numFmtId="5" fontId="3" fillId="0" borderId="0" xfId="0" applyNumberFormat="1" applyFont="1" applyBorder="1"/>
    <xf numFmtId="37" fontId="3" fillId="0" borderId="0" xfId="0" applyNumberFormat="1" applyFont="1" applyBorder="1"/>
    <xf numFmtId="0" fontId="3" fillId="0" borderId="0" xfId="0" quotePrefix="1" applyNumberFormat="1" applyFont="1" applyBorder="1" applyAlignment="1">
      <alignment horizontal="left"/>
    </xf>
    <xf numFmtId="0" fontId="8" fillId="0" borderId="0" xfId="0" applyNumberFormat="1" applyFont="1" applyBorder="1"/>
    <xf numFmtId="0" fontId="3" fillId="6" borderId="0" xfId="0" applyNumberFormat="1" applyFont="1" applyFill="1" applyBorder="1"/>
    <xf numFmtId="0" fontId="3" fillId="0" borderId="0" xfId="0" applyNumberFormat="1" applyFont="1" applyBorder="1" applyAlignment="1">
      <alignment horizontal="left"/>
    </xf>
    <xf numFmtId="0" fontId="0" fillId="0" borderId="0" xfId="0" applyBorder="1"/>
    <xf numFmtId="0" fontId="14" fillId="0" borderId="0" xfId="0" applyNumberFormat="1" applyFont="1" applyBorder="1" applyAlignment="1">
      <alignment horizontal="center"/>
    </xf>
    <xf numFmtId="37" fontId="3" fillId="0" borderId="0" xfId="0" applyNumberFormat="1" applyFont="1" applyBorder="1" applyAlignment="1">
      <alignment horizontal="center"/>
    </xf>
    <xf numFmtId="37" fontId="0" fillId="0" borderId="0" xfId="0" applyNumberFormat="1" applyBorder="1" applyAlignment="1">
      <alignment horizontal="center"/>
    </xf>
    <xf numFmtId="37" fontId="2" fillId="0" borderId="0" xfId="0" applyNumberFormat="1" applyFont="1" applyAlignment="1">
      <alignment horizontal="right"/>
    </xf>
    <xf numFmtId="0" fontId="1" fillId="0" borderId="0" xfId="10"/>
    <xf numFmtId="0" fontId="12" fillId="0" borderId="0" xfId="10" applyFont="1"/>
    <xf numFmtId="0" fontId="1" fillId="0" borderId="0" xfId="10" applyAlignment="1">
      <alignment horizontal="left"/>
    </xf>
    <xf numFmtId="0" fontId="2" fillId="0" borderId="0" xfId="10" applyFont="1" applyAlignment="1">
      <alignment horizontal="center"/>
    </xf>
    <xf numFmtId="0" fontId="2" fillId="0" borderId="3" xfId="10" applyFont="1" applyBorder="1"/>
    <xf numFmtId="0" fontId="0" fillId="0" borderId="0" xfId="0" applyAlignment="1">
      <alignment horizontal="right"/>
    </xf>
    <xf numFmtId="0" fontId="1" fillId="0" borderId="3" xfId="10" applyBorder="1"/>
    <xf numFmtId="0" fontId="2" fillId="0" borderId="3" xfId="10" applyFont="1" applyBorder="1" applyAlignment="1">
      <alignment horizontal="center"/>
    </xf>
    <xf numFmtId="0" fontId="2" fillId="8" borderId="8" xfId="10" applyFont="1" applyFill="1" applyBorder="1"/>
    <xf numFmtId="0" fontId="1" fillId="0" borderId="0" xfId="10" applyFill="1"/>
    <xf numFmtId="37" fontId="1" fillId="0" borderId="0" xfId="10" applyNumberFormat="1"/>
    <xf numFmtId="0" fontId="28" fillId="0" borderId="0" xfId="10" applyFont="1" applyAlignment="1">
      <alignment horizontal="left"/>
    </xf>
    <xf numFmtId="0" fontId="1" fillId="0" borderId="0" xfId="10" applyAlignment="1">
      <alignment horizontal="left" indent="1"/>
    </xf>
    <xf numFmtId="5" fontId="1" fillId="0" borderId="0" xfId="10" applyNumberFormat="1"/>
    <xf numFmtId="37" fontId="14" fillId="0" borderId="0" xfId="10" applyNumberFormat="1" applyFont="1"/>
    <xf numFmtId="37" fontId="2" fillId="0" borderId="0" xfId="10" applyNumberFormat="1" applyFont="1" applyAlignment="1">
      <alignment horizontal="center" vertical="center"/>
    </xf>
    <xf numFmtId="0" fontId="3" fillId="0" borderId="0" xfId="10" applyFont="1"/>
    <xf numFmtId="0" fontId="2" fillId="0" borderId="0" xfId="10" applyFont="1"/>
    <xf numFmtId="0" fontId="1" fillId="0" borderId="0" xfId="10" applyAlignment="1">
      <alignment horizontal="left" indent="2"/>
    </xf>
    <xf numFmtId="0" fontId="28" fillId="0" borderId="0" xfId="10" applyFont="1"/>
    <xf numFmtId="37" fontId="4" fillId="0" borderId="0" xfId="10" applyNumberFormat="1" applyFont="1"/>
    <xf numFmtId="10" fontId="1" fillId="0" borderId="0" xfId="11" applyNumberFormat="1"/>
    <xf numFmtId="167" fontId="1" fillId="0" borderId="0" xfId="10" applyNumberFormat="1"/>
    <xf numFmtId="0" fontId="2" fillId="0" borderId="0" xfId="10" applyFont="1" applyAlignment="1">
      <alignment horizontal="left" indent="1"/>
    </xf>
    <xf numFmtId="5" fontId="2" fillId="8" borderId="8" xfId="10" applyNumberFormat="1" applyFont="1" applyFill="1" applyBorder="1"/>
    <xf numFmtId="0" fontId="2" fillId="7" borderId="8" xfId="10" applyFont="1" applyFill="1" applyBorder="1"/>
    <xf numFmtId="37" fontId="16" fillId="7" borderId="9" xfId="10" applyNumberFormat="1" applyFont="1" applyFill="1" applyBorder="1"/>
    <xf numFmtId="37" fontId="16" fillId="7" borderId="8" xfId="10" applyNumberFormat="1" applyFont="1" applyFill="1" applyBorder="1"/>
    <xf numFmtId="37" fontId="16" fillId="7" borderId="10" xfId="10" applyNumberFormat="1" applyFont="1" applyFill="1" applyBorder="1"/>
    <xf numFmtId="0" fontId="1" fillId="5" borderId="0" xfId="10" applyFill="1"/>
    <xf numFmtId="37" fontId="2" fillId="0" borderId="0" xfId="10" applyNumberFormat="1" applyFont="1"/>
    <xf numFmtId="0" fontId="1" fillId="0" borderId="0" xfId="10" applyFont="1" applyAlignment="1">
      <alignment horizontal="left" indent="1"/>
    </xf>
    <xf numFmtId="0" fontId="1" fillId="0" borderId="0" xfId="10" applyFont="1"/>
    <xf numFmtId="37" fontId="2" fillId="0" borderId="0" xfId="0" applyNumberFormat="1" applyFont="1" applyFill="1" applyAlignment="1">
      <alignment horizontal="center"/>
    </xf>
    <xf numFmtId="0" fontId="3" fillId="0" borderId="0" xfId="0" applyFont="1"/>
    <xf numFmtId="0" fontId="3" fillId="0" borderId="0" xfId="0" applyFont="1" applyFill="1" applyAlignment="1">
      <alignment horizontal="center"/>
    </xf>
    <xf numFmtId="0" fontId="3" fillId="0" borderId="0" xfId="0" applyFont="1" applyAlignment="1">
      <alignment horizontal="center"/>
    </xf>
    <xf numFmtId="37" fontId="3" fillId="0" borderId="0" xfId="0" applyNumberFormat="1" applyFont="1" applyFill="1"/>
    <xf numFmtId="37" fontId="1" fillId="9" borderId="0" xfId="10" applyNumberFormat="1" applyFill="1"/>
    <xf numFmtId="37" fontId="1" fillId="0" borderId="0" xfId="10" applyNumberFormat="1" applyFill="1"/>
    <xf numFmtId="37" fontId="4" fillId="0" borderId="0" xfId="10" applyNumberFormat="1" applyFont="1" applyFill="1"/>
    <xf numFmtId="9" fontId="1" fillId="9" borderId="0" xfId="11" applyFill="1"/>
    <xf numFmtId="169" fontId="1" fillId="9" borderId="0" xfId="6" applyNumberFormat="1" applyFont="1" applyFill="1" applyAlignment="1">
      <alignment horizontal="right"/>
    </xf>
    <xf numFmtId="169" fontId="1" fillId="9" borderId="0" xfId="6" applyNumberFormat="1" applyFill="1"/>
    <xf numFmtId="169" fontId="0" fillId="9" borderId="0" xfId="0" applyNumberFormat="1" applyFill="1"/>
    <xf numFmtId="5" fontId="1" fillId="0" borderId="0" xfId="10" applyNumberFormat="1" applyFill="1"/>
    <xf numFmtId="37" fontId="2" fillId="0" borderId="0" xfId="10" applyNumberFormat="1" applyFont="1" applyFill="1" applyAlignment="1">
      <alignment horizontal="center" vertical="center"/>
    </xf>
    <xf numFmtId="37" fontId="14" fillId="0" borderId="0" xfId="10" applyNumberFormat="1" applyFont="1" applyFill="1"/>
    <xf numFmtId="169" fontId="3" fillId="9" borderId="0" xfId="0" applyNumberFormat="1" applyFont="1" applyFill="1"/>
    <xf numFmtId="37" fontId="2" fillId="0" borderId="0" xfId="5" applyNumberFormat="1" applyFont="1" applyFill="1"/>
    <xf numFmtId="10" fontId="4" fillId="0" borderId="0" xfId="0" applyNumberFormat="1" applyFont="1" applyFill="1"/>
    <xf numFmtId="165" fontId="0" fillId="0" borderId="0" xfId="0" applyNumberFormat="1" applyFill="1" applyAlignment="1">
      <alignment horizontal="right"/>
    </xf>
    <xf numFmtId="37" fontId="0" fillId="0" borderId="0" xfId="0" applyNumberFormat="1" applyFill="1" applyAlignment="1">
      <alignment horizontal="right" vertical="center"/>
    </xf>
    <xf numFmtId="37" fontId="9" fillId="0" borderId="0" xfId="0" applyNumberFormat="1" applyFont="1" applyFill="1" applyBorder="1"/>
    <xf numFmtId="37" fontId="3" fillId="0" borderId="0" xfId="0" applyNumberFormat="1" applyFont="1" applyFill="1" applyBorder="1"/>
    <xf numFmtId="0" fontId="4" fillId="0" borderId="0" xfId="0" applyFont="1"/>
    <xf numFmtId="0" fontId="4" fillId="0" borderId="0" xfId="0" applyFont="1" applyAlignment="1">
      <alignment horizontal="center"/>
    </xf>
    <xf numFmtId="37" fontId="7" fillId="0" borderId="4" xfId="0" applyNumberFormat="1" applyFont="1" applyBorder="1"/>
    <xf numFmtId="0" fontId="1" fillId="0" borderId="0" xfId="0" applyFont="1" applyAlignment="1">
      <alignment horizontal="center"/>
    </xf>
    <xf numFmtId="0" fontId="1" fillId="0" borderId="0" xfId="0" applyFont="1"/>
    <xf numFmtId="0" fontId="1" fillId="0" borderId="0" xfId="0" applyFont="1" applyFill="1"/>
    <xf numFmtId="0" fontId="1" fillId="0" borderId="0" xfId="0" applyFont="1" applyAlignment="1">
      <alignment horizontal="center" vertical="center"/>
    </xf>
    <xf numFmtId="37" fontId="1" fillId="0" borderId="0" xfId="0" applyNumberFormat="1" applyFont="1" applyAlignment="1">
      <alignment horizontal="right" vertical="center"/>
    </xf>
    <xf numFmtId="37" fontId="1" fillId="0" borderId="0" xfId="0" applyNumberFormat="1" applyFont="1" applyBorder="1" applyAlignment="1">
      <alignment vertical="center"/>
    </xf>
    <xf numFmtId="0" fontId="1" fillId="0" borderId="0" xfId="0" applyFont="1" applyAlignment="1">
      <alignment vertical="center"/>
    </xf>
    <xf numFmtId="164" fontId="1" fillId="0" borderId="0" xfId="0" applyNumberFormat="1" applyFont="1" applyAlignment="1">
      <alignment vertical="center"/>
    </xf>
    <xf numFmtId="37" fontId="4" fillId="0" borderId="0" xfId="0" applyNumberFormat="1" applyFont="1" applyFill="1"/>
    <xf numFmtId="0" fontId="28" fillId="0" borderId="0" xfId="0" applyFont="1" applyFill="1"/>
    <xf numFmtId="37" fontId="4" fillId="0" borderId="0" xfId="0" applyNumberFormat="1" applyFont="1" applyFill="1" applyAlignment="1">
      <alignment horizontal="right"/>
    </xf>
    <xf numFmtId="164" fontId="4" fillId="0" borderId="0" xfId="0" applyNumberFormat="1" applyFont="1" applyFill="1"/>
    <xf numFmtId="0" fontId="25" fillId="0" borderId="0" xfId="0" applyFont="1" applyFill="1" applyAlignment="1">
      <alignment horizontal="center"/>
    </xf>
    <xf numFmtId="164" fontId="25" fillId="0" borderId="0" xfId="0" applyNumberFormat="1" applyFont="1" applyFill="1"/>
    <xf numFmtId="37" fontId="25" fillId="0" borderId="0" xfId="0" applyNumberFormat="1" applyFont="1" applyFill="1"/>
    <xf numFmtId="0" fontId="31" fillId="0" borderId="0" xfId="22" applyFont="1" applyAlignment="1">
      <alignment horizontal="left"/>
    </xf>
    <xf numFmtId="0" fontId="12" fillId="0" borderId="0" xfId="0" applyFont="1" applyAlignment="1">
      <alignment horizontal="left"/>
    </xf>
    <xf numFmtId="0" fontId="0" fillId="0" borderId="0" xfId="0" applyAlignment="1">
      <alignment horizontal="left"/>
    </xf>
    <xf numFmtId="0" fontId="2" fillId="0" borderId="0" xfId="0" applyFont="1" applyAlignment="1">
      <alignment horizontal="center" vertical="center" wrapText="1"/>
    </xf>
    <xf numFmtId="37" fontId="2" fillId="0" borderId="0" xfId="0" applyNumberFormat="1" applyFont="1" applyFill="1" applyAlignment="1">
      <alignment horizontal="center"/>
    </xf>
    <xf numFmtId="0" fontId="2" fillId="0" borderId="0" xfId="0" applyFont="1" applyAlignment="1">
      <alignment horizontal="center"/>
    </xf>
    <xf numFmtId="0" fontId="34" fillId="0" borderId="0" xfId="0" applyFont="1"/>
    <xf numFmtId="0" fontId="34" fillId="0" borderId="0" xfId="0" applyFont="1" applyAlignment="1">
      <alignment horizontal="center"/>
    </xf>
    <xf numFmtId="0" fontId="33" fillId="0" borderId="0" xfId="0" applyFont="1" applyAlignment="1">
      <alignment horizontal="center" vertical="center" wrapText="1"/>
    </xf>
    <xf numFmtId="0" fontId="33" fillId="0" borderId="0" xfId="0" applyFont="1" applyAlignment="1">
      <alignment horizontal="center" vertical="center"/>
    </xf>
    <xf numFmtId="0" fontId="36" fillId="0" borderId="0" xfId="0" applyFont="1" applyAlignment="1">
      <alignment horizontal="center" vertical="center" wrapText="1"/>
    </xf>
    <xf numFmtId="0" fontId="36" fillId="0" borderId="0" xfId="0" applyFont="1" applyAlignment="1">
      <alignment horizontal="center" vertical="center"/>
    </xf>
    <xf numFmtId="0" fontId="33" fillId="0" borderId="0" xfId="0" applyFont="1"/>
    <xf numFmtId="0" fontId="34" fillId="0" borderId="0" xfId="0" applyFont="1" applyAlignment="1">
      <alignment vertical="center"/>
    </xf>
    <xf numFmtId="0" fontId="32" fillId="0" borderId="0" xfId="0" applyFont="1" applyAlignment="1">
      <alignment vertical="center"/>
    </xf>
    <xf numFmtId="37" fontId="32" fillId="0" borderId="0" xfId="0" applyNumberFormat="1" applyFont="1" applyBorder="1"/>
    <xf numFmtId="37" fontId="34" fillId="0" borderId="0" xfId="0" applyNumberFormat="1" applyFont="1" applyAlignment="1">
      <alignment vertical="center"/>
    </xf>
    <xf numFmtId="37" fontId="32" fillId="0" borderId="2" xfId="0" applyNumberFormat="1" applyFont="1" applyBorder="1"/>
    <xf numFmtId="37" fontId="32" fillId="0" borderId="0" xfId="0" applyNumberFormat="1" applyFont="1" applyAlignment="1">
      <alignment vertical="center"/>
    </xf>
    <xf numFmtId="37" fontId="35" fillId="0" borderId="0" xfId="0" applyNumberFormat="1" applyFont="1"/>
    <xf numFmtId="37" fontId="34" fillId="0" borderId="0" xfId="0" applyNumberFormat="1" applyFont="1"/>
    <xf numFmtId="0" fontId="32" fillId="0" borderId="0" xfId="0" applyFont="1"/>
    <xf numFmtId="37" fontId="32" fillId="0" borderId="0" xfId="0" applyNumberFormat="1" applyFont="1"/>
    <xf numFmtId="37" fontId="1" fillId="0" borderId="3" xfId="0" applyNumberFormat="1" applyFont="1" applyFill="1" applyBorder="1"/>
    <xf numFmtId="164" fontId="1" fillId="0" borderId="0" xfId="0" applyNumberFormat="1" applyFont="1" applyFill="1"/>
    <xf numFmtId="164" fontId="1" fillId="0" borderId="0" xfId="0" applyNumberFormat="1" applyFont="1"/>
    <xf numFmtId="0" fontId="1" fillId="0" borderId="0" xfId="0" applyFont="1" applyFill="1" applyAlignment="1">
      <alignment horizontal="left"/>
    </xf>
    <xf numFmtId="0" fontId="17" fillId="0" borderId="0" xfId="0" applyFont="1" applyFill="1"/>
    <xf numFmtId="0" fontId="1" fillId="10" borderId="0" xfId="0" applyFont="1" applyFill="1"/>
    <xf numFmtId="0" fontId="37" fillId="0" borderId="0" xfId="0" applyFont="1" applyFill="1"/>
    <xf numFmtId="0" fontId="39" fillId="0" borderId="0" xfId="0" applyFont="1" applyFill="1"/>
    <xf numFmtId="42" fontId="2" fillId="0" borderId="3" xfId="0" applyNumberFormat="1" applyFont="1" applyFill="1" applyBorder="1"/>
    <xf numFmtId="0" fontId="2" fillId="0" borderId="3" xfId="0" applyFont="1" applyFill="1" applyBorder="1" applyAlignment="1">
      <alignment horizontal="center"/>
    </xf>
    <xf numFmtId="0" fontId="28" fillId="0" borderId="0" xfId="0" applyFont="1" applyFill="1" applyAlignment="1">
      <alignment horizontal="center"/>
    </xf>
    <xf numFmtId="0" fontId="1" fillId="0" borderId="0" xfId="0" applyFont="1" applyFill="1" applyAlignment="1">
      <alignment vertical="center"/>
    </xf>
    <xf numFmtId="37" fontId="1" fillId="0" borderId="0" xfId="0" applyNumberFormat="1" applyFont="1" applyFill="1" applyAlignment="1">
      <alignment vertical="center"/>
    </xf>
    <xf numFmtId="0" fontId="1" fillId="0" borderId="0" xfId="0" applyFont="1" applyFill="1" applyAlignment="1">
      <alignment vertical="top"/>
    </xf>
    <xf numFmtId="0" fontId="1" fillId="0" borderId="0" xfId="0" applyNumberFormat="1" applyFont="1"/>
    <xf numFmtId="0" fontId="1" fillId="0" borderId="0" xfId="0" applyNumberFormat="1" applyFont="1" applyAlignment="1">
      <alignment horizontal="center"/>
    </xf>
    <xf numFmtId="0" fontId="4" fillId="0" borderId="0" xfId="0" applyNumberFormat="1" applyFont="1" applyAlignment="1">
      <alignment horizontal="center"/>
    </xf>
    <xf numFmtId="0" fontId="4" fillId="0" borderId="0" xfId="0" applyNumberFormat="1" applyFont="1"/>
    <xf numFmtId="0" fontId="1" fillId="0" borderId="3" xfId="0" applyNumberFormat="1" applyFont="1" applyBorder="1" applyAlignment="1">
      <alignment horizontal="center"/>
    </xf>
    <xf numFmtId="0" fontId="1" fillId="0" borderId="0" xfId="0" applyNumberFormat="1" applyFont="1" applyBorder="1" applyAlignment="1">
      <alignment horizontal="center"/>
    </xf>
    <xf numFmtId="0" fontId="1" fillId="0" borderId="4" xfId="0" applyNumberFormat="1" applyFont="1" applyBorder="1" applyAlignment="1">
      <alignment horizontal="center"/>
    </xf>
    <xf numFmtId="0" fontId="1" fillId="0" borderId="0" xfId="22" applyNumberFormat="1" applyFont="1" applyFill="1"/>
    <xf numFmtId="5" fontId="1" fillId="0" borderId="0" xfId="22" applyNumberFormat="1" applyFont="1" applyFill="1"/>
    <xf numFmtId="0" fontId="1" fillId="0" borderId="0" xfId="22" applyNumberFormat="1" applyFont="1" applyFill="1" applyAlignment="1">
      <alignment horizontal="center"/>
    </xf>
    <xf numFmtId="37" fontId="1" fillId="0" borderId="0" xfId="22" applyNumberFormat="1" applyFont="1" applyFill="1"/>
    <xf numFmtId="37" fontId="7" fillId="0" borderId="11" xfId="22" applyNumberFormat="1" applyFont="1" applyFill="1" applyBorder="1"/>
    <xf numFmtId="37" fontId="7" fillId="0" borderId="0" xfId="22" applyNumberFormat="1" applyFont="1" applyFill="1" applyBorder="1"/>
    <xf numFmtId="0" fontId="1" fillId="0" borderId="0" xfId="22" quotePrefix="1" applyNumberFormat="1" applyFont="1" applyFill="1" applyAlignment="1">
      <alignment horizontal="left"/>
    </xf>
    <xf numFmtId="0" fontId="1" fillId="0" borderId="0" xfId="22" applyNumberFormat="1" applyFont="1" applyFill="1" applyAlignment="1">
      <alignment horizontal="left"/>
    </xf>
    <xf numFmtId="0" fontId="1" fillId="6" borderId="0" xfId="0" applyNumberFormat="1" applyFont="1" applyFill="1" applyAlignment="1">
      <alignment horizontal="center"/>
    </xf>
    <xf numFmtId="5" fontId="7" fillId="0" borderId="12" xfId="0" applyNumberFormat="1" applyFont="1" applyBorder="1"/>
    <xf numFmtId="0" fontId="1" fillId="0" borderId="0" xfId="22" quotePrefix="1" applyNumberFormat="1" applyFont="1" applyFill="1" applyAlignment="1">
      <alignment horizontal="center"/>
    </xf>
    <xf numFmtId="37" fontId="9" fillId="0" borderId="0" xfId="22" applyNumberFormat="1" applyFont="1" applyFill="1" applyBorder="1"/>
    <xf numFmtId="37" fontId="7" fillId="0" borderId="13" xfId="22" applyNumberFormat="1" applyFont="1" applyFill="1" applyBorder="1"/>
    <xf numFmtId="0" fontId="1" fillId="0" borderId="0" xfId="22" applyFont="1" applyFill="1"/>
    <xf numFmtId="0" fontId="1" fillId="0" borderId="0" xfId="22" applyNumberFormat="1" applyFont="1" applyFill="1" applyBorder="1"/>
    <xf numFmtId="0" fontId="1" fillId="0" borderId="0" xfId="22" applyNumberFormat="1" applyFont="1" applyFill="1" applyBorder="1" applyAlignment="1">
      <alignment horizontal="left"/>
    </xf>
    <xf numFmtId="0" fontId="1" fillId="0" borderId="0" xfId="22" quotePrefix="1" applyNumberFormat="1" applyFont="1" applyFill="1" applyBorder="1" applyAlignment="1">
      <alignment horizontal="left"/>
    </xf>
    <xf numFmtId="37" fontId="1" fillId="0" borderId="0" xfId="22" applyNumberFormat="1" applyFont="1" applyFill="1" applyBorder="1" applyAlignment="1">
      <alignment horizontal="center"/>
    </xf>
    <xf numFmtId="37" fontId="1" fillId="0" borderId="0" xfId="22" applyNumberFormat="1" applyFont="1" applyFill="1" applyBorder="1"/>
    <xf numFmtId="37" fontId="1" fillId="0" borderId="0" xfId="0" applyNumberFormat="1" applyFont="1" applyFill="1" applyAlignment="1">
      <alignment horizontal="center"/>
    </xf>
    <xf numFmtId="171" fontId="1" fillId="0" borderId="0" xfId="0" applyNumberFormat="1" applyFont="1" applyFill="1" applyBorder="1" applyAlignment="1" applyProtection="1">
      <alignment horizontal="left"/>
    </xf>
    <xf numFmtId="171" fontId="1" fillId="0" borderId="0" xfId="23" applyNumberFormat="1" applyFont="1" applyFill="1" applyBorder="1" applyAlignment="1" applyProtection="1">
      <alignment horizontal="left"/>
    </xf>
    <xf numFmtId="0" fontId="1" fillId="0" borderId="0" xfId="0" applyFont="1" applyFill="1" applyAlignment="1">
      <alignment horizontal="center" vertical="center"/>
    </xf>
    <xf numFmtId="37" fontId="4" fillId="0" borderId="0" xfId="0" applyNumberFormat="1" applyFont="1" applyFill="1" applyAlignment="1">
      <alignment vertical="center"/>
    </xf>
    <xf numFmtId="170" fontId="40" fillId="0" borderId="0" xfId="3" applyNumberFormat="1" applyFont="1" applyFill="1"/>
    <xf numFmtId="37" fontId="40" fillId="0" borderId="0" xfId="0" applyNumberFormat="1" applyFont="1" applyFill="1"/>
    <xf numFmtId="170" fontId="1" fillId="0" borderId="0" xfId="2" applyNumberFormat="1" applyFont="1" applyFill="1"/>
    <xf numFmtId="170" fontId="1" fillId="0" borderId="0" xfId="0" applyNumberFormat="1" applyFont="1" applyFill="1"/>
    <xf numFmtId="0" fontId="17" fillId="11" borderId="0" xfId="0" applyFont="1" applyFill="1"/>
    <xf numFmtId="170" fontId="41" fillId="0" borderId="0" xfId="2" quotePrefix="1" applyNumberFormat="1" applyFont="1" applyFill="1"/>
    <xf numFmtId="0" fontId="17" fillId="0" borderId="3" xfId="0" applyFont="1" applyFill="1" applyBorder="1"/>
    <xf numFmtId="0" fontId="17" fillId="11" borderId="3" xfId="0" applyFont="1" applyFill="1" applyBorder="1"/>
    <xf numFmtId="170" fontId="17" fillId="11" borderId="0" xfId="2" applyNumberFormat="1" applyFont="1" applyFill="1"/>
    <xf numFmtId="37" fontId="1" fillId="0" borderId="0" xfId="0" applyNumberFormat="1" applyFont="1" applyFill="1" applyAlignment="1">
      <alignment horizontal="right"/>
    </xf>
    <xf numFmtId="0" fontId="1" fillId="0" borderId="0" xfId="0" applyFont="1" applyFill="1" applyBorder="1"/>
    <xf numFmtId="170" fontId="1" fillId="11" borderId="0" xfId="2" applyNumberFormat="1" applyFont="1" applyFill="1"/>
    <xf numFmtId="0" fontId="1" fillId="0" borderId="3" xfId="0" applyFont="1" applyFill="1" applyBorder="1"/>
    <xf numFmtId="37" fontId="1" fillId="0" borderId="0" xfId="0" applyNumberFormat="1" applyFont="1" applyAlignment="1">
      <alignment horizontal="center"/>
    </xf>
    <xf numFmtId="37" fontId="2" fillId="0" borderId="6" xfId="6" applyNumberFormat="1" applyFont="1" applyBorder="1"/>
    <xf numFmtId="37" fontId="2" fillId="0" borderId="0" xfId="0" applyNumberFormat="1" applyFont="1"/>
    <xf numFmtId="0" fontId="1" fillId="0" borderId="0" xfId="0" applyNumberFormat="1" applyFont="1" applyFill="1"/>
    <xf numFmtId="0" fontId="1" fillId="0" borderId="0" xfId="0" applyNumberFormat="1" applyFont="1" applyFill="1" applyAlignment="1">
      <alignment horizontal="center"/>
    </xf>
    <xf numFmtId="0" fontId="17" fillId="0" borderId="0" xfId="0" applyNumberFormat="1" applyFont="1" applyFill="1" applyAlignment="1">
      <alignment horizontal="center"/>
    </xf>
    <xf numFmtId="37" fontId="2" fillId="0" borderId="1" xfId="0" applyNumberFormat="1" applyFont="1" applyFill="1" applyBorder="1"/>
    <xf numFmtId="0" fontId="12" fillId="0" borderId="0" xfId="0" applyFont="1" applyAlignment="1">
      <alignment horizontal="left"/>
    </xf>
    <xf numFmtId="0" fontId="0" fillId="9" borderId="14" xfId="0" applyFill="1" applyBorder="1"/>
    <xf numFmtId="0" fontId="0" fillId="0" borderId="0" xfId="0" quotePrefix="1"/>
    <xf numFmtId="170" fontId="1" fillId="9" borderId="3" xfId="2" applyNumberFormat="1" applyFont="1" applyFill="1" applyBorder="1"/>
    <xf numFmtId="0" fontId="28" fillId="9" borderId="0" xfId="0" applyFont="1" applyFill="1" applyBorder="1" applyAlignment="1">
      <alignment horizontal="center"/>
    </xf>
    <xf numFmtId="9" fontId="28" fillId="9" borderId="15" xfId="0" applyNumberFormat="1" applyFont="1" applyFill="1" applyBorder="1" applyAlignment="1">
      <alignment horizontal="center"/>
    </xf>
    <xf numFmtId="0" fontId="0" fillId="9" borderId="14" xfId="0" applyFill="1" applyBorder="1" applyAlignment="1">
      <alignment horizontal="center"/>
    </xf>
    <xf numFmtId="169" fontId="0" fillId="9" borderId="0" xfId="6" applyNumberFormat="1" applyFont="1" applyFill="1" applyBorder="1" applyAlignment="1">
      <alignment horizontal="center"/>
    </xf>
    <xf numFmtId="169" fontId="0" fillId="9" borderId="15" xfId="6" applyNumberFormat="1" applyFont="1" applyFill="1" applyBorder="1" applyAlignment="1">
      <alignment horizontal="center"/>
    </xf>
    <xf numFmtId="0" fontId="0" fillId="9" borderId="16" xfId="0" applyFill="1" applyBorder="1" applyAlignment="1">
      <alignment horizontal="center"/>
    </xf>
    <xf numFmtId="169" fontId="0" fillId="9" borderId="1" xfId="6" applyNumberFormat="1" applyFont="1" applyFill="1" applyBorder="1" applyAlignment="1">
      <alignment horizontal="center"/>
    </xf>
    <xf numFmtId="169" fontId="0" fillId="9" borderId="17" xfId="0" applyNumberFormat="1" applyFill="1" applyBorder="1" applyAlignment="1">
      <alignment horizontal="center"/>
    </xf>
    <xf numFmtId="0" fontId="12" fillId="0" borderId="0" xfId="0" applyFont="1" applyAlignment="1"/>
    <xf numFmtId="0" fontId="12" fillId="0" borderId="0" xfId="0" applyFont="1" applyAlignment="1">
      <alignment horizontal="left"/>
    </xf>
    <xf numFmtId="0" fontId="13" fillId="0" borderId="0" xfId="0" applyFont="1" applyAlignment="1">
      <alignment horizontal="left"/>
    </xf>
    <xf numFmtId="0" fontId="3" fillId="0" borderId="0" xfId="0" applyFont="1" applyFill="1" applyAlignment="1">
      <alignment horizontal="left"/>
    </xf>
    <xf numFmtId="0" fontId="0" fillId="0" borderId="0" xfId="0" applyFill="1" applyAlignment="1">
      <alignment horizontal="left"/>
    </xf>
    <xf numFmtId="0" fontId="2" fillId="0" borderId="0" xfId="0" applyFont="1" applyFill="1" applyAlignment="1">
      <alignment horizontal="center" vertical="center"/>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horizontal="center"/>
    </xf>
    <xf numFmtId="0" fontId="0" fillId="0" borderId="0" xfId="0" applyFill="1" applyAlignment="1"/>
    <xf numFmtId="0" fontId="2" fillId="0" borderId="0" xfId="0" applyFont="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xf>
    <xf numFmtId="0" fontId="0" fillId="0" borderId="0" xfId="0" applyAlignment="1">
      <alignment horizontal="center" vertical="center"/>
    </xf>
    <xf numFmtId="0" fontId="12" fillId="0" borderId="0" xfId="0" applyFont="1" applyFill="1" applyAlignment="1"/>
    <xf numFmtId="0" fontId="12" fillId="0" borderId="0" xfId="0" applyFont="1" applyFill="1" applyAlignment="1">
      <alignment horizontal="left"/>
    </xf>
    <xf numFmtId="0" fontId="13" fillId="0" borderId="0" xfId="0" applyFont="1" applyFill="1" applyAlignment="1">
      <alignment horizontal="left"/>
    </xf>
    <xf numFmtId="0" fontId="3" fillId="0" borderId="0" xfId="0" applyFont="1" applyAlignment="1">
      <alignment horizontal="left"/>
    </xf>
    <xf numFmtId="0" fontId="0" fillId="0" borderId="0" xfId="0" applyAlignment="1">
      <alignment horizontal="left"/>
    </xf>
    <xf numFmtId="0" fontId="0" fillId="0" borderId="0" xfId="0" applyAlignment="1"/>
    <xf numFmtId="0" fontId="3" fillId="0" borderId="0" xfId="0" applyFont="1" applyAlignment="1">
      <alignment horizontal="center" vertical="center"/>
    </xf>
    <xf numFmtId="0" fontId="3" fillId="0" borderId="0" xfId="0" applyFont="1" applyAlignment="1"/>
    <xf numFmtId="0" fontId="2" fillId="0" borderId="0" xfId="0" applyFont="1" applyAlignment="1">
      <alignment horizontal="center" vertical="center" wrapText="1"/>
    </xf>
    <xf numFmtId="0" fontId="1" fillId="0" borderId="0" xfId="0" applyFont="1" applyAlignment="1">
      <alignment horizontal="left"/>
    </xf>
    <xf numFmtId="37" fontId="2" fillId="0" borderId="0" xfId="0" applyNumberFormat="1" applyFont="1" applyFill="1" applyAlignment="1">
      <alignment horizontal="center"/>
    </xf>
    <xf numFmtId="0" fontId="2" fillId="0" borderId="0" xfId="0" applyFont="1" applyAlignment="1">
      <alignment horizontal="center"/>
    </xf>
    <xf numFmtId="0" fontId="31" fillId="0" borderId="0" xfId="22" applyFont="1" applyAlignment="1">
      <alignment horizontal="left"/>
    </xf>
    <xf numFmtId="0" fontId="32" fillId="0" borderId="0" xfId="22" applyFont="1" applyAlignment="1">
      <alignment horizontal="left"/>
    </xf>
    <xf numFmtId="0" fontId="33" fillId="0" borderId="0" xfId="0" applyFont="1" applyAlignment="1">
      <alignment horizontal="center"/>
    </xf>
    <xf numFmtId="0" fontId="32" fillId="0" borderId="0" xfId="0" applyFont="1" applyAlignment="1">
      <alignment horizontal="center"/>
    </xf>
    <xf numFmtId="0" fontId="35" fillId="0" borderId="0" xfId="0" applyFont="1" applyAlignment="1">
      <alignment horizontal="center"/>
    </xf>
    <xf numFmtId="0" fontId="2" fillId="9" borderId="9" xfId="0" applyFont="1" applyFill="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1" fillId="0" borderId="0" xfId="10" applyAlignment="1">
      <alignment horizontal="left"/>
    </xf>
    <xf numFmtId="0" fontId="2" fillId="0" borderId="0" xfId="10" applyFont="1" applyAlignment="1">
      <alignment horizontal="center"/>
    </xf>
    <xf numFmtId="0" fontId="1" fillId="0" borderId="0" xfId="10" applyAlignment="1">
      <alignment horizontal="center"/>
    </xf>
  </cellXfs>
  <cellStyles count="28">
    <cellStyle name="_x0013_" xfId="1"/>
    <cellStyle name="Comma" xfId="2" builtinId="3"/>
    <cellStyle name="Comma 2" xfId="3"/>
    <cellStyle name="Comma(1)" xfId="4"/>
    <cellStyle name="Comma_rev456" xfId="5"/>
    <cellStyle name="Currency" xfId="6" builtinId="4"/>
    <cellStyle name="Currency 2" xfId="24"/>
    <cellStyle name="Detail" xfId="7"/>
    <cellStyle name="Heading" xfId="8"/>
    <cellStyle name="Normal" xfId="0" builtinId="0"/>
    <cellStyle name="Normal 2" xfId="9"/>
    <cellStyle name="Normal 2 3" xfId="23"/>
    <cellStyle name="Normal 3" xfId="22"/>
    <cellStyle name="Normal 3 2" xfId="25"/>
    <cellStyle name="Normal 4" xfId="26"/>
    <cellStyle name="Normal_Linxwiler Blank OATT Formula Template 10-25-07 Revision 2" xfId="10"/>
    <cellStyle name="Percent" xfId="11" builtinId="5"/>
    <cellStyle name="Percent (0)" xfId="12"/>
    <cellStyle name="Percent 2" xfId="27"/>
    <cellStyle name="PSChar" xfId="13"/>
    <cellStyle name="PSDate" xfId="14"/>
    <cellStyle name="PSDec" xfId="15"/>
    <cellStyle name="PSHeading" xfId="16"/>
    <cellStyle name="PSInt" xfId="17"/>
    <cellStyle name="PSSpacer" xfId="18"/>
    <cellStyle name="robyn" xfId="19"/>
    <cellStyle name="Style 1" xfId="20"/>
    <cellStyle name="Tickmark" xfId="2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161925</xdr:colOff>
      <xdr:row>14</xdr:row>
      <xdr:rowOff>95250</xdr:rowOff>
    </xdr:from>
    <xdr:to>
      <xdr:col>11</xdr:col>
      <xdr:colOff>154190</xdr:colOff>
      <xdr:row>42</xdr:row>
      <xdr:rowOff>66675</xdr:rowOff>
    </xdr:to>
    <xdr:pic>
      <xdr:nvPicPr>
        <xdr:cNvPr id="329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57225" y="2419350"/>
          <a:ext cx="5050040" cy="4505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a168\complian\federal\fpc\acct\2000\00_pbc\pbcqtr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Nov%20GFF%20Database%20(FL)\Database\Nov%20GFF%20FL%20Database%20-%20Version%203%20with%20smoothed%20reg%20capacity.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TR"/>
      <sheetName val="236 Reconciliation (2)"/>
      <sheetName val="236 Reconciliation"/>
      <sheetName val="Provision"/>
    </sheetNames>
    <sheetDataSet>
      <sheetData sheetId="0" refreshError="1"/>
      <sheetData sheetId="1" refreshError="1"/>
      <sheetData sheetId="2">
        <row r="68">
          <cell r="A68" t="str">
            <v>Florida Power Corporation</v>
          </cell>
        </row>
      </sheetData>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rsion Tracking"/>
      <sheetName val="Analysis - Value Summary"/>
      <sheetName val="Analysis - Sensitivities"/>
      <sheetName val="Analysis - Capacity $"/>
      <sheetName val="Analysis - Capacity $kwm"/>
      <sheetName val="Port Value - Cust Summ"/>
      <sheetName val="Port Value - Annual"/>
      <sheetName val="Port Value - Monthly"/>
      <sheetName val="Customer Info"/>
      <sheetName val="MW &amp; MWh"/>
      <sheetName val="Capacity ECC"/>
      <sheetName val="Fuel by LF"/>
      <sheetName val="VOM by LF"/>
      <sheetName val="Emissions by LF"/>
      <sheetName val="Credit"/>
      <sheetName val="FERC Cap. &amp; Energy"/>
      <sheetName val="Negotiated Capacity Revenue"/>
      <sheetName val="Negotiated Fuel Revenue"/>
      <sheetName val="Negotiated VOM Revenue"/>
      <sheetName val="Retail Capacity Impact"/>
      <sheetName val="Retail Energy Impact"/>
      <sheetName val="Fuel Revenue by Contract"/>
      <sheetName val="CR-1 tariff"/>
      <sheetName val="Docum - Interrelationships"/>
      <sheetName val="Docum - Named Ranges"/>
      <sheetName val="Docum - General"/>
    </sheetNames>
    <sheetDataSet>
      <sheetData sheetId="0"/>
      <sheetData sheetId="1"/>
      <sheetData sheetId="2"/>
      <sheetData sheetId="3"/>
      <sheetData sheetId="4"/>
      <sheetData sheetId="5"/>
      <sheetData sheetId="6"/>
      <sheetData sheetId="7">
        <row r="7">
          <cell r="B7">
            <v>8.1563040000000003E-2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Q63"/>
  <sheetViews>
    <sheetView topLeftCell="A19" workbookViewId="0">
      <selection activeCell="Q24" sqref="Q24"/>
    </sheetView>
  </sheetViews>
  <sheetFormatPr defaultRowHeight="12.75"/>
  <cols>
    <col min="1" max="1" width="4.7109375" customWidth="1"/>
    <col min="2" max="2" width="2.7109375" customWidth="1"/>
    <col min="3" max="3" width="39.28515625" customWidth="1"/>
    <col min="4" max="4" width="14.85546875" bestFit="1" customWidth="1"/>
    <col min="5" max="5" width="2.7109375" customWidth="1"/>
    <col min="6" max="6" width="10.7109375" bestFit="1" customWidth="1"/>
    <col min="7" max="7" width="2.7109375" customWidth="1"/>
    <col min="8" max="8" width="4.140625" bestFit="1" customWidth="1"/>
    <col min="9" max="9" width="8.140625" bestFit="1" customWidth="1"/>
    <col min="10" max="10" width="2.7109375" customWidth="1"/>
    <col min="11" max="11" width="12.85546875" bestFit="1" customWidth="1"/>
    <col min="12" max="12" width="5.140625" customWidth="1"/>
  </cols>
  <sheetData>
    <row r="1" spans="1:17">
      <c r="O1" s="192" t="s">
        <v>566</v>
      </c>
      <c r="P1" s="233">
        <v>2010</v>
      </c>
      <c r="Q1" s="192" t="s">
        <v>567</v>
      </c>
    </row>
    <row r="2" spans="1:17">
      <c r="O2" s="192"/>
      <c r="P2" s="192" t="str">
        <f>"12/31/"&amp;P1</f>
        <v>12/31/2010</v>
      </c>
      <c r="Q2" s="192" t="s">
        <v>568</v>
      </c>
    </row>
    <row r="3" spans="1:17">
      <c r="O3" s="192"/>
      <c r="P3" s="192" t="str">
        <f>"12/31/"&amp;P1-1</f>
        <v>12/31/2009</v>
      </c>
      <c r="Q3" s="192" t="s">
        <v>569</v>
      </c>
    </row>
    <row r="4" spans="1:17" ht="15">
      <c r="J4" s="305" t="s">
        <v>187</v>
      </c>
      <c r="K4" s="305"/>
      <c r="L4" s="305"/>
    </row>
    <row r="5" spans="1:17" ht="15">
      <c r="J5" s="306" t="s">
        <v>231</v>
      </c>
      <c r="K5" s="306"/>
      <c r="L5" s="307"/>
    </row>
    <row r="6" spans="1:17">
      <c r="A6" s="39"/>
      <c r="B6" s="39"/>
      <c r="C6" s="39"/>
      <c r="D6" s="39"/>
      <c r="E6" s="39"/>
      <c r="F6" s="39"/>
      <c r="G6" s="39"/>
      <c r="H6" s="39"/>
      <c r="I6" s="39"/>
      <c r="J6" s="308" t="str">
        <f>FF1_Year</f>
        <v>Year Ending 12/31/2010</v>
      </c>
      <c r="K6" s="309"/>
      <c r="L6" s="309"/>
    </row>
    <row r="7" spans="1:17">
      <c r="A7" s="39"/>
      <c r="B7" s="39"/>
      <c r="C7" s="39"/>
      <c r="D7" s="39"/>
      <c r="E7" s="39"/>
      <c r="F7" s="39"/>
      <c r="G7" s="39"/>
      <c r="H7" s="39"/>
      <c r="I7" s="39"/>
      <c r="J7" s="39"/>
      <c r="K7" s="39"/>
      <c r="L7" s="39"/>
    </row>
    <row r="8" spans="1:17">
      <c r="A8" s="310" t="s">
        <v>135</v>
      </c>
      <c r="B8" s="310"/>
      <c r="C8" s="310"/>
      <c r="D8" s="310"/>
      <c r="E8" s="310"/>
      <c r="F8" s="310"/>
      <c r="G8" s="310"/>
      <c r="H8" s="310"/>
      <c r="I8" s="310"/>
      <c r="J8" s="310"/>
      <c r="K8" s="310"/>
      <c r="L8" s="310"/>
    </row>
    <row r="9" spans="1:17">
      <c r="A9" s="310" t="s">
        <v>137</v>
      </c>
      <c r="B9" s="310"/>
      <c r="C9" s="310"/>
      <c r="D9" s="310"/>
      <c r="E9" s="310"/>
      <c r="F9" s="310"/>
      <c r="G9" s="310"/>
      <c r="H9" s="310"/>
      <c r="I9" s="310"/>
      <c r="J9" s="310"/>
      <c r="K9" s="310"/>
      <c r="L9" s="310"/>
    </row>
    <row r="10" spans="1:17">
      <c r="A10" s="79"/>
      <c r="B10" s="79"/>
      <c r="C10" s="79"/>
      <c r="D10" s="79"/>
      <c r="E10" s="79"/>
      <c r="F10" s="79"/>
      <c r="G10" s="79"/>
      <c r="H10" s="79"/>
      <c r="I10" s="79"/>
      <c r="J10" s="79"/>
      <c r="K10" s="79"/>
      <c r="L10" s="79"/>
    </row>
    <row r="11" spans="1:17">
      <c r="A11" s="310" t="s">
        <v>136</v>
      </c>
      <c r="B11" s="310"/>
      <c r="C11" s="310"/>
      <c r="D11" s="310"/>
      <c r="E11" s="310"/>
      <c r="F11" s="310"/>
      <c r="G11" s="310"/>
      <c r="H11" s="310"/>
      <c r="I11" s="310"/>
      <c r="J11" s="310"/>
      <c r="K11" s="310"/>
      <c r="L11" s="310"/>
    </row>
    <row r="12" spans="1:17">
      <c r="A12" s="79"/>
      <c r="B12" s="79"/>
      <c r="C12" s="79"/>
      <c r="D12" s="79"/>
      <c r="E12" s="79"/>
      <c r="F12" s="79"/>
      <c r="G12" s="79"/>
      <c r="H12" s="79"/>
      <c r="I12" s="79"/>
      <c r="J12" s="79"/>
      <c r="K12" s="79"/>
      <c r="L12" s="79"/>
    </row>
    <row r="13" spans="1:17">
      <c r="A13" s="45"/>
      <c r="B13" s="39"/>
      <c r="C13" s="39"/>
      <c r="D13" s="39"/>
      <c r="E13" s="39"/>
      <c r="F13" s="39"/>
      <c r="G13" s="39"/>
      <c r="H13" s="39"/>
      <c r="I13" s="39"/>
      <c r="J13" s="39"/>
      <c r="K13" s="39"/>
      <c r="L13" s="39"/>
    </row>
    <row r="14" spans="1:17" ht="25.5">
      <c r="A14" s="79" t="s">
        <v>21</v>
      </c>
      <c r="B14" s="80"/>
      <c r="C14" s="64"/>
      <c r="D14" s="79" t="s">
        <v>4</v>
      </c>
      <c r="E14" s="79"/>
      <c r="F14" s="79" t="s">
        <v>22</v>
      </c>
      <c r="G14" s="79"/>
      <c r="H14" s="310" t="s">
        <v>23</v>
      </c>
      <c r="I14" s="310"/>
      <c r="J14" s="79"/>
      <c r="K14" s="81" t="s">
        <v>24</v>
      </c>
      <c r="L14" s="82"/>
    </row>
    <row r="15" spans="1:17">
      <c r="A15" s="45"/>
      <c r="B15" s="39"/>
      <c r="C15" s="39"/>
      <c r="D15" s="39"/>
      <c r="E15" s="39"/>
      <c r="F15" s="39"/>
      <c r="G15" s="39"/>
      <c r="H15" s="39"/>
      <c r="I15" s="39"/>
      <c r="J15" s="39"/>
      <c r="K15" s="39"/>
      <c r="L15" s="39"/>
    </row>
    <row r="16" spans="1:17">
      <c r="A16" s="45">
        <v>1</v>
      </c>
      <c r="B16" s="46" t="s">
        <v>238</v>
      </c>
      <c r="C16" s="39"/>
      <c r="D16" s="39" t="str">
        <f>"Page 3, Line "&amp;'PEF - 2 - Page 3 Rev Reqt'!A67</f>
        <v>Page 3, Line 35</v>
      </c>
      <c r="E16" s="39"/>
      <c r="F16" s="39"/>
      <c r="G16" s="39"/>
      <c r="H16" s="39"/>
      <c r="I16" s="39"/>
      <c r="J16" s="39"/>
      <c r="K16" s="41">
        <f>'PEF - 2 - Page 3 Rev Reqt'!K67</f>
        <v>240968491.98446882</v>
      </c>
      <c r="L16" s="39"/>
    </row>
    <row r="17" spans="1:12">
      <c r="A17" s="83"/>
      <c r="B17" s="46"/>
      <c r="C17" s="39"/>
      <c r="D17" s="45"/>
      <c r="E17" s="45"/>
      <c r="F17" s="41"/>
      <c r="G17" s="39"/>
      <c r="H17" s="45"/>
      <c r="I17" s="39"/>
      <c r="J17" s="39"/>
      <c r="K17" s="39" t="str">
        <f>IF(ISNUMBER(I17),F17*I17,"")</f>
        <v/>
      </c>
      <c r="L17" s="39"/>
    </row>
    <row r="18" spans="1:12">
      <c r="A18" s="39"/>
      <c r="B18" s="46" t="s">
        <v>115</v>
      </c>
      <c r="C18" s="39"/>
      <c r="D18" s="45"/>
      <c r="E18" s="45"/>
      <c r="F18" s="41"/>
      <c r="G18" s="39"/>
      <c r="H18" s="45"/>
      <c r="I18" s="42"/>
      <c r="J18" s="42"/>
      <c r="K18" s="41"/>
      <c r="L18" s="39"/>
    </row>
    <row r="19" spans="1:12">
      <c r="A19" s="45">
        <v>2</v>
      </c>
      <c r="B19" s="46"/>
      <c r="C19" s="39" t="s">
        <v>289</v>
      </c>
      <c r="D19" s="45" t="s">
        <v>194</v>
      </c>
      <c r="E19" s="45"/>
      <c r="F19" s="41">
        <f>'PEF -3, p1, 454 Rev Credits'!$F$31</f>
        <v>10617478.278861364</v>
      </c>
      <c r="G19" s="39"/>
      <c r="H19" s="45" t="s">
        <v>55</v>
      </c>
      <c r="I19" s="42">
        <v>1</v>
      </c>
      <c r="J19" s="42"/>
      <c r="K19" s="41">
        <f>IF(ISNUMBER(I19),F19*I19,"")</f>
        <v>10617478.278861364</v>
      </c>
      <c r="L19" s="39"/>
    </row>
    <row r="20" spans="1:12" ht="13.5" thickBot="1">
      <c r="A20" s="45">
        <v>3</v>
      </c>
      <c r="B20" s="46"/>
      <c r="C20" s="39" t="s">
        <v>288</v>
      </c>
      <c r="D20" s="45" t="s">
        <v>194</v>
      </c>
      <c r="E20" s="45"/>
      <c r="F20" s="41">
        <f>'PEF - 3,  p2, 456 Rev Credits'!G88</f>
        <v>2463709</v>
      </c>
      <c r="G20" s="39"/>
      <c r="H20" s="45" t="s">
        <v>55</v>
      </c>
      <c r="I20" s="42">
        <v>1</v>
      </c>
      <c r="J20" s="42"/>
      <c r="K20" s="41">
        <f>IF(ISNUMBER(I20),F20*I20,"")</f>
        <v>2463709</v>
      </c>
      <c r="L20" s="39"/>
    </row>
    <row r="21" spans="1:12" ht="15" customHeight="1" thickTop="1">
      <c r="A21" s="45">
        <v>4</v>
      </c>
      <c r="B21" s="46" t="s">
        <v>108</v>
      </c>
      <c r="C21" s="39"/>
      <c r="D21" s="45"/>
      <c r="E21" s="45"/>
      <c r="F21" s="54">
        <f>SUM(F17:F20)</f>
        <v>13081187.278861364</v>
      </c>
      <c r="G21" s="39"/>
      <c r="H21" s="45"/>
      <c r="I21" s="42"/>
      <c r="J21" s="42"/>
      <c r="K21" s="54">
        <f>SUM(K17:K20)</f>
        <v>13081187.278861364</v>
      </c>
      <c r="L21" s="39"/>
    </row>
    <row r="22" spans="1:12">
      <c r="A22" s="45"/>
      <c r="B22" s="46"/>
      <c r="C22" s="39"/>
      <c r="D22" s="45"/>
      <c r="E22" s="45"/>
      <c r="F22" s="39"/>
      <c r="G22" s="39"/>
      <c r="H22" s="45"/>
      <c r="I22" s="39"/>
      <c r="J22" s="39"/>
      <c r="K22" s="39"/>
      <c r="L22" s="39"/>
    </row>
    <row r="23" spans="1:12">
      <c r="A23" s="45">
        <v>5</v>
      </c>
      <c r="B23" s="46" t="s">
        <v>282</v>
      </c>
      <c r="C23" s="39"/>
      <c r="D23" s="45"/>
      <c r="E23" s="45"/>
      <c r="F23" s="41"/>
      <c r="G23" s="39"/>
      <c r="H23" s="45"/>
      <c r="I23" s="39"/>
      <c r="J23" s="39"/>
      <c r="K23" s="41">
        <v>0</v>
      </c>
      <c r="L23" s="39"/>
    </row>
    <row r="24" spans="1:12">
      <c r="A24" s="45"/>
      <c r="B24" s="46"/>
      <c r="C24" s="39"/>
      <c r="D24" s="45"/>
      <c r="E24" s="45"/>
      <c r="F24" s="39"/>
      <c r="G24" s="39"/>
      <c r="H24" s="45"/>
      <c r="I24" s="39"/>
      <c r="J24" s="39"/>
      <c r="K24" s="39"/>
      <c r="L24" s="39"/>
    </row>
    <row r="25" spans="1:12">
      <c r="A25" s="45">
        <f>A23+1</f>
        <v>6</v>
      </c>
      <c r="B25" s="46" t="s">
        <v>312</v>
      </c>
      <c r="C25" s="39"/>
      <c r="D25" s="45"/>
      <c r="E25" s="45"/>
      <c r="F25" s="39"/>
      <c r="G25" s="39"/>
      <c r="H25" s="45"/>
      <c r="I25" s="39"/>
      <c r="J25" s="39"/>
      <c r="K25" s="41">
        <v>0</v>
      </c>
      <c r="L25" s="39"/>
    </row>
    <row r="26" spans="1:12">
      <c r="A26" s="45"/>
      <c r="B26" s="46"/>
      <c r="C26" s="39"/>
      <c r="D26" s="45"/>
      <c r="E26" s="45"/>
      <c r="F26" s="39"/>
      <c r="G26" s="39"/>
      <c r="H26" s="45"/>
      <c r="I26" s="39"/>
      <c r="J26" s="39"/>
      <c r="K26" s="39"/>
      <c r="L26" s="39"/>
    </row>
    <row r="27" spans="1:12">
      <c r="A27" s="45">
        <f>+A25+1</f>
        <v>7</v>
      </c>
      <c r="B27" s="46" t="s">
        <v>386</v>
      </c>
      <c r="C27" s="39"/>
      <c r="D27" s="45"/>
      <c r="E27" s="45"/>
      <c r="F27" s="39"/>
      <c r="G27" s="39"/>
      <c r="H27" s="45"/>
      <c r="I27" s="39"/>
      <c r="J27" s="39"/>
      <c r="K27" s="41">
        <f>K16-K21+K23+K25</f>
        <v>227887304.70560744</v>
      </c>
      <c r="L27" s="39"/>
    </row>
    <row r="28" spans="1:12">
      <c r="A28" s="45"/>
      <c r="B28" s="46"/>
      <c r="C28" s="39"/>
      <c r="D28" s="45"/>
      <c r="E28" s="45"/>
      <c r="F28" s="39"/>
      <c r="G28" s="39"/>
      <c r="H28" s="45"/>
      <c r="I28" s="39"/>
      <c r="J28" s="39"/>
      <c r="K28" s="39"/>
      <c r="L28" s="39"/>
    </row>
    <row r="29" spans="1:12" ht="30" customHeight="1">
      <c r="A29" s="61">
        <f>A27+1</f>
        <v>8</v>
      </c>
      <c r="B29" s="311" t="s">
        <v>257</v>
      </c>
      <c r="C29" s="312"/>
      <c r="D29" s="61" t="str">
        <f>"p.5, line "&amp;'PEF - 2 - Page 5 Storm, Notes'!B36&amp;" Total"</f>
        <v>p.5, line 15 Total</v>
      </c>
      <c r="E29" s="61"/>
      <c r="F29" s="64"/>
      <c r="G29" s="64"/>
      <c r="H29" s="61"/>
      <c r="I29" s="64"/>
      <c r="J29" s="64"/>
      <c r="K29" s="63">
        <f>'PEF - 2 - Page 5 Storm, Notes'!F36</f>
        <v>137878</v>
      </c>
      <c r="L29" s="39"/>
    </row>
    <row r="30" spans="1:12">
      <c r="A30" s="45"/>
      <c r="B30" s="46"/>
      <c r="C30" s="39"/>
      <c r="D30" s="45"/>
      <c r="E30" s="45"/>
      <c r="F30" s="41"/>
      <c r="G30" s="39"/>
      <c r="H30" s="45"/>
      <c r="I30" s="39"/>
      <c r="J30" s="39"/>
      <c r="K30" s="39"/>
      <c r="L30" s="39"/>
    </row>
    <row r="31" spans="1:12">
      <c r="A31" s="45">
        <f>A29+1</f>
        <v>9</v>
      </c>
      <c r="B31" s="46" t="s">
        <v>117</v>
      </c>
      <c r="C31" s="39"/>
      <c r="D31" s="45" t="str">
        <f>"Line "&amp;A27&amp;" / Line "&amp;A29</f>
        <v>Line 7 / Line 8</v>
      </c>
      <c r="E31" s="45"/>
      <c r="F31" s="41"/>
      <c r="G31" s="39"/>
      <c r="H31" s="45"/>
      <c r="I31" s="39"/>
      <c r="J31" s="39"/>
      <c r="K31" s="41">
        <f>IF(K29&lt;&gt;0,K27/K29,0)</f>
        <v>1652.8184678165294</v>
      </c>
      <c r="L31" s="39"/>
    </row>
    <row r="32" spans="1:12" ht="13.5" thickBot="1">
      <c r="A32" s="45">
        <f>A31+1</f>
        <v>10</v>
      </c>
      <c r="B32" s="46" t="s">
        <v>109</v>
      </c>
      <c r="C32" s="39"/>
      <c r="D32" s="45" t="str">
        <f>"Page 5, Line "&amp;'PEF - 2 - Page 5 Storm, Notes'!B28</f>
        <v>Page 5, Line 9</v>
      </c>
      <c r="E32" s="45"/>
      <c r="F32" s="41"/>
      <c r="G32" s="39"/>
      <c r="H32" s="45"/>
      <c r="I32" s="39"/>
      <c r="J32" s="39"/>
      <c r="K32" s="41">
        <f>'PEF - 2 - Page 5 Storm, Notes'!K28</f>
        <v>140.49561401738774</v>
      </c>
      <c r="L32" s="39"/>
    </row>
    <row r="33" spans="1:12" ht="13.5" thickTop="1">
      <c r="A33" s="45">
        <f>A32+1</f>
        <v>11</v>
      </c>
      <c r="B33" s="46" t="s">
        <v>203</v>
      </c>
      <c r="C33" s="39"/>
      <c r="D33" s="45" t="str">
        <f>"Line "&amp;A31&amp;" + Line "&amp;A32</f>
        <v>Line 9 + Line 10</v>
      </c>
      <c r="E33" s="45"/>
      <c r="F33" s="84"/>
      <c r="G33" s="84"/>
      <c r="H33" s="85"/>
      <c r="I33" s="84"/>
      <c r="J33" s="42"/>
      <c r="K33" s="54">
        <f>IF(K31&lt;&gt;0,K31+K32,0)</f>
        <v>1793.314081833917</v>
      </c>
      <c r="L33" s="39"/>
    </row>
    <row r="34" spans="1:12" ht="7.5" customHeight="1">
      <c r="A34" s="45"/>
      <c r="B34" s="46"/>
      <c r="C34" s="39"/>
      <c r="D34" s="45"/>
      <c r="E34" s="45"/>
      <c r="F34" s="39"/>
      <c r="G34" s="39"/>
      <c r="H34" s="45"/>
      <c r="I34" s="39"/>
      <c r="J34" s="39"/>
      <c r="K34" s="41"/>
      <c r="L34" s="39"/>
    </row>
    <row r="35" spans="1:12" ht="25.5" customHeight="1">
      <c r="A35" s="61">
        <f>A33+1</f>
        <v>12</v>
      </c>
      <c r="B35" s="311" t="s">
        <v>116</v>
      </c>
      <c r="C35" s="312"/>
      <c r="D35" s="61" t="str">
        <f>"Line "&amp;A33&amp;" * 12"</f>
        <v>Line 11 * 12</v>
      </c>
      <c r="E35" s="61"/>
      <c r="F35" s="63"/>
      <c r="G35" s="64"/>
      <c r="H35" s="61"/>
      <c r="I35" s="65"/>
      <c r="J35" s="64"/>
      <c r="K35" s="63">
        <f>K33*12</f>
        <v>21519.768982007005</v>
      </c>
      <c r="L35" s="39"/>
    </row>
    <row r="36" spans="1:12">
      <c r="A36" s="45"/>
      <c r="B36" s="46"/>
      <c r="C36" s="39"/>
      <c r="D36" s="45"/>
      <c r="E36" s="45"/>
      <c r="F36" s="39"/>
      <c r="G36" s="39"/>
      <c r="H36" s="45"/>
      <c r="I36" s="39"/>
      <c r="J36" s="39"/>
      <c r="K36" s="41"/>
      <c r="L36" s="39"/>
    </row>
    <row r="37" spans="1:12">
      <c r="A37" s="45">
        <f>A35+1</f>
        <v>13</v>
      </c>
      <c r="B37" s="46" t="s">
        <v>202</v>
      </c>
      <c r="C37" s="39"/>
      <c r="D37" s="45" t="str">
        <f>"Line "&amp;A35&amp;" / 52"</f>
        <v>Line 12 / 52</v>
      </c>
      <c r="E37" s="45"/>
      <c r="F37" s="41"/>
      <c r="G37" s="39"/>
      <c r="H37" s="45"/>
      <c r="I37" s="39"/>
      <c r="J37" s="39"/>
      <c r="K37" s="86">
        <f>K35/52</f>
        <v>413.8417111924424</v>
      </c>
      <c r="L37" s="39"/>
    </row>
    <row r="38" spans="1:12">
      <c r="A38" s="45"/>
      <c r="B38" s="46"/>
      <c r="C38" s="39"/>
      <c r="D38" s="39"/>
      <c r="E38" s="39"/>
      <c r="F38" s="39"/>
      <c r="G38" s="39"/>
      <c r="H38" s="45"/>
      <c r="I38" s="39"/>
      <c r="J38" s="39"/>
      <c r="K38" s="86"/>
      <c r="L38" s="39"/>
    </row>
    <row r="39" spans="1:12">
      <c r="A39" s="45"/>
      <c r="B39" s="46" t="s">
        <v>201</v>
      </c>
      <c r="C39" s="39"/>
      <c r="D39" s="39"/>
      <c r="E39" s="39"/>
      <c r="F39" s="39"/>
      <c r="G39" s="39"/>
      <c r="H39" s="45"/>
      <c r="I39" s="39"/>
      <c r="J39" s="39"/>
      <c r="K39" s="86"/>
      <c r="L39" s="39"/>
    </row>
    <row r="40" spans="1:12" ht="12.75" customHeight="1">
      <c r="A40" s="61">
        <f>A37+1</f>
        <v>14</v>
      </c>
      <c r="B40" s="79"/>
      <c r="C40" s="87" t="s">
        <v>110</v>
      </c>
      <c r="D40" s="45" t="str">
        <f>"Line "&amp;A37&amp;" / 5"</f>
        <v>Line 13 / 5</v>
      </c>
      <c r="E40" s="61"/>
      <c r="F40" s="64"/>
      <c r="G40" s="64"/>
      <c r="H40" s="61"/>
      <c r="I40" s="64"/>
      <c r="J40" s="64"/>
      <c r="K40" s="88">
        <f>K37/5</f>
        <v>82.768342238488486</v>
      </c>
      <c r="L40" s="39"/>
    </row>
    <row r="41" spans="1:12">
      <c r="A41" s="45">
        <f>A40+1</f>
        <v>15</v>
      </c>
      <c r="B41" s="46"/>
      <c r="C41" s="39" t="s">
        <v>111</v>
      </c>
      <c r="D41" s="45" t="str">
        <f>"Line "&amp;A37&amp;" / 7"</f>
        <v>Line 13 / 7</v>
      </c>
      <c r="E41" s="61"/>
      <c r="F41" s="64"/>
      <c r="G41" s="64"/>
      <c r="H41" s="61"/>
      <c r="I41" s="64"/>
      <c r="J41" s="64"/>
      <c r="K41" s="88">
        <f>K37/7</f>
        <v>59.120244456063197</v>
      </c>
      <c r="L41" s="39"/>
    </row>
    <row r="42" spans="1:12">
      <c r="A42" s="39"/>
      <c r="B42" s="46"/>
      <c r="C42" s="39"/>
      <c r="D42" s="39"/>
      <c r="E42" s="39"/>
      <c r="F42" s="39"/>
      <c r="G42" s="39"/>
      <c r="H42" s="39"/>
      <c r="I42" s="39"/>
      <c r="J42" s="39"/>
      <c r="K42" s="86"/>
      <c r="L42" s="39"/>
    </row>
    <row r="43" spans="1:12">
      <c r="A43" s="39"/>
      <c r="B43" s="46" t="s">
        <v>114</v>
      </c>
      <c r="C43" s="39"/>
      <c r="D43" s="39"/>
      <c r="E43" s="39"/>
      <c r="F43" s="39"/>
      <c r="G43" s="39"/>
      <c r="H43" s="39"/>
      <c r="I43" s="39"/>
      <c r="J43" s="39"/>
      <c r="K43" s="86"/>
      <c r="L43" s="39"/>
    </row>
    <row r="44" spans="1:12">
      <c r="A44" s="61">
        <f>A41+1</f>
        <v>16</v>
      </c>
      <c r="B44" s="79"/>
      <c r="C44" s="87" t="s">
        <v>112</v>
      </c>
      <c r="D44" s="45" t="str">
        <f>"Line "&amp;A40&amp;" / 16"</f>
        <v>Line 14 / 16</v>
      </c>
      <c r="E44" s="61"/>
      <c r="F44" s="64"/>
      <c r="G44" s="64"/>
      <c r="H44" s="61"/>
      <c r="I44" s="64"/>
      <c r="J44" s="64"/>
      <c r="K44" s="88">
        <f>K40/16</f>
        <v>5.1730213899055304</v>
      </c>
      <c r="L44" s="39"/>
    </row>
    <row r="45" spans="1:12">
      <c r="A45" s="45">
        <f>A44+1</f>
        <v>17</v>
      </c>
      <c r="B45" s="46"/>
      <c r="C45" s="39" t="s">
        <v>113</v>
      </c>
      <c r="D45" s="45" t="str">
        <f>"Line "&amp;A41&amp;" / 24"</f>
        <v>Line 15 / 24</v>
      </c>
      <c r="E45" s="61"/>
      <c r="F45" s="64"/>
      <c r="G45" s="64"/>
      <c r="H45" s="61"/>
      <c r="I45" s="64"/>
      <c r="J45" s="64"/>
      <c r="K45" s="88">
        <f>K41/24</f>
        <v>2.4633435190026334</v>
      </c>
      <c r="L45" s="39"/>
    </row>
    <row r="46" spans="1:12">
      <c r="B46" s="3"/>
    </row>
    <row r="47" spans="1:12">
      <c r="B47" s="3"/>
    </row>
    <row r="48" spans="1:12">
      <c r="B48" s="3"/>
    </row>
    <row r="49" spans="2:2">
      <c r="B49" s="3"/>
    </row>
    <row r="50" spans="2:2">
      <c r="B50" s="3"/>
    </row>
    <row r="51" spans="2:2">
      <c r="B51" s="3"/>
    </row>
    <row r="52" spans="2:2">
      <c r="B52" s="3"/>
    </row>
    <row r="53" spans="2:2">
      <c r="B53" s="3"/>
    </row>
    <row r="54" spans="2:2">
      <c r="B54" s="3"/>
    </row>
    <row r="55" spans="2:2">
      <c r="B55" s="3"/>
    </row>
    <row r="56" spans="2:2">
      <c r="B56" s="3"/>
    </row>
    <row r="57" spans="2:2">
      <c r="B57" s="3"/>
    </row>
    <row r="58" spans="2:2">
      <c r="B58" s="3"/>
    </row>
    <row r="59" spans="2:2">
      <c r="B59" s="3"/>
    </row>
    <row r="60" spans="2:2">
      <c r="B60" s="3"/>
    </row>
    <row r="61" spans="2:2">
      <c r="B61" s="3"/>
    </row>
    <row r="62" spans="2:2">
      <c r="B62" s="3"/>
    </row>
    <row r="63" spans="2:2">
      <c r="B63" s="3"/>
    </row>
  </sheetData>
  <mergeCells count="9">
    <mergeCell ref="J4:L4"/>
    <mergeCell ref="J5:L5"/>
    <mergeCell ref="J6:L6"/>
    <mergeCell ref="H14:I14"/>
    <mergeCell ref="B35:C35"/>
    <mergeCell ref="B29:C29"/>
    <mergeCell ref="A8:L8"/>
    <mergeCell ref="A9:L9"/>
    <mergeCell ref="A11:L11"/>
  </mergeCells>
  <phoneticPr fontId="0" type="noConversion"/>
  <printOptions horizontalCentered="1"/>
  <pageMargins left="0.5" right="0.5" top="0.5" bottom="0.5" header="0.5" footer="0.5"/>
  <pageSetup scale="88" orientation="portrait"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J82"/>
  <sheetViews>
    <sheetView topLeftCell="A64" workbookViewId="0">
      <selection activeCell="E76" sqref="E76"/>
    </sheetView>
  </sheetViews>
  <sheetFormatPr defaultRowHeight="12.75"/>
  <cols>
    <col min="1" max="1" width="5.7109375" style="191" customWidth="1"/>
    <col min="2" max="2" width="18.7109375" style="191" customWidth="1"/>
    <col min="3" max="3" width="9.140625" style="191"/>
    <col min="4" max="4" width="4.7109375" style="191" customWidth="1"/>
    <col min="5" max="5" width="15.7109375" style="191" customWidth="1"/>
    <col min="6" max="6" width="4.7109375" style="191" customWidth="1"/>
    <col min="7" max="7" width="15.7109375" style="191" customWidth="1"/>
    <col min="8" max="8" width="4.7109375" style="191" customWidth="1"/>
    <col min="9" max="9" width="15.7109375" style="191" customWidth="1"/>
    <col min="10" max="10" width="5.7109375" style="191" customWidth="1"/>
    <col min="11" max="16384" width="9.140625" style="191"/>
  </cols>
  <sheetData>
    <row r="1" spans="1:10" ht="15">
      <c r="I1" s="306" t="s">
        <v>390</v>
      </c>
      <c r="J1" s="306"/>
    </row>
    <row r="2" spans="1:10" ht="15">
      <c r="I2" s="293" t="s">
        <v>392</v>
      </c>
      <c r="J2" s="206"/>
    </row>
    <row r="3" spans="1:10">
      <c r="I3" s="330" t="str">
        <f>FF1_Year</f>
        <v>Year Ending 12/31/2010</v>
      </c>
      <c r="J3" s="330"/>
    </row>
    <row r="4" spans="1:10" ht="24.75" customHeight="1"/>
    <row r="5" spans="1:10">
      <c r="A5" s="315" t="s">
        <v>135</v>
      </c>
      <c r="B5" s="315"/>
      <c r="C5" s="315"/>
      <c r="D5" s="315"/>
      <c r="E5" s="315"/>
      <c r="F5" s="315"/>
      <c r="G5" s="315"/>
      <c r="H5" s="315"/>
      <c r="I5" s="315"/>
      <c r="J5" s="315"/>
    </row>
    <row r="6" spans="1:10">
      <c r="A6" s="319" t="s">
        <v>155</v>
      </c>
      <c r="B6" s="319"/>
      <c r="C6" s="319"/>
      <c r="D6" s="319"/>
      <c r="E6" s="319"/>
      <c r="F6" s="319"/>
      <c r="G6" s="319"/>
      <c r="H6" s="319"/>
      <c r="I6" s="319"/>
      <c r="J6" s="319"/>
    </row>
    <row r="7" spans="1:10" ht="17.25" customHeight="1"/>
    <row r="8" spans="1:10" ht="17.25" customHeight="1">
      <c r="B8" s="242"/>
      <c r="C8" s="242"/>
      <c r="D8" s="242"/>
      <c r="E8" s="242"/>
      <c r="F8" s="242"/>
      <c r="G8" s="242"/>
      <c r="H8" s="242"/>
      <c r="I8" s="242"/>
      <c r="J8" s="242"/>
    </row>
    <row r="9" spans="1:10">
      <c r="B9" s="242"/>
      <c r="C9" s="242"/>
      <c r="D9" s="242"/>
      <c r="E9" s="243" t="s">
        <v>142</v>
      </c>
      <c r="F9" s="243"/>
      <c r="G9" s="243"/>
      <c r="H9" s="243"/>
      <c r="I9" s="242"/>
      <c r="J9" s="242"/>
    </row>
    <row r="10" spans="1:10">
      <c r="B10" s="244" t="s">
        <v>143</v>
      </c>
      <c r="C10" s="245" t="s">
        <v>222</v>
      </c>
      <c r="D10" s="242"/>
      <c r="E10" s="246" t="s">
        <v>221</v>
      </c>
      <c r="F10" s="247"/>
      <c r="G10" s="248" t="s">
        <v>144</v>
      </c>
      <c r="H10" s="248"/>
      <c r="I10" s="248" t="s">
        <v>154</v>
      </c>
    </row>
    <row r="11" spans="1:10">
      <c r="B11" s="249" t="s">
        <v>153</v>
      </c>
      <c r="C11" s="249" t="s">
        <v>803</v>
      </c>
      <c r="D11" s="249"/>
      <c r="E11" s="251" t="s">
        <v>784</v>
      </c>
      <c r="F11" s="249"/>
      <c r="G11" s="252">
        <v>270367</v>
      </c>
      <c r="H11" s="252"/>
      <c r="I11" s="251">
        <v>1966</v>
      </c>
    </row>
    <row r="12" spans="1:10">
      <c r="B12" s="249"/>
      <c r="C12" s="249"/>
      <c r="D12" s="249"/>
      <c r="E12" s="251"/>
      <c r="F12" s="249"/>
      <c r="G12" s="252">
        <v>176546</v>
      </c>
      <c r="H12" s="252"/>
      <c r="I12" s="251">
        <v>2000</v>
      </c>
    </row>
    <row r="13" spans="1:10">
      <c r="B13" s="249"/>
      <c r="C13" s="249" t="s">
        <v>804</v>
      </c>
      <c r="D13" s="249"/>
      <c r="E13" s="251" t="s">
        <v>784</v>
      </c>
      <c r="F13" s="249"/>
      <c r="G13" s="252">
        <v>177625</v>
      </c>
      <c r="H13" s="252"/>
      <c r="I13" s="251">
        <v>2000</v>
      </c>
    </row>
    <row r="14" spans="1:10">
      <c r="B14" s="249"/>
      <c r="C14" s="249"/>
      <c r="D14" s="249"/>
      <c r="E14" s="251"/>
      <c r="F14" s="249"/>
      <c r="G14" s="252">
        <v>569297</v>
      </c>
      <c r="H14" s="252"/>
      <c r="I14" s="251">
        <v>2010</v>
      </c>
    </row>
    <row r="15" spans="1:10">
      <c r="B15" s="249"/>
      <c r="C15" s="249" t="s">
        <v>805</v>
      </c>
      <c r="D15" s="249"/>
      <c r="E15" s="259" t="s">
        <v>786</v>
      </c>
      <c r="F15" s="255"/>
      <c r="G15" s="252">
        <v>541256</v>
      </c>
      <c r="H15" s="252"/>
      <c r="I15" s="251">
        <v>1969</v>
      </c>
    </row>
    <row r="16" spans="1:10">
      <c r="B16" s="249"/>
      <c r="C16" s="249" t="s">
        <v>806</v>
      </c>
      <c r="D16" s="249"/>
      <c r="E16" s="259" t="s">
        <v>788</v>
      </c>
      <c r="F16" s="255"/>
      <c r="G16" s="252">
        <v>14219073.030000001</v>
      </c>
      <c r="H16" s="252"/>
      <c r="I16" s="251">
        <v>2008</v>
      </c>
    </row>
    <row r="17" spans="2:9">
      <c r="B17" s="249"/>
      <c r="C17" s="249" t="s">
        <v>780</v>
      </c>
      <c r="D17" s="249"/>
      <c r="E17" s="259" t="s">
        <v>807</v>
      </c>
      <c r="F17" s="255"/>
      <c r="G17" s="252">
        <f>1841936+1428</f>
        <v>1843364</v>
      </c>
      <c r="H17" s="252"/>
      <c r="I17" s="251">
        <v>1982</v>
      </c>
    </row>
    <row r="18" spans="2:9">
      <c r="B18" s="249"/>
      <c r="C18" s="249"/>
      <c r="D18" s="249"/>
      <c r="E18" s="259"/>
      <c r="F18" s="255"/>
      <c r="G18" s="252">
        <v>145500</v>
      </c>
      <c r="H18" s="252"/>
      <c r="I18" s="251">
        <v>1998</v>
      </c>
    </row>
    <row r="19" spans="2:9">
      <c r="B19" s="249"/>
      <c r="C19" s="249" t="s">
        <v>781</v>
      </c>
      <c r="D19" s="249"/>
      <c r="E19" s="259" t="s">
        <v>808</v>
      </c>
      <c r="F19" s="255"/>
      <c r="G19" s="252">
        <v>3539182</v>
      </c>
      <c r="H19" s="252"/>
      <c r="I19" s="251">
        <v>1984</v>
      </c>
    </row>
    <row r="20" spans="2:9">
      <c r="B20" s="249"/>
      <c r="C20" s="249"/>
      <c r="D20" s="249"/>
      <c r="E20" s="251"/>
      <c r="F20" s="249"/>
      <c r="G20" s="252">
        <f>-12590*4</f>
        <v>-50360</v>
      </c>
      <c r="H20" s="252"/>
      <c r="I20" s="251">
        <v>1990</v>
      </c>
    </row>
    <row r="21" spans="2:9">
      <c r="B21" s="249"/>
      <c r="C21" s="249"/>
      <c r="D21" s="249"/>
      <c r="E21" s="251"/>
      <c r="F21" s="249"/>
      <c r="G21" s="252">
        <v>11682</v>
      </c>
      <c r="H21" s="252"/>
      <c r="I21" s="251">
        <v>1997</v>
      </c>
    </row>
    <row r="22" spans="2:9">
      <c r="B22" s="249"/>
      <c r="C22" s="249"/>
      <c r="D22" s="249"/>
      <c r="E22" s="251" t="s">
        <v>782</v>
      </c>
      <c r="F22" s="249"/>
      <c r="G22" s="252">
        <v>3430323</v>
      </c>
      <c r="H22" s="252"/>
      <c r="I22" s="251">
        <v>1998</v>
      </c>
    </row>
    <row r="23" spans="2:9">
      <c r="B23" s="249"/>
      <c r="C23" s="249"/>
      <c r="D23" s="249"/>
      <c r="E23" s="251"/>
      <c r="F23" s="249"/>
      <c r="G23" s="253">
        <f>SUM(G11:G22)</f>
        <v>24873855.030000001</v>
      </c>
      <c r="H23" s="254"/>
      <c r="I23" s="251"/>
    </row>
    <row r="24" spans="2:9">
      <c r="B24" s="249"/>
      <c r="C24" s="249"/>
      <c r="D24" s="249"/>
      <c r="E24" s="251"/>
      <c r="F24" s="249"/>
      <c r="G24" s="252"/>
      <c r="H24" s="252"/>
      <c r="I24" s="251"/>
    </row>
    <row r="25" spans="2:9">
      <c r="B25" s="249" t="s">
        <v>809</v>
      </c>
      <c r="C25" s="249" t="s">
        <v>810</v>
      </c>
      <c r="D25" s="249"/>
      <c r="E25" s="251" t="s">
        <v>784</v>
      </c>
      <c r="F25" s="249"/>
      <c r="G25" s="252">
        <v>585564</v>
      </c>
      <c r="H25" s="252"/>
      <c r="I25" s="251">
        <v>1974</v>
      </c>
    </row>
    <row r="26" spans="2:9">
      <c r="B26" s="249"/>
      <c r="C26" s="249"/>
      <c r="D26" s="249"/>
      <c r="E26" s="251"/>
      <c r="F26" s="249"/>
      <c r="G26" s="252">
        <f>5107+5106+5106</f>
        <v>15319</v>
      </c>
      <c r="H26" s="252"/>
      <c r="I26" s="251">
        <v>1984</v>
      </c>
    </row>
    <row r="27" spans="2:9">
      <c r="B27" s="249"/>
      <c r="C27" s="249"/>
      <c r="D27" s="249"/>
      <c r="E27" s="251"/>
      <c r="F27" s="249"/>
      <c r="G27" s="252">
        <v>149851</v>
      </c>
      <c r="H27" s="252"/>
      <c r="I27" s="251">
        <v>1992</v>
      </c>
    </row>
    <row r="28" spans="2:9">
      <c r="B28" s="249"/>
      <c r="C28" s="249"/>
      <c r="D28" s="249"/>
      <c r="E28" s="251"/>
      <c r="F28" s="249"/>
      <c r="G28" s="252">
        <v>566429.68999999994</v>
      </c>
      <c r="H28" s="252"/>
      <c r="I28" s="251">
        <v>2008</v>
      </c>
    </row>
    <row r="29" spans="2:9">
      <c r="B29" s="249"/>
      <c r="C29" s="249" t="s">
        <v>805</v>
      </c>
      <c r="D29" s="249"/>
      <c r="E29" s="251" t="s">
        <v>786</v>
      </c>
      <c r="F29" s="249"/>
      <c r="G29" s="252">
        <v>600028</v>
      </c>
      <c r="H29" s="252"/>
      <c r="I29" s="251">
        <v>1974</v>
      </c>
    </row>
    <row r="30" spans="2:9">
      <c r="B30" s="249"/>
      <c r="C30" s="249"/>
      <c r="D30" s="249"/>
      <c r="E30" s="251"/>
      <c r="F30" s="249"/>
      <c r="G30" s="252">
        <v>149851</v>
      </c>
      <c r="H30" s="252"/>
      <c r="I30" s="251">
        <v>1992</v>
      </c>
    </row>
    <row r="31" spans="2:9">
      <c r="B31" s="249"/>
      <c r="C31" s="249"/>
      <c r="D31" s="249"/>
      <c r="E31" s="251"/>
      <c r="F31" s="249"/>
      <c r="G31" s="253">
        <f>SUM(G25:G30)</f>
        <v>2067042.69</v>
      </c>
      <c r="H31" s="254"/>
      <c r="I31" s="251"/>
    </row>
    <row r="32" spans="2:9">
      <c r="B32" s="249"/>
      <c r="C32" s="249"/>
      <c r="D32" s="249"/>
      <c r="E32" s="251"/>
      <c r="F32" s="249"/>
      <c r="G32" s="252"/>
      <c r="H32" s="252"/>
      <c r="I32" s="251"/>
    </row>
    <row r="33" spans="2:9">
      <c r="B33" s="249" t="s">
        <v>811</v>
      </c>
      <c r="C33" s="249" t="s">
        <v>810</v>
      </c>
      <c r="D33" s="249"/>
      <c r="E33" s="251" t="s">
        <v>770</v>
      </c>
      <c r="F33" s="249"/>
      <c r="G33" s="252">
        <v>364638</v>
      </c>
      <c r="H33" s="252"/>
      <c r="I33" s="251">
        <v>1975</v>
      </c>
    </row>
    <row r="34" spans="2:9">
      <c r="B34" s="249"/>
      <c r="C34" s="249" t="s">
        <v>805</v>
      </c>
      <c r="D34" s="249"/>
      <c r="E34" s="259" t="s">
        <v>812</v>
      </c>
      <c r="F34" s="255"/>
      <c r="G34" s="252">
        <v>364639</v>
      </c>
      <c r="H34" s="252"/>
      <c r="I34" s="251">
        <v>1975</v>
      </c>
    </row>
    <row r="35" spans="2:9">
      <c r="B35" s="249"/>
      <c r="C35" s="249" t="s">
        <v>806</v>
      </c>
      <c r="D35" s="249"/>
      <c r="E35" s="259" t="s">
        <v>813</v>
      </c>
      <c r="F35" s="255"/>
      <c r="G35" s="252">
        <v>364638</v>
      </c>
      <c r="H35" s="252"/>
      <c r="I35" s="251">
        <v>1975</v>
      </c>
    </row>
    <row r="36" spans="2:9">
      <c r="B36" s="249"/>
      <c r="C36" s="249" t="s">
        <v>814</v>
      </c>
      <c r="D36" s="249"/>
      <c r="E36" s="259" t="s">
        <v>793</v>
      </c>
      <c r="F36" s="255"/>
      <c r="G36" s="252">
        <v>869053</v>
      </c>
      <c r="H36" s="252"/>
      <c r="I36" s="251">
        <v>1992</v>
      </c>
    </row>
    <row r="37" spans="2:9">
      <c r="B37" s="249"/>
      <c r="C37" s="249" t="s">
        <v>815</v>
      </c>
      <c r="D37" s="249"/>
      <c r="E37" s="259" t="s">
        <v>795</v>
      </c>
      <c r="F37" s="255"/>
      <c r="G37" s="252">
        <v>869053</v>
      </c>
      <c r="H37" s="252"/>
      <c r="I37" s="251">
        <v>1992</v>
      </c>
    </row>
    <row r="38" spans="2:9">
      <c r="B38" s="249"/>
      <c r="C38" s="249" t="s">
        <v>816</v>
      </c>
      <c r="D38" s="249"/>
      <c r="E38" s="259" t="s">
        <v>797</v>
      </c>
      <c r="F38" s="255"/>
      <c r="G38" s="252">
        <v>869053</v>
      </c>
      <c r="H38" s="252"/>
      <c r="I38" s="251">
        <v>1992</v>
      </c>
    </row>
    <row r="39" spans="2:9">
      <c r="B39" s="249"/>
      <c r="C39" s="249" t="s">
        <v>817</v>
      </c>
      <c r="D39" s="249"/>
      <c r="E39" s="259" t="s">
        <v>799</v>
      </c>
      <c r="F39" s="255"/>
      <c r="G39" s="252">
        <v>869053</v>
      </c>
      <c r="H39" s="252"/>
      <c r="I39" s="251">
        <v>1992</v>
      </c>
    </row>
    <row r="40" spans="2:9">
      <c r="B40" s="249"/>
      <c r="C40" s="249"/>
      <c r="D40" s="249"/>
      <c r="E40" s="251"/>
      <c r="F40" s="249"/>
      <c r="G40" s="253">
        <f>SUM(G33:G39)</f>
        <v>4570127</v>
      </c>
      <c r="H40" s="254"/>
      <c r="I40" s="251"/>
    </row>
    <row r="41" spans="2:9">
      <c r="B41" s="249"/>
      <c r="C41" s="249"/>
      <c r="D41" s="249"/>
      <c r="E41" s="251"/>
      <c r="F41" s="249"/>
      <c r="G41" s="252"/>
      <c r="H41" s="252"/>
      <c r="I41" s="251"/>
    </row>
    <row r="42" spans="2:9">
      <c r="B42" s="249" t="s">
        <v>818</v>
      </c>
      <c r="C42" s="249" t="s">
        <v>781</v>
      </c>
      <c r="D42" s="249"/>
      <c r="E42" s="251" t="s">
        <v>770</v>
      </c>
      <c r="F42" s="249"/>
      <c r="G42" s="252">
        <v>113598</v>
      </c>
      <c r="H42" s="252"/>
      <c r="I42" s="251">
        <v>1970</v>
      </c>
    </row>
    <row r="43" spans="2:9">
      <c r="B43" s="249"/>
      <c r="C43" s="249"/>
      <c r="D43" s="249"/>
      <c r="E43" s="251"/>
      <c r="F43" s="249"/>
      <c r="G43" s="252">
        <v>45831</v>
      </c>
      <c r="H43" s="252"/>
      <c r="I43" s="251">
        <v>1991</v>
      </c>
    </row>
    <row r="44" spans="2:9">
      <c r="B44" s="249"/>
      <c r="C44" s="249" t="s">
        <v>768</v>
      </c>
      <c r="D44" s="249"/>
      <c r="E44" s="259" t="s">
        <v>779</v>
      </c>
      <c r="F44" s="255"/>
      <c r="G44" s="252">
        <v>292778</v>
      </c>
      <c r="H44" s="252"/>
      <c r="I44" s="251">
        <v>1974</v>
      </c>
    </row>
    <row r="45" spans="2:9">
      <c r="B45" s="249"/>
      <c r="C45" s="249"/>
      <c r="D45" s="249"/>
      <c r="E45" s="251"/>
      <c r="F45" s="249"/>
      <c r="G45" s="253">
        <f>SUM(G42:G44)</f>
        <v>452207</v>
      </c>
      <c r="H45" s="254"/>
      <c r="I45" s="251"/>
    </row>
    <row r="46" spans="2:9">
      <c r="B46" s="249"/>
      <c r="C46" s="249"/>
      <c r="D46" s="249"/>
      <c r="E46" s="251"/>
      <c r="F46" s="249"/>
      <c r="G46" s="252"/>
      <c r="H46" s="252"/>
      <c r="I46" s="251"/>
    </row>
    <row r="47" spans="2:9">
      <c r="B47" s="249" t="s">
        <v>819</v>
      </c>
      <c r="C47" s="249" t="s">
        <v>820</v>
      </c>
      <c r="D47" s="249"/>
      <c r="E47" s="251" t="s">
        <v>770</v>
      </c>
      <c r="F47" s="249"/>
      <c r="G47" s="252">
        <v>158609</v>
      </c>
      <c r="H47" s="252"/>
      <c r="I47" s="251">
        <v>1968</v>
      </c>
    </row>
    <row r="48" spans="2:9">
      <c r="B48" s="249"/>
      <c r="C48" s="249"/>
      <c r="D48" s="249"/>
      <c r="E48" s="251"/>
      <c r="F48" s="249"/>
      <c r="G48" s="252">
        <v>1615</v>
      </c>
      <c r="H48" s="252"/>
      <c r="I48" s="251">
        <v>1992</v>
      </c>
    </row>
    <row r="49" spans="2:9">
      <c r="B49" s="249"/>
      <c r="C49" s="249"/>
      <c r="D49" s="249"/>
      <c r="E49" s="251"/>
      <c r="F49" s="249"/>
      <c r="G49" s="252">
        <v>191</v>
      </c>
      <c r="H49" s="252"/>
      <c r="I49" s="251">
        <v>1998</v>
      </c>
    </row>
    <row r="50" spans="2:9">
      <c r="B50" s="249"/>
      <c r="C50" s="249"/>
      <c r="D50" s="249"/>
      <c r="E50" s="251"/>
      <c r="F50" s="249"/>
      <c r="G50" s="253">
        <f>SUM(G47:G49)</f>
        <v>160415</v>
      </c>
      <c r="H50" s="254"/>
      <c r="I50" s="251"/>
    </row>
    <row r="51" spans="2:9">
      <c r="B51" s="249"/>
      <c r="C51" s="249"/>
      <c r="D51" s="249"/>
      <c r="E51" s="251"/>
      <c r="F51" s="249"/>
      <c r="G51" s="252"/>
      <c r="H51" s="252"/>
      <c r="I51" s="251"/>
    </row>
    <row r="52" spans="2:9">
      <c r="B52" s="249" t="s">
        <v>821</v>
      </c>
      <c r="C52" s="249" t="s">
        <v>780</v>
      </c>
      <c r="D52" s="249"/>
      <c r="E52" s="251" t="s">
        <v>789</v>
      </c>
      <c r="F52" s="249"/>
      <c r="G52" s="252">
        <v>490250</v>
      </c>
      <c r="H52" s="252"/>
      <c r="I52" s="251">
        <v>1993</v>
      </c>
    </row>
    <row r="53" spans="2:9">
      <c r="B53" s="249"/>
      <c r="C53" s="249"/>
      <c r="D53" s="249"/>
      <c r="E53" s="251"/>
      <c r="F53" s="249"/>
      <c r="G53" s="252">
        <v>37398</v>
      </c>
      <c r="H53" s="252"/>
      <c r="I53" s="251">
        <v>1992</v>
      </c>
    </row>
    <row r="54" spans="2:9">
      <c r="B54" s="249"/>
      <c r="C54" s="249"/>
      <c r="D54" s="249"/>
      <c r="E54" s="251"/>
      <c r="F54" s="249"/>
      <c r="G54" s="252">
        <f>5859+3068</f>
        <v>8927</v>
      </c>
      <c r="H54" s="252"/>
      <c r="I54" s="251">
        <v>1993</v>
      </c>
    </row>
    <row r="55" spans="2:9">
      <c r="B55" s="249"/>
      <c r="C55" s="249"/>
      <c r="D55" s="249"/>
      <c r="E55" s="251"/>
      <c r="F55" s="249"/>
      <c r="G55" s="253">
        <f>SUM(G52:G54)</f>
        <v>536575</v>
      </c>
      <c r="H55" s="254"/>
      <c r="I55" s="251"/>
    </row>
    <row r="56" spans="2:9">
      <c r="B56" s="249"/>
      <c r="C56" s="249"/>
      <c r="D56" s="249"/>
      <c r="E56" s="251"/>
      <c r="F56" s="249"/>
      <c r="G56" s="254"/>
      <c r="H56" s="254"/>
      <c r="I56" s="251"/>
    </row>
    <row r="57" spans="2:9">
      <c r="B57" s="249" t="s">
        <v>822</v>
      </c>
      <c r="C57" s="249"/>
      <c r="D57" s="249"/>
      <c r="E57" s="251" t="s">
        <v>773</v>
      </c>
      <c r="F57" s="249"/>
      <c r="G57" s="260">
        <v>1890000</v>
      </c>
      <c r="H57" s="260"/>
      <c r="I57" s="251">
        <v>1999</v>
      </c>
    </row>
    <row r="58" spans="2:9">
      <c r="B58" s="249"/>
      <c r="C58" s="249"/>
      <c r="D58" s="249"/>
      <c r="E58" s="251" t="s">
        <v>774</v>
      </c>
      <c r="F58" s="249"/>
      <c r="G58" s="260">
        <v>945000</v>
      </c>
      <c r="H58" s="260"/>
      <c r="I58" s="251">
        <v>1999</v>
      </c>
    </row>
    <row r="59" spans="2:9">
      <c r="B59" s="249"/>
      <c r="C59" s="249"/>
      <c r="D59" s="249"/>
      <c r="E59" s="251" t="s">
        <v>775</v>
      </c>
      <c r="F59" s="249"/>
      <c r="G59" s="260">
        <v>945000</v>
      </c>
      <c r="H59" s="260"/>
      <c r="I59" s="251">
        <v>1999</v>
      </c>
    </row>
    <row r="60" spans="2:9">
      <c r="B60" s="249" t="s">
        <v>823</v>
      </c>
      <c r="C60" s="249"/>
      <c r="D60" s="249"/>
      <c r="E60" s="251" t="s">
        <v>773</v>
      </c>
      <c r="F60" s="249"/>
      <c r="G60" s="260">
        <v>1875466.5</v>
      </c>
      <c r="H60" s="260"/>
      <c r="I60" s="251">
        <v>2003</v>
      </c>
    </row>
    <row r="61" spans="2:9">
      <c r="B61" s="249"/>
      <c r="C61" s="249"/>
      <c r="D61" s="249"/>
      <c r="E61" s="251" t="s">
        <v>774</v>
      </c>
      <c r="F61" s="249"/>
      <c r="G61" s="260">
        <v>937733.25</v>
      </c>
      <c r="H61" s="260"/>
      <c r="I61" s="251">
        <v>2003</v>
      </c>
    </row>
    <row r="62" spans="2:9">
      <c r="B62" s="249"/>
      <c r="C62" s="249"/>
      <c r="D62" s="249"/>
      <c r="E62" s="251" t="s">
        <v>775</v>
      </c>
      <c r="F62" s="249"/>
      <c r="G62" s="260">
        <v>937733.25</v>
      </c>
      <c r="H62" s="260"/>
      <c r="I62" s="251">
        <v>2003</v>
      </c>
    </row>
    <row r="63" spans="2:9">
      <c r="B63" s="249" t="s">
        <v>824</v>
      </c>
      <c r="C63" s="249"/>
      <c r="D63" s="249"/>
      <c r="E63" s="251" t="s">
        <v>773</v>
      </c>
      <c r="F63" s="249"/>
      <c r="G63" s="260">
        <v>1882733.25</v>
      </c>
      <c r="H63" s="260"/>
      <c r="I63" s="251">
        <v>2005</v>
      </c>
    </row>
    <row r="64" spans="2:9">
      <c r="B64" s="249"/>
      <c r="C64" s="249"/>
      <c r="D64" s="249"/>
      <c r="E64" s="251" t="s">
        <v>774</v>
      </c>
      <c r="F64" s="249"/>
      <c r="G64" s="260">
        <v>941366.625</v>
      </c>
      <c r="H64" s="260"/>
      <c r="I64" s="251">
        <v>2005</v>
      </c>
    </row>
    <row r="65" spans="2:9">
      <c r="B65" s="249"/>
      <c r="C65" s="249"/>
      <c r="D65" s="249"/>
      <c r="E65" s="251" t="s">
        <v>775</v>
      </c>
      <c r="F65" s="249"/>
      <c r="G65" s="260">
        <v>941366.625</v>
      </c>
      <c r="H65" s="260"/>
      <c r="I65" s="251">
        <v>2005</v>
      </c>
    </row>
    <row r="66" spans="2:9">
      <c r="B66" s="249" t="s">
        <v>825</v>
      </c>
      <c r="C66" s="249"/>
      <c r="D66" s="249"/>
      <c r="E66" s="251" t="s">
        <v>826</v>
      </c>
      <c r="F66" s="249"/>
      <c r="G66" s="260">
        <v>2844989.59</v>
      </c>
      <c r="H66" s="260"/>
      <c r="I66" s="251">
        <v>2007</v>
      </c>
    </row>
    <row r="67" spans="2:9">
      <c r="B67" s="249"/>
      <c r="C67" s="249"/>
      <c r="D67" s="249"/>
      <c r="E67" s="251" t="s">
        <v>782</v>
      </c>
      <c r="F67" s="249"/>
      <c r="G67" s="260">
        <v>816533</v>
      </c>
      <c r="H67" s="260"/>
      <c r="I67" s="251">
        <v>2002</v>
      </c>
    </row>
    <row r="68" spans="2:9">
      <c r="B68" s="249"/>
      <c r="C68" s="249"/>
      <c r="D68" s="249"/>
      <c r="E68" s="251"/>
      <c r="F68" s="249"/>
      <c r="G68" s="261">
        <f>SUM(G57:G67)</f>
        <v>14957922.09</v>
      </c>
      <c r="H68" s="254"/>
      <c r="I68" s="251"/>
    </row>
    <row r="69" spans="2:9">
      <c r="B69" s="249"/>
      <c r="C69" s="249"/>
      <c r="D69" s="249"/>
      <c r="E69" s="251"/>
      <c r="F69" s="249"/>
      <c r="G69" s="254"/>
      <c r="H69" s="254"/>
      <c r="I69" s="251"/>
    </row>
    <row r="70" spans="2:9">
      <c r="B70" s="249" t="s">
        <v>827</v>
      </c>
      <c r="C70" s="249"/>
      <c r="D70" s="249"/>
      <c r="E70" s="251" t="s">
        <v>828</v>
      </c>
      <c r="F70" s="249"/>
      <c r="G70" s="260">
        <f>1942971.68/2</f>
        <v>971485.84</v>
      </c>
      <c r="H70" s="260"/>
      <c r="I70" s="251">
        <v>1997</v>
      </c>
    </row>
    <row r="71" spans="2:9">
      <c r="B71" s="249"/>
      <c r="C71" s="249"/>
      <c r="D71" s="249"/>
      <c r="E71" s="251" t="s">
        <v>829</v>
      </c>
      <c r="F71" s="249"/>
      <c r="G71" s="260">
        <f>+G70</f>
        <v>971485.84</v>
      </c>
      <c r="H71" s="260"/>
      <c r="I71" s="251">
        <v>1997</v>
      </c>
    </row>
    <row r="72" spans="2:9">
      <c r="B72" s="249"/>
      <c r="C72" s="249"/>
      <c r="D72" s="249"/>
      <c r="E72" s="251"/>
      <c r="F72" s="249"/>
      <c r="G72" s="261">
        <f>SUM(G70:G71)</f>
        <v>1942971.68</v>
      </c>
      <c r="H72" s="254"/>
      <c r="I72" s="251"/>
    </row>
    <row r="73" spans="2:9">
      <c r="B73" s="249"/>
      <c r="C73" s="249"/>
      <c r="D73" s="249"/>
      <c r="E73" s="251"/>
      <c r="F73" s="249"/>
      <c r="G73" s="254"/>
      <c r="H73" s="254"/>
      <c r="I73" s="251"/>
    </row>
    <row r="74" spans="2:9">
      <c r="B74" s="249" t="s">
        <v>830</v>
      </c>
      <c r="C74" s="249"/>
      <c r="D74" s="249"/>
      <c r="E74" s="251" t="s">
        <v>831</v>
      </c>
      <c r="F74" s="249"/>
      <c r="G74" s="260">
        <v>689047</v>
      </c>
      <c r="H74" s="260"/>
      <c r="I74" s="251">
        <v>2003</v>
      </c>
    </row>
    <row r="75" spans="2:9">
      <c r="B75" s="249"/>
      <c r="C75" s="249"/>
      <c r="D75" s="249"/>
      <c r="E75" s="251" t="s">
        <v>832</v>
      </c>
      <c r="F75" s="249"/>
      <c r="G75" s="260">
        <f>1731392</f>
        <v>1731392</v>
      </c>
      <c r="H75" s="260"/>
      <c r="I75" s="251">
        <v>2002</v>
      </c>
    </row>
    <row r="76" spans="2:9">
      <c r="B76" s="249"/>
      <c r="C76" s="249"/>
      <c r="D76" s="249"/>
      <c r="E76" s="251"/>
      <c r="F76" s="249"/>
      <c r="G76" s="261">
        <f>SUM(G74:G75)</f>
        <v>2420439</v>
      </c>
      <c r="H76" s="254"/>
      <c r="I76" s="262"/>
    </row>
    <row r="77" spans="2:9" ht="6" customHeight="1">
      <c r="B77" s="242"/>
      <c r="C77" s="242"/>
      <c r="D77" s="242"/>
      <c r="E77" s="242"/>
      <c r="F77" s="242"/>
      <c r="G77" s="185"/>
      <c r="H77" s="23"/>
      <c r="I77" s="257"/>
    </row>
    <row r="78" spans="2:9">
      <c r="B78" s="242" t="s">
        <v>833</v>
      </c>
      <c r="C78" s="242"/>
      <c r="D78" s="242"/>
      <c r="E78" s="242"/>
      <c r="F78" s="242"/>
      <c r="G78" s="26">
        <f>SUM(G11:G76)/2</f>
        <v>51981554.49000001</v>
      </c>
      <c r="H78" s="23"/>
      <c r="I78" s="257"/>
    </row>
    <row r="79" spans="2:9">
      <c r="B79" s="242" t="s">
        <v>999</v>
      </c>
      <c r="C79" s="242"/>
      <c r="D79" s="242"/>
      <c r="E79" s="242"/>
      <c r="F79" s="242"/>
      <c r="G79" s="26">
        <f>'PEF - 4, p1 Step Ups'!G61</f>
        <v>29001804</v>
      </c>
      <c r="H79" s="23"/>
      <c r="I79" s="257"/>
    </row>
    <row r="80" spans="2:9" ht="6" customHeight="1">
      <c r="B80" s="242"/>
      <c r="C80" s="242"/>
      <c r="D80" s="242"/>
      <c r="E80" s="242"/>
      <c r="F80" s="242"/>
      <c r="G80" s="189"/>
      <c r="H80" s="22"/>
    </row>
    <row r="81" spans="2:8" ht="13.5" thickBot="1">
      <c r="B81" s="242" t="s">
        <v>22</v>
      </c>
      <c r="C81" s="242"/>
      <c r="D81" s="242"/>
      <c r="E81" s="242"/>
      <c r="F81" s="242"/>
      <c r="G81" s="24">
        <f>+G79+G78</f>
        <v>80983358.49000001</v>
      </c>
      <c r="H81" s="26"/>
    </row>
    <row r="82" spans="2:8" ht="13.5" thickTop="1"/>
  </sheetData>
  <mergeCells count="4">
    <mergeCell ref="I1:J1"/>
    <mergeCell ref="I3:J3"/>
    <mergeCell ref="A5:J5"/>
    <mergeCell ref="A6:J6"/>
  </mergeCells>
  <phoneticPr fontId="0" type="noConversion"/>
  <printOptions horizontalCentered="1"/>
  <pageMargins left="0.5" right="0.5" top="0.5" bottom="0.5" header="0.5" footer="0.5"/>
  <pageSetup scale="59"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90"/>
  <sheetViews>
    <sheetView workbookViewId="0">
      <selection activeCell="J3" sqref="J3:K3"/>
    </sheetView>
  </sheetViews>
  <sheetFormatPr defaultRowHeight="12.75"/>
  <cols>
    <col min="1" max="1" width="5.7109375" customWidth="1"/>
    <col min="2" max="2" width="18.7109375" customWidth="1"/>
    <col min="4" max="4" width="22" customWidth="1"/>
    <col min="5" max="5" width="5.7109375" customWidth="1"/>
    <col min="6" max="6" width="13.7109375" customWidth="1"/>
    <col min="7" max="7" width="4.7109375" customWidth="1"/>
    <col min="8" max="8" width="13.7109375" customWidth="1"/>
    <col min="9" max="9" width="4.7109375" customWidth="1"/>
    <col min="10" max="10" width="14.85546875" customWidth="1"/>
    <col min="11" max="11" width="5.7109375" customWidth="1"/>
  </cols>
  <sheetData>
    <row r="1" spans="1:11" ht="15">
      <c r="J1" s="306" t="s">
        <v>390</v>
      </c>
      <c r="K1" s="306"/>
    </row>
    <row r="2" spans="1:11" ht="15">
      <c r="J2" s="293" t="s">
        <v>393</v>
      </c>
      <c r="K2" s="33"/>
    </row>
    <row r="3" spans="1:11">
      <c r="J3" s="324" t="str">
        <f>FF1_Year</f>
        <v>Year Ending 12/31/2010</v>
      </c>
      <c r="K3" s="325"/>
    </row>
    <row r="5" spans="1:11">
      <c r="A5" s="315" t="s">
        <v>135</v>
      </c>
      <c r="B5" s="315"/>
      <c r="C5" s="315"/>
      <c r="D5" s="315"/>
      <c r="E5" s="315"/>
      <c r="F5" s="315"/>
      <c r="G5" s="315"/>
      <c r="H5" s="315"/>
      <c r="I5" s="315"/>
      <c r="J5" s="315"/>
      <c r="K5" s="315"/>
    </row>
    <row r="6" spans="1:11">
      <c r="A6" s="11"/>
      <c r="B6" s="11"/>
      <c r="C6" s="11"/>
      <c r="D6" s="11"/>
      <c r="E6" s="11"/>
      <c r="F6" s="11"/>
      <c r="G6" s="11"/>
      <c r="H6" s="11"/>
      <c r="I6" s="11"/>
      <c r="J6" s="11"/>
      <c r="K6" s="11"/>
    </row>
    <row r="7" spans="1:11">
      <c r="A7" s="327" t="s">
        <v>379</v>
      </c>
      <c r="B7" s="327"/>
      <c r="C7" s="327"/>
      <c r="D7" s="327"/>
      <c r="E7" s="327"/>
      <c r="F7" s="327"/>
      <c r="G7" s="327"/>
      <c r="H7" s="327"/>
      <c r="I7" s="327"/>
      <c r="J7" s="327"/>
      <c r="K7" s="327"/>
    </row>
    <row r="8" spans="1:11">
      <c r="A8" s="327" t="s">
        <v>380</v>
      </c>
      <c r="B8" s="327"/>
      <c r="C8" s="327"/>
      <c r="D8" s="327"/>
      <c r="E8" s="327"/>
      <c r="F8" s="327"/>
      <c r="G8" s="327"/>
      <c r="H8" s="327"/>
      <c r="I8" s="327"/>
      <c r="J8" s="327"/>
      <c r="K8" s="327"/>
    </row>
    <row r="9" spans="1:11">
      <c r="B9" s="21"/>
      <c r="C9" s="21"/>
      <c r="D9" s="21"/>
      <c r="E9" s="21"/>
      <c r="F9" s="21"/>
      <c r="G9" s="21"/>
      <c r="H9" s="21"/>
      <c r="I9" s="21"/>
      <c r="J9" s="21"/>
      <c r="K9" s="21"/>
    </row>
    <row r="10" spans="1:11">
      <c r="B10" s="21"/>
      <c r="C10" s="119"/>
      <c r="D10" s="25"/>
      <c r="E10" s="25"/>
      <c r="F10" s="25" t="s">
        <v>382</v>
      </c>
      <c r="G10" s="25"/>
      <c r="H10" s="25" t="s">
        <v>384</v>
      </c>
      <c r="I10" s="25"/>
      <c r="J10" s="119"/>
      <c r="K10" s="21"/>
    </row>
    <row r="11" spans="1:11">
      <c r="B11" s="36" t="s">
        <v>381</v>
      </c>
      <c r="C11" s="120"/>
      <c r="D11" s="128" t="s">
        <v>3</v>
      </c>
      <c r="E11" s="25"/>
      <c r="F11" s="128" t="s">
        <v>383</v>
      </c>
      <c r="G11" s="128"/>
      <c r="H11" s="128" t="s">
        <v>383</v>
      </c>
      <c r="I11" s="128"/>
      <c r="J11" s="128" t="s">
        <v>271</v>
      </c>
    </row>
    <row r="12" spans="1:11" hidden="1">
      <c r="B12" s="21" t="s">
        <v>145</v>
      </c>
      <c r="C12" s="119"/>
      <c r="D12" s="119"/>
      <c r="E12" s="119"/>
      <c r="F12" s="121"/>
      <c r="G12" s="121"/>
      <c r="H12" s="121"/>
      <c r="I12" s="121"/>
      <c r="J12" s="25"/>
    </row>
    <row r="13" spans="1:11" hidden="1">
      <c r="B13" s="21"/>
      <c r="C13" s="119"/>
      <c r="D13" s="119"/>
      <c r="E13" s="119"/>
      <c r="F13" s="122"/>
      <c r="G13" s="122"/>
      <c r="H13" s="122"/>
      <c r="I13" s="122"/>
      <c r="J13" s="25"/>
    </row>
    <row r="14" spans="1:11" hidden="1">
      <c r="B14" s="21"/>
      <c r="C14" s="119"/>
      <c r="D14" s="119"/>
      <c r="E14" s="119"/>
      <c r="F14" s="122"/>
      <c r="G14" s="122"/>
      <c r="H14" s="122"/>
      <c r="I14" s="122"/>
      <c r="J14" s="25"/>
    </row>
    <row r="15" spans="1:11" hidden="1">
      <c r="B15" s="21"/>
      <c r="C15" s="119"/>
      <c r="D15" s="119"/>
      <c r="E15" s="119"/>
      <c r="F15" s="122"/>
      <c r="G15" s="122"/>
      <c r="H15" s="122"/>
      <c r="I15" s="122"/>
      <c r="J15" s="25"/>
    </row>
    <row r="16" spans="1:11" hidden="1">
      <c r="B16" s="21"/>
      <c r="C16" s="119"/>
      <c r="D16" s="119"/>
      <c r="E16" s="119"/>
      <c r="F16" s="22"/>
      <c r="G16" s="22"/>
      <c r="H16" s="22"/>
      <c r="I16" s="22"/>
      <c r="J16" s="25"/>
    </row>
    <row r="17" spans="2:10" hidden="1">
      <c r="B17" s="21"/>
      <c r="C17" s="119"/>
      <c r="D17" s="119"/>
      <c r="E17" s="119"/>
      <c r="F17" s="122"/>
      <c r="G17" s="122"/>
      <c r="H17" s="122"/>
      <c r="I17" s="122"/>
      <c r="J17" s="25"/>
    </row>
    <row r="18" spans="2:10" hidden="1">
      <c r="B18" s="21" t="s">
        <v>146</v>
      </c>
      <c r="C18" s="119"/>
      <c r="D18" s="123"/>
      <c r="E18" s="123"/>
      <c r="F18" s="122"/>
      <c r="G18" s="122"/>
      <c r="H18" s="122"/>
      <c r="I18" s="122"/>
      <c r="J18" s="25"/>
    </row>
    <row r="19" spans="2:10" hidden="1">
      <c r="B19" s="21"/>
      <c r="C19" s="119"/>
      <c r="D19" s="123"/>
      <c r="E19" s="123"/>
      <c r="F19" s="122"/>
      <c r="G19" s="122"/>
      <c r="H19" s="122"/>
      <c r="I19" s="122"/>
      <c r="J19" s="25"/>
    </row>
    <row r="20" spans="2:10" hidden="1">
      <c r="B20" s="21"/>
      <c r="C20" s="119"/>
      <c r="D20" s="119"/>
      <c r="E20" s="119"/>
      <c r="F20" s="22"/>
      <c r="G20" s="22"/>
      <c r="H20" s="22"/>
      <c r="I20" s="22"/>
      <c r="J20" s="25"/>
    </row>
    <row r="21" spans="2:10" hidden="1">
      <c r="B21" s="21"/>
      <c r="C21" s="119"/>
      <c r="D21" s="119"/>
      <c r="E21" s="119"/>
      <c r="F21" s="122"/>
      <c r="G21" s="122"/>
      <c r="H21" s="122"/>
      <c r="I21" s="122"/>
      <c r="J21" s="25"/>
    </row>
    <row r="22" spans="2:10" hidden="1">
      <c r="B22" s="21" t="s">
        <v>147</v>
      </c>
      <c r="C22" s="119"/>
      <c r="D22" s="119"/>
      <c r="E22" s="119"/>
      <c r="F22" s="122"/>
      <c r="G22" s="122"/>
      <c r="H22" s="122"/>
      <c r="I22" s="122"/>
      <c r="J22" s="25"/>
    </row>
    <row r="23" spans="2:10" hidden="1">
      <c r="B23" s="21"/>
      <c r="C23" s="119"/>
      <c r="D23" s="124"/>
      <c r="E23" s="124"/>
      <c r="F23" s="122"/>
      <c r="G23" s="122"/>
      <c r="H23" s="122"/>
      <c r="I23" s="122"/>
      <c r="J23" s="25"/>
    </row>
    <row r="24" spans="2:10" hidden="1">
      <c r="B24" s="21"/>
      <c r="C24" s="119"/>
      <c r="D24" s="124"/>
      <c r="E24" s="124"/>
      <c r="F24" s="122"/>
      <c r="G24" s="122"/>
      <c r="H24" s="122"/>
      <c r="I24" s="122"/>
      <c r="J24" s="25"/>
    </row>
    <row r="25" spans="2:10" hidden="1">
      <c r="B25" s="21"/>
      <c r="C25" s="119"/>
      <c r="D25" s="123"/>
      <c r="E25" s="123"/>
      <c r="F25" s="122"/>
      <c r="G25" s="122"/>
      <c r="H25" s="122"/>
      <c r="I25" s="122"/>
      <c r="J25" s="25"/>
    </row>
    <row r="26" spans="2:10" hidden="1">
      <c r="B26" s="21"/>
      <c r="C26" s="119"/>
      <c r="D26" s="119"/>
      <c r="E26" s="119"/>
      <c r="F26" s="122"/>
      <c r="G26" s="122"/>
      <c r="H26" s="122"/>
      <c r="I26" s="122"/>
      <c r="J26" s="25"/>
    </row>
    <row r="27" spans="2:10" hidden="1">
      <c r="B27" s="21"/>
      <c r="C27" s="119"/>
      <c r="D27" s="123"/>
      <c r="E27" s="123"/>
      <c r="F27" s="122"/>
      <c r="G27" s="122"/>
      <c r="H27" s="122"/>
      <c r="I27" s="122"/>
      <c r="J27" s="25"/>
    </row>
    <row r="28" spans="2:10" hidden="1">
      <c r="B28" s="21"/>
      <c r="C28" s="119"/>
      <c r="D28" s="119"/>
      <c r="E28" s="119"/>
      <c r="F28" s="122"/>
      <c r="G28" s="122"/>
      <c r="H28" s="122"/>
      <c r="I28" s="122"/>
      <c r="J28" s="25"/>
    </row>
    <row r="29" spans="2:10" hidden="1">
      <c r="B29" s="21"/>
      <c r="C29" s="119"/>
      <c r="D29" s="123"/>
      <c r="E29" s="123"/>
      <c r="F29" s="122"/>
      <c r="G29" s="122"/>
      <c r="H29" s="122"/>
      <c r="I29" s="122"/>
      <c r="J29" s="25"/>
    </row>
    <row r="30" spans="2:10" hidden="1">
      <c r="B30" s="21"/>
      <c r="C30" s="119"/>
      <c r="D30" s="119"/>
      <c r="E30" s="119"/>
      <c r="F30" s="122"/>
      <c r="G30" s="122"/>
      <c r="H30" s="122"/>
      <c r="I30" s="122"/>
      <c r="J30" s="25"/>
    </row>
    <row r="31" spans="2:10" hidden="1">
      <c r="B31" s="21"/>
      <c r="C31" s="119"/>
      <c r="D31" s="123"/>
      <c r="E31" s="123"/>
      <c r="F31" s="122"/>
      <c r="G31" s="122"/>
      <c r="H31" s="122"/>
      <c r="I31" s="122"/>
      <c r="J31" s="25"/>
    </row>
    <row r="32" spans="2:10" hidden="1">
      <c r="B32" s="21"/>
      <c r="C32" s="119"/>
      <c r="D32" s="119"/>
      <c r="E32" s="119"/>
      <c r="F32" s="122"/>
      <c r="G32" s="122"/>
      <c r="H32" s="122"/>
      <c r="I32" s="122"/>
      <c r="J32" s="25"/>
    </row>
    <row r="33" spans="2:10" hidden="1">
      <c r="B33" s="21"/>
      <c r="C33" s="119"/>
      <c r="D33" s="123"/>
      <c r="E33" s="123"/>
      <c r="F33" s="122"/>
      <c r="G33" s="122"/>
      <c r="H33" s="122"/>
      <c r="I33" s="122"/>
      <c r="J33" s="25"/>
    </row>
    <row r="34" spans="2:10" hidden="1">
      <c r="B34" s="21"/>
      <c r="C34" s="119"/>
      <c r="D34" s="119"/>
      <c r="E34" s="119"/>
      <c r="F34" s="122"/>
      <c r="G34" s="122"/>
      <c r="H34" s="122"/>
      <c r="I34" s="122"/>
      <c r="J34" s="25"/>
    </row>
    <row r="35" spans="2:10" hidden="1">
      <c r="B35" s="21"/>
      <c r="C35" s="119"/>
      <c r="D35" s="119"/>
      <c r="E35" s="119"/>
      <c r="F35" s="122"/>
      <c r="G35" s="122"/>
      <c r="H35" s="122"/>
      <c r="I35" s="122"/>
      <c r="J35" s="25"/>
    </row>
    <row r="36" spans="2:10" hidden="1">
      <c r="B36" s="21"/>
      <c r="C36" s="119"/>
      <c r="D36" s="123"/>
      <c r="E36" s="123"/>
      <c r="F36" s="122"/>
      <c r="G36" s="122"/>
      <c r="H36" s="122"/>
      <c r="I36" s="122"/>
      <c r="J36" s="25"/>
    </row>
    <row r="37" spans="2:10" hidden="1">
      <c r="B37" s="21"/>
      <c r="C37" s="119"/>
      <c r="D37" s="123"/>
      <c r="E37" s="123"/>
      <c r="F37" s="122"/>
      <c r="G37" s="122"/>
      <c r="H37" s="122"/>
      <c r="I37" s="122"/>
      <c r="J37" s="25"/>
    </row>
    <row r="38" spans="2:10" hidden="1">
      <c r="B38" s="21"/>
      <c r="C38" s="119"/>
      <c r="D38" s="119"/>
      <c r="E38" s="119"/>
      <c r="F38" s="22"/>
      <c r="G38" s="22"/>
      <c r="H38" s="22"/>
      <c r="I38" s="22"/>
      <c r="J38" s="25"/>
    </row>
    <row r="39" spans="2:10" hidden="1">
      <c r="B39" s="21"/>
      <c r="C39" s="119"/>
      <c r="D39" s="119"/>
      <c r="E39" s="119"/>
      <c r="F39" s="122"/>
      <c r="G39" s="122"/>
      <c r="H39" s="122"/>
      <c r="I39" s="122"/>
      <c r="J39" s="25"/>
    </row>
    <row r="40" spans="2:10" hidden="1">
      <c r="B40" s="21" t="s">
        <v>148</v>
      </c>
      <c r="C40" s="119"/>
      <c r="D40" s="123"/>
      <c r="E40" s="123"/>
      <c r="F40" s="122"/>
      <c r="G40" s="122"/>
      <c r="H40" s="122"/>
      <c r="I40" s="122"/>
      <c r="J40" s="25"/>
    </row>
    <row r="41" spans="2:10" hidden="1">
      <c r="B41" s="21"/>
      <c r="C41" s="119"/>
      <c r="D41" s="119"/>
      <c r="E41" s="119"/>
      <c r="F41" s="122"/>
      <c r="G41" s="122"/>
      <c r="H41" s="122"/>
      <c r="I41" s="122"/>
      <c r="J41" s="25"/>
    </row>
    <row r="42" spans="2:10" hidden="1">
      <c r="B42" s="21"/>
      <c r="C42" s="119"/>
      <c r="D42" s="123"/>
      <c r="E42" s="123"/>
      <c r="F42" s="122"/>
      <c r="G42" s="122"/>
      <c r="H42" s="122"/>
      <c r="I42" s="122"/>
      <c r="J42" s="25"/>
    </row>
    <row r="43" spans="2:10" hidden="1">
      <c r="B43" s="21"/>
      <c r="C43" s="119"/>
      <c r="D43" s="119"/>
      <c r="E43" s="119"/>
      <c r="F43" s="122"/>
      <c r="G43" s="122"/>
      <c r="H43" s="122"/>
      <c r="I43" s="122"/>
      <c r="J43" s="25"/>
    </row>
    <row r="44" spans="2:10" hidden="1">
      <c r="B44" s="21"/>
      <c r="C44" s="119"/>
      <c r="D44" s="125"/>
      <c r="E44" s="125"/>
      <c r="F44" s="122"/>
      <c r="G44" s="122"/>
      <c r="H44" s="122"/>
      <c r="I44" s="122"/>
      <c r="J44" s="25"/>
    </row>
    <row r="45" spans="2:10" hidden="1">
      <c r="B45" s="21"/>
      <c r="C45" s="119"/>
      <c r="D45" s="119"/>
      <c r="E45" s="119"/>
      <c r="F45" s="22"/>
      <c r="G45" s="22"/>
      <c r="H45" s="22"/>
      <c r="I45" s="22"/>
      <c r="J45" s="25"/>
    </row>
    <row r="46" spans="2:10" hidden="1">
      <c r="B46" s="21"/>
      <c r="C46" s="119"/>
      <c r="D46" s="119"/>
      <c r="E46" s="119"/>
      <c r="F46" s="122"/>
      <c r="G46" s="122"/>
      <c r="H46" s="122"/>
      <c r="I46" s="122"/>
      <c r="J46" s="25"/>
    </row>
    <row r="47" spans="2:10" hidden="1">
      <c r="B47" s="21" t="s">
        <v>149</v>
      </c>
      <c r="C47" s="119"/>
      <c r="D47" s="123"/>
      <c r="E47" s="123"/>
      <c r="F47" s="122"/>
      <c r="G47" s="122"/>
      <c r="H47" s="122"/>
      <c r="I47" s="122"/>
      <c r="J47" s="25"/>
    </row>
    <row r="48" spans="2:10" hidden="1">
      <c r="B48" s="21"/>
      <c r="C48" s="119"/>
      <c r="D48" s="123"/>
      <c r="E48" s="123"/>
      <c r="F48" s="122"/>
      <c r="G48" s="122"/>
      <c r="H48" s="122"/>
      <c r="I48" s="122"/>
      <c r="J48" s="25"/>
    </row>
    <row r="49" spans="2:10" hidden="1">
      <c r="B49" s="21"/>
      <c r="C49" s="119"/>
      <c r="D49" s="123"/>
      <c r="E49" s="123"/>
      <c r="F49" s="122"/>
      <c r="G49" s="122"/>
      <c r="H49" s="122"/>
      <c r="I49" s="122"/>
      <c r="J49" s="25"/>
    </row>
    <row r="50" spans="2:10" hidden="1">
      <c r="B50" s="21"/>
      <c r="C50" s="119"/>
      <c r="D50" s="119"/>
      <c r="E50" s="119"/>
      <c r="F50" s="22"/>
      <c r="G50" s="22"/>
      <c r="H50" s="22"/>
      <c r="I50" s="22"/>
      <c r="J50" s="25"/>
    </row>
    <row r="51" spans="2:10" hidden="1">
      <c r="B51" s="21"/>
      <c r="C51" s="119"/>
      <c r="D51" s="119"/>
      <c r="E51" s="119"/>
      <c r="F51" s="122"/>
      <c r="G51" s="122"/>
      <c r="H51" s="122"/>
      <c r="I51" s="122"/>
      <c r="J51" s="25"/>
    </row>
    <row r="52" spans="2:10" hidden="1">
      <c r="B52" s="21"/>
      <c r="C52" s="119"/>
      <c r="D52" s="119"/>
      <c r="E52" s="119"/>
      <c r="F52" s="122"/>
      <c r="G52" s="122"/>
      <c r="H52" s="122"/>
      <c r="I52" s="122"/>
      <c r="J52" s="25"/>
    </row>
    <row r="53" spans="2:10" hidden="1">
      <c r="B53" s="21" t="s">
        <v>150</v>
      </c>
      <c r="C53" s="119"/>
      <c r="D53" s="119"/>
      <c r="E53" s="119"/>
      <c r="F53" s="122"/>
      <c r="G53" s="122"/>
      <c r="H53" s="122"/>
      <c r="I53" s="122"/>
      <c r="J53" s="25"/>
    </row>
    <row r="54" spans="2:10" hidden="1">
      <c r="B54" s="21"/>
      <c r="C54" s="119"/>
      <c r="D54" s="119"/>
      <c r="E54" s="119"/>
      <c r="F54" s="22"/>
      <c r="G54" s="22"/>
      <c r="H54" s="22"/>
      <c r="I54" s="22"/>
      <c r="J54" s="25"/>
    </row>
    <row r="55" spans="2:10" hidden="1">
      <c r="B55" s="21"/>
      <c r="C55" s="119"/>
      <c r="D55" s="119"/>
      <c r="E55" s="119"/>
      <c r="F55" s="122"/>
      <c r="G55" s="122"/>
      <c r="H55" s="122"/>
      <c r="I55" s="122"/>
      <c r="J55" s="25"/>
    </row>
    <row r="56" spans="2:10" hidden="1">
      <c r="B56" s="21" t="s">
        <v>151</v>
      </c>
      <c r="C56" s="119"/>
      <c r="D56" s="123"/>
      <c r="E56" s="123"/>
      <c r="F56" s="122"/>
      <c r="G56" s="122"/>
      <c r="H56" s="122"/>
      <c r="I56" s="122"/>
      <c r="J56" s="25"/>
    </row>
    <row r="57" spans="2:10" hidden="1">
      <c r="B57" s="21"/>
      <c r="C57" s="119"/>
      <c r="D57" s="119"/>
      <c r="E57" s="119"/>
      <c r="F57" s="122"/>
      <c r="G57" s="122"/>
      <c r="H57" s="122"/>
      <c r="I57" s="122"/>
      <c r="J57" s="25"/>
    </row>
    <row r="58" spans="2:10" hidden="1">
      <c r="B58" s="21"/>
      <c r="C58" s="119"/>
      <c r="D58" s="123"/>
      <c r="E58" s="123"/>
      <c r="F58" s="122"/>
      <c r="G58" s="122"/>
      <c r="H58" s="122"/>
      <c r="I58" s="122"/>
      <c r="J58" s="25"/>
    </row>
    <row r="59" spans="2:10" hidden="1">
      <c r="B59" s="21"/>
      <c r="C59" s="119"/>
      <c r="D59" s="123"/>
      <c r="E59" s="123"/>
      <c r="F59" s="122"/>
      <c r="G59" s="122"/>
      <c r="H59" s="122"/>
      <c r="I59" s="122"/>
      <c r="J59" s="25"/>
    </row>
    <row r="60" spans="2:10" hidden="1">
      <c r="B60" s="21"/>
      <c r="C60" s="119"/>
      <c r="D60" s="123"/>
      <c r="E60" s="123"/>
      <c r="F60" s="122"/>
      <c r="G60" s="122"/>
      <c r="H60" s="122"/>
      <c r="I60" s="122"/>
      <c r="J60" s="25"/>
    </row>
    <row r="61" spans="2:10" hidden="1">
      <c r="B61" s="21"/>
      <c r="C61" s="119"/>
      <c r="D61" s="123"/>
      <c r="E61" s="123"/>
      <c r="F61" s="122"/>
      <c r="G61" s="122"/>
      <c r="H61" s="122"/>
      <c r="I61" s="122"/>
      <c r="J61" s="25"/>
    </row>
    <row r="62" spans="2:10" hidden="1">
      <c r="B62" s="21"/>
      <c r="C62" s="119"/>
      <c r="D62" s="123"/>
      <c r="E62" s="123"/>
      <c r="F62" s="122"/>
      <c r="G62" s="122"/>
      <c r="H62" s="122"/>
      <c r="I62" s="122"/>
      <c r="J62" s="25"/>
    </row>
    <row r="63" spans="2:10" hidden="1">
      <c r="B63" s="21"/>
      <c r="C63" s="119"/>
      <c r="D63" s="123"/>
      <c r="E63" s="123"/>
      <c r="F63" s="122"/>
      <c r="G63" s="122"/>
      <c r="H63" s="122"/>
      <c r="I63" s="122"/>
      <c r="J63" s="25"/>
    </row>
    <row r="64" spans="2:10" hidden="1">
      <c r="B64" s="21"/>
      <c r="C64" s="119"/>
      <c r="D64" s="126"/>
      <c r="E64" s="123"/>
      <c r="F64" s="122"/>
      <c r="G64" s="122"/>
      <c r="H64" s="122"/>
      <c r="I64" s="122"/>
      <c r="J64" s="25"/>
    </row>
    <row r="65" spans="2:10" hidden="1">
      <c r="B65" s="21"/>
      <c r="C65" s="119"/>
      <c r="D65" s="119"/>
      <c r="E65" s="119"/>
      <c r="F65" s="22"/>
      <c r="G65" s="22"/>
      <c r="H65" s="22"/>
      <c r="I65" s="22"/>
      <c r="J65" s="25"/>
    </row>
    <row r="66" spans="2:10" hidden="1">
      <c r="B66" s="21"/>
      <c r="C66" s="119"/>
      <c r="D66" s="119"/>
      <c r="E66" s="119"/>
      <c r="F66" s="122"/>
      <c r="G66" s="122"/>
      <c r="H66" s="122"/>
      <c r="I66" s="122"/>
      <c r="J66" s="25"/>
    </row>
    <row r="67" spans="2:10" hidden="1">
      <c r="B67" s="21" t="s">
        <v>152</v>
      </c>
      <c r="C67" s="119"/>
      <c r="D67" s="123"/>
      <c r="E67" s="123"/>
      <c r="F67" s="122"/>
      <c r="G67" s="122"/>
      <c r="H67" s="122"/>
      <c r="I67" s="122"/>
      <c r="J67" s="25"/>
    </row>
    <row r="68" spans="2:10" hidden="1">
      <c r="B68" s="21"/>
      <c r="C68" s="119"/>
      <c r="D68" s="119"/>
      <c r="E68" s="119"/>
      <c r="F68" s="22"/>
      <c r="G68" s="22"/>
      <c r="H68" s="22"/>
      <c r="I68" s="22"/>
      <c r="J68" s="25"/>
    </row>
    <row r="69" spans="2:10" hidden="1">
      <c r="B69" s="21"/>
      <c r="C69" s="119"/>
      <c r="D69" s="119"/>
      <c r="E69" s="119"/>
      <c r="F69" s="122"/>
      <c r="G69" s="122"/>
      <c r="H69" s="122"/>
      <c r="I69" s="122"/>
      <c r="J69" s="25"/>
    </row>
    <row r="70" spans="2:10" hidden="1">
      <c r="B70" s="21" t="s">
        <v>153</v>
      </c>
      <c r="C70" s="119"/>
      <c r="D70" s="119"/>
      <c r="E70" s="119"/>
      <c r="F70" s="122"/>
      <c r="G70" s="122"/>
      <c r="H70" s="122"/>
      <c r="I70" s="122"/>
      <c r="J70" s="25"/>
    </row>
    <row r="71" spans="2:10" hidden="1">
      <c r="B71" s="21"/>
      <c r="C71" s="119"/>
      <c r="D71" s="119"/>
      <c r="E71" s="119"/>
      <c r="F71" s="122"/>
      <c r="G71" s="122"/>
      <c r="H71" s="122"/>
      <c r="I71" s="122"/>
      <c r="J71" s="25"/>
    </row>
    <row r="72" spans="2:10" hidden="1">
      <c r="B72" s="21"/>
      <c r="C72" s="119"/>
      <c r="D72" s="119"/>
      <c r="E72" s="119"/>
      <c r="F72" s="122"/>
      <c r="G72" s="122"/>
      <c r="H72" s="122"/>
      <c r="I72" s="122"/>
      <c r="J72" s="25"/>
    </row>
    <row r="73" spans="2:10" hidden="1">
      <c r="B73" s="21"/>
      <c r="C73" s="119"/>
      <c r="D73" s="119"/>
      <c r="E73" s="119"/>
      <c r="F73" s="122"/>
      <c r="G73" s="122"/>
      <c r="H73" s="122"/>
      <c r="I73" s="122"/>
      <c r="J73" s="25"/>
    </row>
    <row r="74" spans="2:10">
      <c r="B74" s="21"/>
      <c r="C74" s="119"/>
      <c r="D74" s="123"/>
      <c r="E74" s="123"/>
      <c r="F74" s="186"/>
      <c r="G74" s="186"/>
      <c r="H74" s="186"/>
      <c r="I74" s="122"/>
      <c r="J74" s="25"/>
    </row>
    <row r="75" spans="2:10">
      <c r="B75" s="249" t="s">
        <v>834</v>
      </c>
      <c r="C75" s="263"/>
      <c r="D75" s="264" t="s">
        <v>835</v>
      </c>
      <c r="E75" s="265"/>
      <c r="F75" s="266">
        <v>445684</v>
      </c>
      <c r="G75" s="267"/>
      <c r="H75" s="266">
        <v>445684</v>
      </c>
      <c r="I75" s="267"/>
      <c r="J75" s="266">
        <f>(F75+H75)/2</f>
        <v>445684</v>
      </c>
    </row>
    <row r="76" spans="2:10">
      <c r="B76" s="249"/>
      <c r="C76" s="263"/>
      <c r="D76" s="265"/>
      <c r="E76" s="265"/>
      <c r="F76" s="267"/>
      <c r="G76" s="267"/>
      <c r="H76" s="267"/>
      <c r="I76" s="267"/>
      <c r="J76" s="267"/>
    </row>
    <row r="77" spans="2:10">
      <c r="B77" s="249" t="s">
        <v>836</v>
      </c>
      <c r="C77" s="263"/>
      <c r="D77" s="264" t="s">
        <v>835</v>
      </c>
      <c r="E77" s="265"/>
      <c r="F77" s="266">
        <v>1094758</v>
      </c>
      <c r="G77" s="267"/>
      <c r="H77" s="266">
        <v>1094758</v>
      </c>
      <c r="I77" s="267"/>
      <c r="J77" s="266">
        <f>(F77+H77)/2</f>
        <v>1094758</v>
      </c>
    </row>
    <row r="78" spans="2:10">
      <c r="B78" s="249"/>
      <c r="C78" s="263"/>
      <c r="D78" s="265"/>
      <c r="E78" s="265"/>
      <c r="F78" s="267"/>
      <c r="G78" s="267"/>
      <c r="H78" s="267"/>
      <c r="I78" s="267"/>
      <c r="J78" s="267"/>
    </row>
    <row r="79" spans="2:10">
      <c r="B79" s="249" t="s">
        <v>837</v>
      </c>
      <c r="C79" s="263"/>
      <c r="D79" s="264" t="s">
        <v>835</v>
      </c>
      <c r="E79" s="263"/>
      <c r="F79" s="266">
        <v>1094758</v>
      </c>
      <c r="G79" s="267"/>
      <c r="H79" s="266">
        <v>1094758</v>
      </c>
      <c r="I79" s="267"/>
      <c r="J79" s="266">
        <f>(F79+H79)/2</f>
        <v>1094758</v>
      </c>
    </row>
    <row r="80" spans="2:10">
      <c r="B80" s="249"/>
      <c r="C80" s="263"/>
      <c r="D80" s="265"/>
      <c r="E80" s="265"/>
      <c r="F80" s="267"/>
      <c r="G80" s="267"/>
      <c r="H80" s="267"/>
      <c r="I80" s="267"/>
      <c r="J80" s="267"/>
    </row>
    <row r="81" spans="2:10">
      <c r="B81" s="249" t="s">
        <v>838</v>
      </c>
      <c r="C81" s="263"/>
      <c r="D81" s="264" t="s">
        <v>835</v>
      </c>
      <c r="E81" s="263"/>
      <c r="F81" s="266">
        <v>1094758</v>
      </c>
      <c r="G81" s="267"/>
      <c r="H81" s="266">
        <v>1094758</v>
      </c>
      <c r="I81" s="267"/>
      <c r="J81" s="266">
        <f>(F81+H81)/2</f>
        <v>1094758</v>
      </c>
    </row>
    <row r="82" spans="2:10">
      <c r="B82" s="249"/>
      <c r="C82" s="263"/>
      <c r="D82" s="264"/>
      <c r="E82" s="263"/>
      <c r="F82" s="266"/>
      <c r="G82" s="267"/>
      <c r="H82" s="266"/>
      <c r="I82" s="267"/>
      <c r="J82" s="266"/>
    </row>
    <row r="83" spans="2:10">
      <c r="B83" s="249" t="s">
        <v>772</v>
      </c>
      <c r="C83" s="263"/>
      <c r="D83" s="264"/>
      <c r="E83" s="263"/>
      <c r="F83" s="266">
        <v>3836955</v>
      </c>
      <c r="G83" s="267"/>
      <c r="H83" s="266">
        <v>3836955</v>
      </c>
      <c r="I83" s="267"/>
      <c r="J83" s="266">
        <f>(F83+H83)/2</f>
        <v>3836955</v>
      </c>
    </row>
    <row r="84" spans="2:10" ht="12" customHeight="1">
      <c r="B84" s="21"/>
      <c r="C84" s="119"/>
      <c r="D84" s="119"/>
      <c r="E84" s="119"/>
      <c r="F84" s="122"/>
      <c r="G84" s="122"/>
      <c r="H84" s="122"/>
      <c r="I84" s="122"/>
      <c r="J84" s="25"/>
    </row>
    <row r="85" spans="2:10">
      <c r="B85" s="3" t="s">
        <v>404</v>
      </c>
      <c r="C85" s="127"/>
      <c r="D85" s="127"/>
      <c r="E85" s="127"/>
      <c r="F85" s="130">
        <f>SUM(F75:F83)</f>
        <v>7566913</v>
      </c>
      <c r="G85" s="130"/>
      <c r="H85" s="130">
        <f>SUM(H75:H83)</f>
        <v>7566913</v>
      </c>
      <c r="I85" s="130"/>
      <c r="J85" s="129">
        <f>(F85+H85)/2</f>
        <v>7566913</v>
      </c>
    </row>
    <row r="86" spans="2:10">
      <c r="C86" s="127"/>
      <c r="D86" s="127"/>
      <c r="E86" s="127"/>
      <c r="F86" s="127"/>
      <c r="G86" s="127"/>
      <c r="H86" s="127"/>
      <c r="I86" s="127"/>
      <c r="J86" s="127"/>
    </row>
    <row r="87" spans="2:10">
      <c r="C87" s="127"/>
      <c r="D87" s="127"/>
      <c r="E87" s="127"/>
      <c r="F87" s="127"/>
      <c r="G87" s="127"/>
      <c r="H87" s="127"/>
      <c r="I87" s="127"/>
      <c r="J87" s="127"/>
    </row>
    <row r="88" spans="2:10">
      <c r="C88" s="127"/>
      <c r="D88" s="127"/>
      <c r="E88" s="127"/>
      <c r="F88" s="127"/>
      <c r="G88" s="127"/>
      <c r="H88" s="127"/>
      <c r="I88" s="127"/>
      <c r="J88" s="127"/>
    </row>
    <row r="89" spans="2:10">
      <c r="C89" s="127"/>
      <c r="D89" s="127"/>
      <c r="E89" s="127"/>
      <c r="F89" s="127"/>
      <c r="G89" s="127"/>
      <c r="H89" s="127"/>
      <c r="I89" s="127"/>
      <c r="J89" s="127"/>
    </row>
    <row r="90" spans="2:10">
      <c r="C90" s="127"/>
      <c r="D90" s="127"/>
      <c r="E90" s="127"/>
      <c r="F90" s="127"/>
      <c r="G90" s="127"/>
      <c r="H90" s="127"/>
      <c r="I90" s="127"/>
      <c r="J90" s="127"/>
    </row>
  </sheetData>
  <mergeCells count="5">
    <mergeCell ref="A8:K8"/>
    <mergeCell ref="J1:K1"/>
    <mergeCell ref="J3:K3"/>
    <mergeCell ref="A5:K5"/>
    <mergeCell ref="A7:K7"/>
  </mergeCells>
  <phoneticPr fontId="0" type="noConversion"/>
  <printOptions horizontalCentered="1"/>
  <pageMargins left="0.5" right="0.5" top="0.75" bottom="0.5" header="0.5" footer="0.5"/>
  <pageSetup scale="80"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J94"/>
  <sheetViews>
    <sheetView topLeftCell="A46" workbookViewId="0">
      <selection activeCell="B2" sqref="B2"/>
    </sheetView>
  </sheetViews>
  <sheetFormatPr defaultRowHeight="12.75"/>
  <cols>
    <col min="1" max="1" width="9.7109375" customWidth="1"/>
    <col min="2" max="2" width="47.7109375" customWidth="1"/>
    <col min="3" max="3" width="3.7109375" customWidth="1"/>
    <col min="4" max="4" width="17.42578125" customWidth="1"/>
    <col min="5" max="5" width="3.7109375" customWidth="1"/>
    <col min="7" max="7" width="10.28515625" bestFit="1" customWidth="1"/>
    <col min="8" max="8" width="3.7109375" customWidth="1"/>
    <col min="9" max="9" width="12.140625" bestFit="1" customWidth="1"/>
  </cols>
  <sheetData>
    <row r="1" spans="1:10" ht="15">
      <c r="A1" s="41"/>
      <c r="B1" s="41"/>
      <c r="C1" s="41"/>
      <c r="D1" s="41"/>
      <c r="E1" s="41"/>
      <c r="F1" s="41"/>
      <c r="G1" s="41"/>
      <c r="H1" s="41"/>
      <c r="I1" s="306" t="s">
        <v>196</v>
      </c>
      <c r="J1" s="306"/>
    </row>
    <row r="2" spans="1:10" ht="15">
      <c r="A2" s="41"/>
      <c r="B2" s="41"/>
      <c r="C2" s="41"/>
      <c r="D2" s="41"/>
      <c r="E2" s="41"/>
      <c r="F2" s="41"/>
      <c r="G2" s="41"/>
      <c r="H2" s="41"/>
      <c r="I2" s="206" t="s">
        <v>904</v>
      </c>
      <c r="J2" s="206"/>
    </row>
    <row r="3" spans="1:10">
      <c r="A3" s="41"/>
      <c r="B3" s="70"/>
      <c r="C3" s="70"/>
      <c r="D3" s="41"/>
      <c r="E3" s="41"/>
      <c r="F3" s="41"/>
      <c r="G3" s="41"/>
      <c r="H3" s="41"/>
      <c r="I3" s="324" t="str">
        <f>"Year Ending 12/31/"&amp;_YR</f>
        <v>Year Ending 12/31/2010</v>
      </c>
      <c r="J3" s="325"/>
    </row>
    <row r="4" spans="1:10" ht="9.75" customHeight="1">
      <c r="A4" s="41"/>
      <c r="B4" s="70"/>
      <c r="C4" s="70"/>
      <c r="D4" s="41"/>
      <c r="E4" s="41"/>
      <c r="F4" s="41"/>
      <c r="G4" s="41"/>
      <c r="H4" s="41"/>
      <c r="I4" s="207"/>
      <c r="J4" s="207"/>
    </row>
    <row r="5" spans="1:10">
      <c r="A5" s="331" t="s">
        <v>135</v>
      </c>
      <c r="B5" s="332"/>
      <c r="C5" s="332"/>
      <c r="D5" s="332"/>
      <c r="E5" s="332"/>
      <c r="F5" s="332"/>
      <c r="G5" s="332"/>
      <c r="H5" s="332"/>
      <c r="I5" s="332"/>
      <c r="J5" s="207"/>
    </row>
    <row r="6" spans="1:10">
      <c r="A6" s="331" t="s">
        <v>398</v>
      </c>
      <c r="B6" s="332"/>
      <c r="C6" s="332"/>
      <c r="D6" s="332"/>
      <c r="E6" s="332"/>
      <c r="F6" s="332"/>
      <c r="G6" s="332"/>
      <c r="H6" s="332"/>
      <c r="I6" s="332"/>
      <c r="J6" s="207"/>
    </row>
    <row r="7" spans="1:10" ht="5.25" customHeight="1">
      <c r="A7" s="41"/>
      <c r="B7" s="70"/>
      <c r="C7" s="70"/>
      <c r="D7" s="41"/>
      <c r="E7" s="41"/>
      <c r="F7" s="41"/>
      <c r="G7" s="41"/>
      <c r="H7" s="41"/>
      <c r="I7" s="207"/>
      <c r="J7" s="207"/>
    </row>
    <row r="8" spans="1:10" ht="6.75" customHeight="1">
      <c r="A8" s="71"/>
      <c r="B8" s="72"/>
      <c r="C8" s="72"/>
      <c r="D8" s="72"/>
      <c r="E8" s="73"/>
      <c r="F8" s="73"/>
      <c r="G8" s="73"/>
      <c r="H8" s="73"/>
      <c r="I8" s="73"/>
      <c r="J8" s="73"/>
    </row>
    <row r="9" spans="1:10">
      <c r="A9" s="71"/>
      <c r="B9" s="72"/>
      <c r="C9" s="72"/>
      <c r="D9" s="91" t="s">
        <v>243</v>
      </c>
      <c r="E9" s="73"/>
      <c r="F9" s="74" t="s">
        <v>23</v>
      </c>
      <c r="G9" s="74" t="s">
        <v>244</v>
      </c>
      <c r="H9" s="74"/>
      <c r="I9" s="74" t="s">
        <v>245</v>
      </c>
      <c r="J9" s="73"/>
    </row>
    <row r="10" spans="1:10">
      <c r="A10" s="71" t="s">
        <v>246</v>
      </c>
      <c r="B10" s="71" t="s">
        <v>3</v>
      </c>
      <c r="C10" s="75"/>
      <c r="D10" s="209" t="str">
        <f>"Tax at 12/31/"&amp;_YR-1</f>
        <v>Tax at 12/31/2009</v>
      </c>
      <c r="E10" s="41"/>
      <c r="F10" s="41"/>
      <c r="G10" s="41"/>
      <c r="H10" s="41"/>
      <c r="I10" s="41"/>
      <c r="J10" s="41"/>
    </row>
    <row r="11" spans="1:10">
      <c r="A11" s="71"/>
      <c r="B11" s="71"/>
      <c r="C11" s="75"/>
      <c r="D11" s="209"/>
      <c r="E11" s="41"/>
      <c r="F11" s="41"/>
      <c r="G11" s="41"/>
      <c r="H11" s="41"/>
      <c r="I11" s="41"/>
      <c r="J11" s="41"/>
    </row>
    <row r="12" spans="1:10">
      <c r="A12" s="268">
        <v>190</v>
      </c>
      <c r="B12" s="49" t="s">
        <v>839</v>
      </c>
      <c r="C12" s="49"/>
      <c r="D12" s="49">
        <v>3282074</v>
      </c>
      <c r="E12" s="49"/>
      <c r="F12" s="49" t="s">
        <v>247</v>
      </c>
      <c r="G12" s="229">
        <f t="shared" ref="G12:G43" si="0">VLOOKUP(F12,ALLOCATORS,2,FALSE)</f>
        <v>0</v>
      </c>
      <c r="H12" s="192"/>
      <c r="I12" s="49">
        <f>D12*G12</f>
        <v>0</v>
      </c>
      <c r="J12" s="41"/>
    </row>
    <row r="13" spans="1:10">
      <c r="A13" s="268">
        <v>190</v>
      </c>
      <c r="B13" s="49" t="s">
        <v>840</v>
      </c>
      <c r="C13" s="49"/>
      <c r="D13" s="49">
        <v>475280</v>
      </c>
      <c r="E13" s="49"/>
      <c r="F13" s="49" t="s">
        <v>251</v>
      </c>
      <c r="G13" s="229">
        <f t="shared" si="0"/>
        <v>0</v>
      </c>
      <c r="H13" s="192"/>
      <c r="I13" s="49">
        <f t="shared" ref="I13:I76" si="1">D13*G13</f>
        <v>0</v>
      </c>
      <c r="J13" s="41"/>
    </row>
    <row r="14" spans="1:10">
      <c r="A14" s="268">
        <v>190</v>
      </c>
      <c r="B14" s="49" t="s">
        <v>841</v>
      </c>
      <c r="C14" s="49"/>
      <c r="D14" s="49">
        <v>226929</v>
      </c>
      <c r="E14" s="49"/>
      <c r="F14" s="49" t="s">
        <v>249</v>
      </c>
      <c r="G14" s="229">
        <f t="shared" si="0"/>
        <v>0</v>
      </c>
      <c r="H14" s="192"/>
      <c r="I14" s="49">
        <f t="shared" si="1"/>
        <v>0</v>
      </c>
      <c r="J14" s="41"/>
    </row>
    <row r="15" spans="1:10">
      <c r="A15" s="268">
        <v>190</v>
      </c>
      <c r="B15" s="49" t="s">
        <v>842</v>
      </c>
      <c r="C15" s="49"/>
      <c r="D15" s="49">
        <v>655775</v>
      </c>
      <c r="E15" s="49"/>
      <c r="F15" s="49" t="s">
        <v>37</v>
      </c>
      <c r="G15" s="229">
        <f t="shared" si="0"/>
        <v>0.16084552246971878</v>
      </c>
      <c r="H15" s="192"/>
      <c r="I15" s="49">
        <f t="shared" si="1"/>
        <v>105478.47249757983</v>
      </c>
      <c r="J15" s="41"/>
    </row>
    <row r="16" spans="1:10">
      <c r="A16" s="268">
        <v>190</v>
      </c>
      <c r="B16" s="49" t="s">
        <v>843</v>
      </c>
      <c r="C16" s="49"/>
      <c r="D16" s="49">
        <v>4730606</v>
      </c>
      <c r="E16" s="49"/>
      <c r="F16" s="49" t="s">
        <v>251</v>
      </c>
      <c r="G16" s="229">
        <f t="shared" si="0"/>
        <v>0</v>
      </c>
      <c r="H16" s="192"/>
      <c r="I16" s="49">
        <f t="shared" si="1"/>
        <v>0</v>
      </c>
      <c r="J16" s="41"/>
    </row>
    <row r="17" spans="1:10">
      <c r="A17" s="268">
        <v>190</v>
      </c>
      <c r="B17" s="49" t="s">
        <v>844</v>
      </c>
      <c r="C17" s="49"/>
      <c r="D17" s="49">
        <v>273400</v>
      </c>
      <c r="E17" s="49"/>
      <c r="F17" s="49" t="s">
        <v>248</v>
      </c>
      <c r="G17" s="229">
        <f t="shared" si="0"/>
        <v>7.4044416484916623E-2</v>
      </c>
      <c r="H17" s="192"/>
      <c r="I17" s="49">
        <f t="shared" si="1"/>
        <v>20243.743466976204</v>
      </c>
      <c r="J17" s="41"/>
    </row>
    <row r="18" spans="1:10">
      <c r="A18" s="268">
        <v>190</v>
      </c>
      <c r="B18" s="49" t="s">
        <v>845</v>
      </c>
      <c r="C18" s="49"/>
      <c r="D18" s="49">
        <v>210445</v>
      </c>
      <c r="E18" s="49"/>
      <c r="F18" s="49" t="s">
        <v>248</v>
      </c>
      <c r="G18" s="229">
        <f t="shared" si="0"/>
        <v>7.4044416484916623E-2</v>
      </c>
      <c r="H18" s="192"/>
      <c r="I18" s="49">
        <f t="shared" si="1"/>
        <v>15582.277227168279</v>
      </c>
      <c r="J18" s="41"/>
    </row>
    <row r="19" spans="1:10">
      <c r="A19" s="268">
        <v>190</v>
      </c>
      <c r="B19" s="49" t="s">
        <v>846</v>
      </c>
      <c r="C19" s="49"/>
      <c r="D19" s="49">
        <v>941869</v>
      </c>
      <c r="E19" s="49"/>
      <c r="F19" s="49" t="s">
        <v>248</v>
      </c>
      <c r="G19" s="229">
        <f t="shared" si="0"/>
        <v>7.4044416484916623E-2</v>
      </c>
      <c r="H19" s="192"/>
      <c r="I19" s="49">
        <f t="shared" si="1"/>
        <v>69740.14051023194</v>
      </c>
      <c r="J19" s="41"/>
    </row>
    <row r="20" spans="1:10">
      <c r="A20" s="268">
        <v>190</v>
      </c>
      <c r="B20" s="49" t="s">
        <v>847</v>
      </c>
      <c r="C20" s="49"/>
      <c r="D20" s="49">
        <v>2148182</v>
      </c>
      <c r="E20" s="49"/>
      <c r="F20" s="49" t="s">
        <v>248</v>
      </c>
      <c r="G20" s="229">
        <f t="shared" si="0"/>
        <v>7.4044416484916623E-2</v>
      </c>
      <c r="H20" s="192"/>
      <c r="I20" s="49">
        <f t="shared" si="1"/>
        <v>159060.88269340116</v>
      </c>
      <c r="J20" s="41"/>
    </row>
    <row r="21" spans="1:10">
      <c r="A21" s="268">
        <v>190</v>
      </c>
      <c r="B21" s="49" t="s">
        <v>848</v>
      </c>
      <c r="C21" s="49"/>
      <c r="D21" s="49">
        <v>267811</v>
      </c>
      <c r="E21" s="49"/>
      <c r="F21" s="49" t="s">
        <v>251</v>
      </c>
      <c r="G21" s="229">
        <f t="shared" si="0"/>
        <v>0</v>
      </c>
      <c r="H21" s="192"/>
      <c r="I21" s="49">
        <f t="shared" si="1"/>
        <v>0</v>
      </c>
      <c r="J21" s="41"/>
    </row>
    <row r="22" spans="1:10">
      <c r="A22" s="268">
        <v>190</v>
      </c>
      <c r="B22" s="49" t="s">
        <v>849</v>
      </c>
      <c r="C22" s="49"/>
      <c r="D22" s="49">
        <v>9781117</v>
      </c>
      <c r="E22" s="49"/>
      <c r="F22" s="49" t="s">
        <v>248</v>
      </c>
      <c r="G22" s="229">
        <f t="shared" si="0"/>
        <v>7.4044416484916623E-2</v>
      </c>
      <c r="H22" s="192"/>
      <c r="I22" s="49">
        <f t="shared" si="1"/>
        <v>724237.10083569819</v>
      </c>
      <c r="J22" s="41"/>
    </row>
    <row r="23" spans="1:10">
      <c r="A23" s="268">
        <v>190</v>
      </c>
      <c r="B23" s="49" t="s">
        <v>850</v>
      </c>
      <c r="C23" s="49"/>
      <c r="D23" s="49">
        <v>-2745075</v>
      </c>
      <c r="E23" s="49"/>
      <c r="F23" s="49" t="s">
        <v>249</v>
      </c>
      <c r="G23" s="229">
        <f t="shared" si="0"/>
        <v>0</v>
      </c>
      <c r="H23" s="192"/>
      <c r="I23" s="49">
        <f t="shared" si="1"/>
        <v>0</v>
      </c>
      <c r="J23" s="41"/>
    </row>
    <row r="24" spans="1:10">
      <c r="A24" s="268">
        <v>190</v>
      </c>
      <c r="B24" s="49" t="s">
        <v>851</v>
      </c>
      <c r="C24" s="49"/>
      <c r="D24" s="49">
        <v>1423580</v>
      </c>
      <c r="E24" s="49"/>
      <c r="F24" s="49" t="s">
        <v>251</v>
      </c>
      <c r="G24" s="229">
        <f t="shared" si="0"/>
        <v>0</v>
      </c>
      <c r="H24" s="192"/>
      <c r="I24" s="49">
        <f t="shared" si="1"/>
        <v>0</v>
      </c>
      <c r="J24" s="41"/>
    </row>
    <row r="25" spans="1:10">
      <c r="A25" s="268">
        <v>190</v>
      </c>
      <c r="B25" s="49" t="s">
        <v>852</v>
      </c>
      <c r="C25" s="49"/>
      <c r="D25" s="49">
        <v>46564248</v>
      </c>
      <c r="E25" s="49"/>
      <c r="F25" s="49" t="s">
        <v>247</v>
      </c>
      <c r="G25" s="229">
        <f t="shared" si="0"/>
        <v>0</v>
      </c>
      <c r="H25" s="192"/>
      <c r="I25" s="49">
        <f t="shared" si="1"/>
        <v>0</v>
      </c>
      <c r="J25" s="41"/>
    </row>
    <row r="26" spans="1:10">
      <c r="A26" s="268">
        <v>190</v>
      </c>
      <c r="B26" s="49" t="s">
        <v>853</v>
      </c>
      <c r="C26" s="49"/>
      <c r="D26" s="49">
        <v>1863681</v>
      </c>
      <c r="E26" s="49"/>
      <c r="F26" s="49" t="s">
        <v>248</v>
      </c>
      <c r="G26" s="229">
        <f t="shared" si="0"/>
        <v>7.4044416484916623E-2</v>
      </c>
      <c r="H26" s="192"/>
      <c r="I26" s="49">
        <f t="shared" si="1"/>
        <v>137995.17215902588</v>
      </c>
      <c r="J26" s="41"/>
    </row>
    <row r="27" spans="1:10">
      <c r="A27" s="268">
        <v>190</v>
      </c>
      <c r="B27" s="49" t="s">
        <v>854</v>
      </c>
      <c r="C27" s="49"/>
      <c r="D27" s="49">
        <v>388225</v>
      </c>
      <c r="E27" s="49"/>
      <c r="F27" s="49" t="s">
        <v>251</v>
      </c>
      <c r="G27" s="229">
        <f t="shared" si="0"/>
        <v>0</v>
      </c>
      <c r="H27" s="192"/>
      <c r="I27" s="49">
        <f t="shared" si="1"/>
        <v>0</v>
      </c>
      <c r="J27" s="41"/>
    </row>
    <row r="28" spans="1:10">
      <c r="A28" s="268">
        <v>190</v>
      </c>
      <c r="B28" s="49" t="s">
        <v>855</v>
      </c>
      <c r="C28" s="49"/>
      <c r="D28" s="49">
        <v>3158302</v>
      </c>
      <c r="E28" s="49"/>
      <c r="F28" s="49" t="s">
        <v>37</v>
      </c>
      <c r="G28" s="229">
        <f t="shared" si="0"/>
        <v>0.16084552246971878</v>
      </c>
      <c r="H28" s="192"/>
      <c r="I28" s="49">
        <f t="shared" si="1"/>
        <v>507998.7353071578</v>
      </c>
      <c r="J28" s="41"/>
    </row>
    <row r="29" spans="1:10">
      <c r="A29" s="268">
        <v>190</v>
      </c>
      <c r="B29" s="49" t="s">
        <v>856</v>
      </c>
      <c r="C29" s="49"/>
      <c r="D29" s="49">
        <v>3343000</v>
      </c>
      <c r="E29" s="49"/>
      <c r="F29" s="49" t="s">
        <v>249</v>
      </c>
      <c r="G29" s="229">
        <f t="shared" si="0"/>
        <v>0</v>
      </c>
      <c r="H29" s="192"/>
      <c r="I29" s="49">
        <f t="shared" si="1"/>
        <v>0</v>
      </c>
      <c r="J29" s="41"/>
    </row>
    <row r="30" spans="1:10">
      <c r="A30" s="268">
        <v>190</v>
      </c>
      <c r="B30" s="49" t="s">
        <v>857</v>
      </c>
      <c r="C30" s="49"/>
      <c r="D30" s="49">
        <v>52446305</v>
      </c>
      <c r="E30" s="49"/>
      <c r="F30" s="49" t="s">
        <v>247</v>
      </c>
      <c r="G30" s="229">
        <f t="shared" si="0"/>
        <v>0</v>
      </c>
      <c r="H30" s="192"/>
      <c r="I30" s="49">
        <f t="shared" si="1"/>
        <v>0</v>
      </c>
      <c r="J30" s="41"/>
    </row>
    <row r="31" spans="1:10">
      <c r="A31" s="268">
        <v>190</v>
      </c>
      <c r="B31" s="49" t="s">
        <v>858</v>
      </c>
      <c r="C31" s="49"/>
      <c r="D31" s="49">
        <v>6585440</v>
      </c>
      <c r="E31" s="49"/>
      <c r="F31" s="49" t="s">
        <v>248</v>
      </c>
      <c r="G31" s="229">
        <f t="shared" si="0"/>
        <v>7.4044416484916623E-2</v>
      </c>
      <c r="H31" s="192"/>
      <c r="I31" s="49">
        <f t="shared" si="1"/>
        <v>487615.06209642935</v>
      </c>
      <c r="J31" s="41"/>
    </row>
    <row r="32" spans="1:10">
      <c r="A32" s="268">
        <v>190</v>
      </c>
      <c r="B32" s="49" t="s">
        <v>859</v>
      </c>
      <c r="C32" s="49"/>
      <c r="D32" s="49">
        <v>964035</v>
      </c>
      <c r="E32" s="49"/>
      <c r="F32" s="49" t="s">
        <v>248</v>
      </c>
      <c r="G32" s="229">
        <f t="shared" si="0"/>
        <v>7.4044416484916623E-2</v>
      </c>
      <c r="H32" s="192"/>
      <c r="I32" s="49">
        <f t="shared" si="1"/>
        <v>71381.409046036599</v>
      </c>
      <c r="J32" s="41"/>
    </row>
    <row r="33" spans="1:10">
      <c r="A33" s="268">
        <v>190</v>
      </c>
      <c r="B33" s="49" t="s">
        <v>860</v>
      </c>
      <c r="C33" s="49"/>
      <c r="D33" s="49">
        <v>16284020</v>
      </c>
      <c r="E33" s="49"/>
      <c r="F33" s="49" t="s">
        <v>248</v>
      </c>
      <c r="G33" s="229">
        <f t="shared" si="0"/>
        <v>7.4044416484916623E-2</v>
      </c>
      <c r="H33" s="192"/>
      <c r="I33" s="49">
        <f t="shared" si="1"/>
        <v>1205740.758928712</v>
      </c>
      <c r="J33" s="41"/>
    </row>
    <row r="34" spans="1:10">
      <c r="A34" s="268">
        <v>190</v>
      </c>
      <c r="B34" s="49" t="s">
        <v>861</v>
      </c>
      <c r="C34" s="49"/>
      <c r="D34" s="49">
        <v>3818939</v>
      </c>
      <c r="E34" s="49"/>
      <c r="F34" s="49" t="s">
        <v>249</v>
      </c>
      <c r="G34" s="229">
        <f t="shared" si="0"/>
        <v>0</v>
      </c>
      <c r="H34" s="192"/>
      <c r="I34" s="49">
        <f t="shared" si="1"/>
        <v>0</v>
      </c>
      <c r="J34" s="41"/>
    </row>
    <row r="35" spans="1:10">
      <c r="A35" s="268">
        <v>190</v>
      </c>
      <c r="B35" s="49" t="s">
        <v>862</v>
      </c>
      <c r="C35" s="49"/>
      <c r="D35" s="49">
        <v>5207625</v>
      </c>
      <c r="E35" s="49"/>
      <c r="F35" s="49" t="s">
        <v>249</v>
      </c>
      <c r="G35" s="229">
        <f t="shared" si="0"/>
        <v>0</v>
      </c>
      <c r="H35" s="192"/>
      <c r="I35" s="49">
        <f t="shared" si="1"/>
        <v>0</v>
      </c>
      <c r="J35" s="41"/>
    </row>
    <row r="36" spans="1:10">
      <c r="A36" s="268">
        <v>190</v>
      </c>
      <c r="B36" s="49" t="s">
        <v>863</v>
      </c>
      <c r="C36" s="49"/>
      <c r="D36" s="49">
        <v>2018751</v>
      </c>
      <c r="E36" s="49"/>
      <c r="F36" s="49" t="s">
        <v>249</v>
      </c>
      <c r="G36" s="229">
        <f t="shared" si="0"/>
        <v>0</v>
      </c>
      <c r="H36" s="192"/>
      <c r="I36" s="49">
        <f t="shared" si="1"/>
        <v>0</v>
      </c>
      <c r="J36" s="41"/>
    </row>
    <row r="37" spans="1:10">
      <c r="A37" s="268">
        <v>190</v>
      </c>
      <c r="B37" s="49" t="s">
        <v>864</v>
      </c>
      <c r="C37" s="49"/>
      <c r="D37" s="49">
        <v>421935</v>
      </c>
      <c r="E37" s="49"/>
      <c r="F37" s="49" t="s">
        <v>248</v>
      </c>
      <c r="G37" s="229">
        <f t="shared" si="0"/>
        <v>7.4044416484916623E-2</v>
      </c>
      <c r="H37" s="192"/>
      <c r="I37" s="49">
        <f t="shared" si="1"/>
        <v>31241.930869563294</v>
      </c>
      <c r="J37" s="41"/>
    </row>
    <row r="38" spans="1:10">
      <c r="A38" s="268">
        <v>190</v>
      </c>
      <c r="B38" s="49" t="s">
        <v>865</v>
      </c>
      <c r="C38" s="49"/>
      <c r="D38" s="49">
        <v>231428</v>
      </c>
      <c r="E38" s="49"/>
      <c r="F38" s="49" t="s">
        <v>248</v>
      </c>
      <c r="G38" s="229">
        <f t="shared" si="0"/>
        <v>7.4044416484916623E-2</v>
      </c>
      <c r="H38" s="192"/>
      <c r="I38" s="49">
        <f t="shared" si="1"/>
        <v>17135.951218271282</v>
      </c>
      <c r="J38" s="41"/>
    </row>
    <row r="39" spans="1:10">
      <c r="A39" s="268">
        <v>190</v>
      </c>
      <c r="B39" s="49" t="s">
        <v>866</v>
      </c>
      <c r="C39" s="49"/>
      <c r="D39" s="49">
        <v>11262704</v>
      </c>
      <c r="E39" s="49"/>
      <c r="F39" s="49" t="s">
        <v>249</v>
      </c>
      <c r="G39" s="229">
        <f t="shared" si="0"/>
        <v>0</v>
      </c>
      <c r="H39" s="192"/>
      <c r="I39" s="49">
        <f t="shared" si="1"/>
        <v>0</v>
      </c>
      <c r="J39" s="41"/>
    </row>
    <row r="40" spans="1:10">
      <c r="A40" s="268">
        <v>190</v>
      </c>
      <c r="B40" s="49" t="s">
        <v>867</v>
      </c>
      <c r="C40" s="49"/>
      <c r="D40" s="49">
        <v>1048880</v>
      </c>
      <c r="E40" s="49"/>
      <c r="F40" s="49" t="s">
        <v>248</v>
      </c>
      <c r="G40" s="229">
        <f t="shared" si="0"/>
        <v>7.4044416484916623E-2</v>
      </c>
      <c r="H40" s="192"/>
      <c r="I40" s="49">
        <f t="shared" si="1"/>
        <v>77663.707562699346</v>
      </c>
      <c r="J40" s="41"/>
    </row>
    <row r="41" spans="1:10">
      <c r="A41" s="268">
        <v>190</v>
      </c>
      <c r="B41" s="49" t="s">
        <v>868</v>
      </c>
      <c r="C41" s="49"/>
      <c r="D41" s="49">
        <v>304346</v>
      </c>
      <c r="E41" s="49"/>
      <c r="F41" s="49" t="s">
        <v>249</v>
      </c>
      <c r="G41" s="229">
        <f t="shared" si="0"/>
        <v>0</v>
      </c>
      <c r="H41" s="192"/>
      <c r="I41" s="49">
        <f t="shared" si="1"/>
        <v>0</v>
      </c>
      <c r="J41" s="41"/>
    </row>
    <row r="42" spans="1:10">
      <c r="A42" s="268">
        <v>190</v>
      </c>
      <c r="B42" s="49" t="s">
        <v>869</v>
      </c>
      <c r="C42" s="49"/>
      <c r="D42" s="49">
        <v>2609245</v>
      </c>
      <c r="E42" s="49"/>
      <c r="F42" s="49" t="s">
        <v>251</v>
      </c>
      <c r="G42" s="229">
        <f t="shared" si="0"/>
        <v>0</v>
      </c>
      <c r="H42" s="192"/>
      <c r="I42" s="49">
        <f t="shared" si="1"/>
        <v>0</v>
      </c>
      <c r="J42" s="41"/>
    </row>
    <row r="43" spans="1:10">
      <c r="A43" s="268">
        <v>190</v>
      </c>
      <c r="B43" s="49" t="s">
        <v>870</v>
      </c>
      <c r="C43" s="49"/>
      <c r="D43" s="49">
        <v>44062590</v>
      </c>
      <c r="E43" s="49"/>
      <c r="F43" s="49" t="s">
        <v>249</v>
      </c>
      <c r="G43" s="229">
        <f t="shared" si="0"/>
        <v>0</v>
      </c>
      <c r="H43" s="192"/>
      <c r="I43" s="49">
        <f t="shared" si="1"/>
        <v>0</v>
      </c>
      <c r="J43" s="41"/>
    </row>
    <row r="44" spans="1:10">
      <c r="A44" s="268">
        <v>190</v>
      </c>
      <c r="B44" s="49" t="s">
        <v>871</v>
      </c>
      <c r="C44" s="49"/>
      <c r="D44" s="49">
        <v>7601512</v>
      </c>
      <c r="E44" s="49"/>
      <c r="F44" s="49" t="s">
        <v>249</v>
      </c>
      <c r="G44" s="229">
        <f t="shared" ref="G44:G75" si="2">VLOOKUP(F44,ALLOCATORS,2,FALSE)</f>
        <v>0</v>
      </c>
      <c r="H44" s="192"/>
      <c r="I44" s="49">
        <f t="shared" si="1"/>
        <v>0</v>
      </c>
      <c r="J44" s="41"/>
    </row>
    <row r="45" spans="1:10">
      <c r="A45" s="268">
        <v>190</v>
      </c>
      <c r="B45" s="49" t="s">
        <v>872</v>
      </c>
      <c r="C45" s="49"/>
      <c r="D45" s="49">
        <v>25374</v>
      </c>
      <c r="E45" s="49"/>
      <c r="F45" s="49" t="s">
        <v>249</v>
      </c>
      <c r="G45" s="229">
        <f t="shared" si="2"/>
        <v>0</v>
      </c>
      <c r="H45" s="192"/>
      <c r="I45" s="49">
        <f t="shared" si="1"/>
        <v>0</v>
      </c>
      <c r="J45" s="41"/>
    </row>
    <row r="46" spans="1:10">
      <c r="A46" s="268">
        <v>190</v>
      </c>
      <c r="B46" s="49" t="s">
        <v>873</v>
      </c>
      <c r="C46" s="49"/>
      <c r="D46" s="49">
        <v>9744653</v>
      </c>
      <c r="E46" s="49"/>
      <c r="F46" s="49" t="s">
        <v>251</v>
      </c>
      <c r="G46" s="229">
        <f t="shared" si="2"/>
        <v>0</v>
      </c>
      <c r="H46" s="192"/>
      <c r="I46" s="49">
        <f t="shared" si="1"/>
        <v>0</v>
      </c>
      <c r="J46" s="41"/>
    </row>
    <row r="47" spans="1:10">
      <c r="A47" s="268">
        <v>190</v>
      </c>
      <c r="B47" s="49" t="s">
        <v>874</v>
      </c>
      <c r="C47" s="49"/>
      <c r="D47" s="49">
        <v>2685016</v>
      </c>
      <c r="E47" s="49"/>
      <c r="F47" s="49" t="s">
        <v>37</v>
      </c>
      <c r="G47" s="229">
        <f t="shared" si="2"/>
        <v>0.16084552246971878</v>
      </c>
      <c r="H47" s="192"/>
      <c r="I47" s="49">
        <f t="shared" si="1"/>
        <v>431872.80135955446</v>
      </c>
      <c r="J47" s="41"/>
    </row>
    <row r="48" spans="1:10">
      <c r="A48" s="268">
        <v>190</v>
      </c>
      <c r="B48" s="49" t="s">
        <v>875</v>
      </c>
      <c r="C48" s="49"/>
      <c r="D48" s="49">
        <v>199273</v>
      </c>
      <c r="E48" s="49"/>
      <c r="F48" s="49" t="s">
        <v>37</v>
      </c>
      <c r="G48" s="229">
        <f t="shared" si="2"/>
        <v>0.16084552246971878</v>
      </c>
      <c r="H48" s="192"/>
      <c r="I48" s="49">
        <f t="shared" si="1"/>
        <v>32052.169799108269</v>
      </c>
      <c r="J48" s="41"/>
    </row>
    <row r="49" spans="1:10">
      <c r="A49" s="268">
        <v>190</v>
      </c>
      <c r="B49" s="49" t="s">
        <v>876</v>
      </c>
      <c r="C49" s="49"/>
      <c r="D49" s="49">
        <v>-443068</v>
      </c>
      <c r="E49" s="49"/>
      <c r="F49" s="49" t="s">
        <v>37</v>
      </c>
      <c r="G49" s="229">
        <f t="shared" si="2"/>
        <v>0.16084552246971878</v>
      </c>
      <c r="H49" s="192"/>
      <c r="I49" s="49">
        <f t="shared" si="1"/>
        <v>-71265.503949613369</v>
      </c>
      <c r="J49" s="41"/>
    </row>
    <row r="50" spans="1:10">
      <c r="A50" s="268">
        <v>190</v>
      </c>
      <c r="B50" s="49" t="s">
        <v>877</v>
      </c>
      <c r="C50" s="49"/>
      <c r="D50" s="49">
        <v>3267892</v>
      </c>
      <c r="E50" s="49"/>
      <c r="F50" s="49" t="s">
        <v>248</v>
      </c>
      <c r="G50" s="229">
        <f t="shared" si="2"/>
        <v>7.4044416484916623E-2</v>
      </c>
      <c r="H50" s="192"/>
      <c r="I50" s="49">
        <f t="shared" si="1"/>
        <v>241969.15627572715</v>
      </c>
      <c r="J50" s="41"/>
    </row>
    <row r="51" spans="1:10">
      <c r="A51" s="268">
        <v>190</v>
      </c>
      <c r="B51" s="49" t="s">
        <v>878</v>
      </c>
      <c r="C51" s="49"/>
      <c r="D51" s="49">
        <v>1250446</v>
      </c>
      <c r="E51" s="49"/>
      <c r="F51" s="49" t="s">
        <v>248</v>
      </c>
      <c r="G51" s="229">
        <f t="shared" si="2"/>
        <v>7.4044416484916623E-2</v>
      </c>
      <c r="H51" s="192"/>
      <c r="I51" s="49">
        <f t="shared" si="1"/>
        <v>92588.544415898054</v>
      </c>
      <c r="J51" s="41"/>
    </row>
    <row r="52" spans="1:10">
      <c r="A52" s="268">
        <v>190</v>
      </c>
      <c r="B52" s="49" t="s">
        <v>879</v>
      </c>
      <c r="C52" s="49"/>
      <c r="D52" s="49">
        <v>33174</v>
      </c>
      <c r="E52" s="49"/>
      <c r="F52" s="49" t="s">
        <v>248</v>
      </c>
      <c r="G52" s="229">
        <f t="shared" si="2"/>
        <v>7.4044416484916623E-2</v>
      </c>
      <c r="H52" s="192"/>
      <c r="I52" s="49">
        <f t="shared" si="1"/>
        <v>2456.3494724706238</v>
      </c>
      <c r="J52" s="41"/>
    </row>
    <row r="53" spans="1:10">
      <c r="A53" s="268">
        <v>190</v>
      </c>
      <c r="B53" s="49" t="s">
        <v>880</v>
      </c>
      <c r="C53" s="49"/>
      <c r="D53" s="49">
        <v>48528965</v>
      </c>
      <c r="E53" s="49"/>
      <c r="F53" s="49" t="s">
        <v>248</v>
      </c>
      <c r="G53" s="229">
        <f t="shared" si="2"/>
        <v>7.4044416484916623E-2</v>
      </c>
      <c r="H53" s="192"/>
      <c r="I53" s="49">
        <f t="shared" si="1"/>
        <v>3593298.8960419418</v>
      </c>
      <c r="J53" s="41"/>
    </row>
    <row r="54" spans="1:10">
      <c r="A54" s="268">
        <v>190</v>
      </c>
      <c r="B54" s="49" t="s">
        <v>881</v>
      </c>
      <c r="C54" s="49"/>
      <c r="D54" s="49">
        <v>33969</v>
      </c>
      <c r="E54" s="49"/>
      <c r="F54" s="49" t="s">
        <v>248</v>
      </c>
      <c r="G54" s="229">
        <f t="shared" si="2"/>
        <v>7.4044416484916623E-2</v>
      </c>
      <c r="H54" s="192"/>
      <c r="I54" s="49">
        <f t="shared" si="1"/>
        <v>2515.214783576133</v>
      </c>
      <c r="J54" s="41"/>
    </row>
    <row r="55" spans="1:10">
      <c r="A55" s="268">
        <v>190</v>
      </c>
      <c r="B55" s="49" t="s">
        <v>882</v>
      </c>
      <c r="C55" s="49"/>
      <c r="D55" s="49">
        <v>1330245</v>
      </c>
      <c r="E55" s="49"/>
      <c r="F55" s="49" t="s">
        <v>249</v>
      </c>
      <c r="G55" s="229">
        <f t="shared" si="2"/>
        <v>0</v>
      </c>
      <c r="H55" s="192"/>
      <c r="I55" s="49">
        <f t="shared" si="1"/>
        <v>0</v>
      </c>
      <c r="J55" s="41"/>
    </row>
    <row r="56" spans="1:10">
      <c r="A56" s="268">
        <v>190</v>
      </c>
      <c r="B56" s="49" t="s">
        <v>883</v>
      </c>
      <c r="C56" s="49"/>
      <c r="D56" s="49">
        <v>10173991</v>
      </c>
      <c r="E56" s="49"/>
      <c r="F56" s="49" t="s">
        <v>249</v>
      </c>
      <c r="G56" s="229">
        <f t="shared" si="2"/>
        <v>0</v>
      </c>
      <c r="H56" s="192"/>
      <c r="I56" s="49">
        <f t="shared" si="1"/>
        <v>0</v>
      </c>
      <c r="J56" s="41"/>
    </row>
    <row r="57" spans="1:10">
      <c r="A57" s="268">
        <v>190</v>
      </c>
      <c r="B57" s="49" t="s">
        <v>884</v>
      </c>
      <c r="C57" s="49"/>
      <c r="D57" s="49">
        <v>129219947</v>
      </c>
      <c r="E57" s="49"/>
      <c r="F57" s="49" t="s">
        <v>249</v>
      </c>
      <c r="G57" s="229">
        <f t="shared" si="2"/>
        <v>0</v>
      </c>
      <c r="H57" s="192"/>
      <c r="I57" s="49">
        <f t="shared" si="1"/>
        <v>0</v>
      </c>
      <c r="J57" s="41"/>
    </row>
    <row r="58" spans="1:10">
      <c r="A58" s="268">
        <v>190</v>
      </c>
      <c r="B58" s="49" t="s">
        <v>885</v>
      </c>
      <c r="C58" s="49"/>
      <c r="D58" s="49">
        <v>5266</v>
      </c>
      <c r="E58" s="49"/>
      <c r="F58" s="49" t="s">
        <v>251</v>
      </c>
      <c r="G58" s="229">
        <f t="shared" si="2"/>
        <v>0</v>
      </c>
      <c r="H58" s="192"/>
      <c r="I58" s="49">
        <f t="shared" si="1"/>
        <v>0</v>
      </c>
      <c r="J58" s="41"/>
    </row>
    <row r="59" spans="1:10">
      <c r="A59" s="268">
        <v>190</v>
      </c>
      <c r="B59" s="49" t="s">
        <v>886</v>
      </c>
      <c r="C59" s="49"/>
      <c r="D59" s="49">
        <v>1020019</v>
      </c>
      <c r="E59" s="49"/>
      <c r="F59" s="49" t="s">
        <v>248</v>
      </c>
      <c r="G59" s="229">
        <f t="shared" si="2"/>
        <v>7.4044416484916623E-2</v>
      </c>
      <c r="H59" s="192"/>
      <c r="I59" s="49">
        <f t="shared" si="1"/>
        <v>75526.711658528162</v>
      </c>
      <c r="J59" s="41"/>
    </row>
    <row r="60" spans="1:10">
      <c r="A60" s="268">
        <v>190</v>
      </c>
      <c r="B60" s="49" t="s">
        <v>887</v>
      </c>
      <c r="C60" s="49"/>
      <c r="D60" s="49">
        <v>-251551</v>
      </c>
      <c r="E60" s="49"/>
      <c r="F60" s="49" t="s">
        <v>248</v>
      </c>
      <c r="G60" s="229">
        <f t="shared" si="2"/>
        <v>7.4044416484916623E-2</v>
      </c>
      <c r="H60" s="192"/>
      <c r="I60" s="49">
        <f t="shared" si="1"/>
        <v>-18625.947011197262</v>
      </c>
      <c r="J60" s="41"/>
    </row>
    <row r="61" spans="1:10">
      <c r="A61" s="268">
        <v>190</v>
      </c>
      <c r="B61" s="49" t="s">
        <v>888</v>
      </c>
      <c r="C61" s="49"/>
      <c r="D61" s="49">
        <v>-353780</v>
      </c>
      <c r="E61" s="49"/>
      <c r="F61" s="49" t="s">
        <v>248</v>
      </c>
      <c r="G61" s="229">
        <f t="shared" si="2"/>
        <v>7.4044416484916623E-2</v>
      </c>
      <c r="H61" s="192"/>
      <c r="I61" s="49">
        <f t="shared" si="1"/>
        <v>-26195.433664033804</v>
      </c>
      <c r="J61" s="41"/>
    </row>
    <row r="62" spans="1:10">
      <c r="A62" s="268">
        <v>190</v>
      </c>
      <c r="B62" s="49" t="s">
        <v>889</v>
      </c>
      <c r="C62" s="49"/>
      <c r="D62" s="49">
        <v>1040735</v>
      </c>
      <c r="E62" s="49"/>
      <c r="F62" s="49" t="s">
        <v>248</v>
      </c>
      <c r="G62" s="229">
        <f t="shared" si="2"/>
        <v>7.4044416484916623E-2</v>
      </c>
      <c r="H62" s="192"/>
      <c r="I62" s="49">
        <f t="shared" si="1"/>
        <v>77060.6157904297</v>
      </c>
      <c r="J62" s="41"/>
    </row>
    <row r="63" spans="1:10">
      <c r="A63" s="268">
        <v>190</v>
      </c>
      <c r="B63" s="49" t="s">
        <v>890</v>
      </c>
      <c r="C63" s="49"/>
      <c r="D63" s="49">
        <v>181401</v>
      </c>
      <c r="E63" s="49"/>
      <c r="F63" s="49" t="s">
        <v>248</v>
      </c>
      <c r="G63" s="229">
        <f t="shared" si="2"/>
        <v>7.4044416484916623E-2</v>
      </c>
      <c r="H63" s="192"/>
      <c r="I63" s="49">
        <f t="shared" si="1"/>
        <v>13431.731194780361</v>
      </c>
      <c r="J63" s="41"/>
    </row>
    <row r="64" spans="1:10">
      <c r="A64" s="268">
        <v>190</v>
      </c>
      <c r="B64" s="49" t="s">
        <v>891</v>
      </c>
      <c r="C64" s="49"/>
      <c r="D64" s="49">
        <v>678853</v>
      </c>
      <c r="E64" s="49"/>
      <c r="F64" s="49" t="s">
        <v>248</v>
      </c>
      <c r="G64" s="229">
        <f t="shared" si="2"/>
        <v>7.4044416484916623E-2</v>
      </c>
      <c r="H64" s="192"/>
      <c r="I64" s="49">
        <f t="shared" si="1"/>
        <v>50265.274264035106</v>
      </c>
      <c r="J64" s="41"/>
    </row>
    <row r="65" spans="1:10">
      <c r="A65" s="268">
        <v>190</v>
      </c>
      <c r="B65" s="49" t="s">
        <v>892</v>
      </c>
      <c r="C65" s="49"/>
      <c r="D65" s="49">
        <v>3232892</v>
      </c>
      <c r="E65" s="49"/>
      <c r="F65" s="49" t="s">
        <v>248</v>
      </c>
      <c r="G65" s="229">
        <f t="shared" si="2"/>
        <v>7.4044416484916623E-2</v>
      </c>
      <c r="H65" s="192"/>
      <c r="I65" s="49">
        <f t="shared" si="1"/>
        <v>239377.60169875508</v>
      </c>
      <c r="J65" s="41"/>
    </row>
    <row r="66" spans="1:10">
      <c r="A66" s="268">
        <v>190</v>
      </c>
      <c r="B66" s="49" t="s">
        <v>893</v>
      </c>
      <c r="C66" s="49"/>
      <c r="D66" s="49">
        <v>91014759</v>
      </c>
      <c r="E66" s="49"/>
      <c r="F66" s="49" t="s">
        <v>248</v>
      </c>
      <c r="G66" s="229">
        <f t="shared" si="2"/>
        <v>7.4044416484916623E-2</v>
      </c>
      <c r="H66" s="192"/>
      <c r="I66" s="49">
        <f t="shared" si="1"/>
        <v>6739134.7216703137</v>
      </c>
      <c r="J66" s="41"/>
    </row>
    <row r="67" spans="1:10">
      <c r="A67" s="268">
        <v>190</v>
      </c>
      <c r="B67" s="49" t="s">
        <v>894</v>
      </c>
      <c r="C67" s="49"/>
      <c r="D67" s="49">
        <v>-4171235</v>
      </c>
      <c r="E67" s="49"/>
      <c r="F67" s="49" t="s">
        <v>248</v>
      </c>
      <c r="G67" s="229">
        <f t="shared" si="2"/>
        <v>7.4044416484916623E-2</v>
      </c>
      <c r="H67" s="192"/>
      <c r="I67" s="49">
        <f t="shared" si="1"/>
        <v>-308856.6615964612</v>
      </c>
      <c r="J67" s="41"/>
    </row>
    <row r="68" spans="1:10">
      <c r="A68" s="268">
        <v>190</v>
      </c>
      <c r="B68" s="49" t="s">
        <v>895</v>
      </c>
      <c r="C68" s="49"/>
      <c r="D68" s="49">
        <v>8220245</v>
      </c>
      <c r="E68" s="49"/>
      <c r="F68" s="49" t="s">
        <v>248</v>
      </c>
      <c r="G68" s="229">
        <f t="shared" si="2"/>
        <v>7.4044416484916623E-2</v>
      </c>
      <c r="H68" s="192"/>
      <c r="I68" s="49">
        <f t="shared" si="1"/>
        <v>608663.24438805343</v>
      </c>
      <c r="J68" s="41"/>
    </row>
    <row r="69" spans="1:10">
      <c r="A69" s="268">
        <v>190</v>
      </c>
      <c r="B69" s="49" t="s">
        <v>896</v>
      </c>
      <c r="C69" s="49"/>
      <c r="D69" s="49">
        <f>16219723+11355</f>
        <v>16231078</v>
      </c>
      <c r="E69" s="49"/>
      <c r="F69" s="49" t="s">
        <v>249</v>
      </c>
      <c r="G69" s="229">
        <f t="shared" si="2"/>
        <v>0</v>
      </c>
      <c r="H69" s="192"/>
      <c r="I69" s="49">
        <f t="shared" si="1"/>
        <v>0</v>
      </c>
      <c r="J69" s="41"/>
    </row>
    <row r="70" spans="1:10">
      <c r="A70" s="268">
        <v>190</v>
      </c>
      <c r="B70" s="49" t="s">
        <v>897</v>
      </c>
      <c r="C70" s="49"/>
      <c r="D70" s="49">
        <v>-592697</v>
      </c>
      <c r="E70" s="49"/>
      <c r="F70" s="49" t="s">
        <v>248</v>
      </c>
      <c r="G70" s="229">
        <f t="shared" si="2"/>
        <v>7.4044416484916623E-2</v>
      </c>
      <c r="H70" s="192"/>
      <c r="I70" s="49">
        <f t="shared" si="1"/>
        <v>-43885.903517360624</v>
      </c>
      <c r="J70" s="41"/>
    </row>
    <row r="71" spans="1:10">
      <c r="A71" s="268">
        <v>190</v>
      </c>
      <c r="B71" s="49" t="s">
        <v>898</v>
      </c>
      <c r="C71" s="49"/>
      <c r="D71" s="49">
        <v>-13040506</v>
      </c>
      <c r="E71" s="49"/>
      <c r="F71" s="49" t="s">
        <v>251</v>
      </c>
      <c r="G71" s="229">
        <f t="shared" si="2"/>
        <v>0</v>
      </c>
      <c r="H71" s="192"/>
      <c r="I71" s="49">
        <f t="shared" si="1"/>
        <v>0</v>
      </c>
      <c r="J71" s="41"/>
    </row>
    <row r="72" spans="1:10">
      <c r="A72" s="268">
        <v>190</v>
      </c>
      <c r="B72" s="49" t="s">
        <v>899</v>
      </c>
      <c r="C72" s="49"/>
      <c r="D72" s="49">
        <v>-1286885</v>
      </c>
      <c r="E72" s="49"/>
      <c r="F72" s="49" t="s">
        <v>248</v>
      </c>
      <c r="G72" s="229">
        <f t="shared" si="2"/>
        <v>7.4044416484916623E-2</v>
      </c>
      <c r="H72" s="192"/>
      <c r="I72" s="49">
        <f t="shared" si="1"/>
        <v>-95286.648908191928</v>
      </c>
      <c r="J72" s="41"/>
    </row>
    <row r="73" spans="1:10">
      <c r="A73" s="268">
        <v>190</v>
      </c>
      <c r="B73" s="49" t="s">
        <v>900</v>
      </c>
      <c r="C73" s="49"/>
      <c r="D73" s="49">
        <f>738987+732925</f>
        <v>1471912</v>
      </c>
      <c r="E73" s="49"/>
      <c r="F73" s="49" t="s">
        <v>249</v>
      </c>
      <c r="G73" s="229">
        <f t="shared" si="2"/>
        <v>0</v>
      </c>
      <c r="H73" s="192"/>
      <c r="I73" s="49">
        <f t="shared" si="1"/>
        <v>0</v>
      </c>
      <c r="J73" s="41"/>
    </row>
    <row r="74" spans="1:10">
      <c r="A74" s="268">
        <v>190</v>
      </c>
      <c r="B74" s="49" t="s">
        <v>901</v>
      </c>
      <c r="C74" s="49"/>
      <c r="D74" s="49">
        <v>2112</v>
      </c>
      <c r="E74" s="49"/>
      <c r="F74" s="49" t="s">
        <v>251</v>
      </c>
      <c r="G74" s="229">
        <f t="shared" si="2"/>
        <v>0</v>
      </c>
      <c r="H74" s="192"/>
      <c r="I74" s="49">
        <f t="shared" si="1"/>
        <v>0</v>
      </c>
      <c r="J74" s="41"/>
    </row>
    <row r="75" spans="1:10">
      <c r="A75" s="268">
        <v>190</v>
      </c>
      <c r="B75" s="49" t="s">
        <v>902</v>
      </c>
      <c r="C75" s="49"/>
      <c r="D75" s="49">
        <v>-261716</v>
      </c>
      <c r="E75" s="49"/>
      <c r="F75" s="49" t="s">
        <v>249</v>
      </c>
      <c r="G75" s="229">
        <f t="shared" si="2"/>
        <v>0</v>
      </c>
      <c r="H75" s="192"/>
      <c r="I75" s="49">
        <f t="shared" si="1"/>
        <v>0</v>
      </c>
      <c r="J75" s="41"/>
    </row>
    <row r="76" spans="1:10">
      <c r="A76" s="268">
        <v>190</v>
      </c>
      <c r="B76" s="49" t="s">
        <v>903</v>
      </c>
      <c r="C76" s="49"/>
      <c r="D76" s="49">
        <v>79</v>
      </c>
      <c r="E76" s="49"/>
      <c r="F76" s="49" t="s">
        <v>37</v>
      </c>
      <c r="G76" s="229">
        <f t="shared" ref="G76" si="3">VLOOKUP(F76,ALLOCATORS,2,FALSE)</f>
        <v>0.16084552246971878</v>
      </c>
      <c r="H76" s="192"/>
      <c r="I76" s="49">
        <f t="shared" si="1"/>
        <v>12.706796275107784</v>
      </c>
      <c r="J76" s="41"/>
    </row>
    <row r="77" spans="1:10" ht="5.25" customHeight="1">
      <c r="A77" s="76"/>
      <c r="B77" s="41"/>
      <c r="C77" s="41"/>
      <c r="D77" s="41"/>
      <c r="E77" s="41"/>
      <c r="F77" s="41"/>
      <c r="G77" s="55"/>
      <c r="H77" s="41"/>
      <c r="I77" s="41"/>
      <c r="J77" s="41"/>
    </row>
    <row r="78" spans="1:10" ht="13.5" thickBot="1">
      <c r="A78" s="76"/>
      <c r="B78" s="71" t="s">
        <v>252</v>
      </c>
      <c r="C78" s="71"/>
      <c r="D78" s="77">
        <f>SUM(D12:D76)</f>
        <v>541048062</v>
      </c>
      <c r="E78" s="41"/>
      <c r="F78" s="41"/>
      <c r="G78" s="55"/>
      <c r="H78" s="41"/>
      <c r="I78" s="77">
        <f>SUM(I12:I76)</f>
        <v>15267224.98538154</v>
      </c>
      <c r="J78" s="169"/>
    </row>
    <row r="79" spans="1:10" ht="13.5" thickTop="1">
      <c r="A79" s="41"/>
      <c r="B79" s="41"/>
      <c r="C79" s="41"/>
      <c r="D79" s="41"/>
      <c r="E79" s="41"/>
      <c r="F79" s="41"/>
      <c r="G79" s="55"/>
      <c r="H79" s="41"/>
      <c r="I79" s="41"/>
      <c r="J79" s="41"/>
    </row>
    <row r="80" spans="1:10">
      <c r="A80" s="76"/>
      <c r="B80" s="71"/>
      <c r="C80" s="71"/>
      <c r="D80" s="78"/>
      <c r="E80" s="41"/>
      <c r="F80" s="41"/>
      <c r="G80" s="55"/>
      <c r="H80" s="41"/>
      <c r="I80" s="41"/>
      <c r="J80" s="41"/>
    </row>
    <row r="81" spans="1:10">
      <c r="A81" s="76"/>
      <c r="B81" s="71"/>
      <c r="C81" s="71"/>
      <c r="D81" s="78"/>
      <c r="E81" s="41"/>
      <c r="F81" s="41"/>
      <c r="G81" s="55"/>
      <c r="H81" s="41"/>
      <c r="I81" s="41"/>
      <c r="J81" s="41"/>
    </row>
    <row r="82" spans="1:10">
      <c r="A82" s="41"/>
      <c r="B82" s="41"/>
      <c r="C82" s="41"/>
      <c r="D82" s="41"/>
      <c r="E82" s="41"/>
      <c r="F82" s="41"/>
      <c r="G82" s="55"/>
      <c r="H82" s="41"/>
      <c r="I82" s="41"/>
      <c r="J82" s="41"/>
    </row>
    <row r="83" spans="1:10">
      <c r="A83" s="41"/>
      <c r="B83" s="41"/>
      <c r="C83" s="41"/>
      <c r="D83" s="41"/>
      <c r="E83" s="41"/>
      <c r="F83" s="41"/>
      <c r="G83" s="55"/>
      <c r="H83" s="41"/>
      <c r="I83" s="41"/>
      <c r="J83" s="41"/>
    </row>
    <row r="84" spans="1:10">
      <c r="A84" s="41"/>
      <c r="B84" s="41"/>
      <c r="C84" s="41"/>
      <c r="D84" s="41"/>
      <c r="E84" s="41"/>
      <c r="F84" s="41"/>
      <c r="G84" s="41"/>
      <c r="H84" s="41"/>
      <c r="I84" s="41"/>
      <c r="J84" s="41"/>
    </row>
    <row r="85" spans="1:10">
      <c r="A85" s="41"/>
      <c r="B85" s="41"/>
      <c r="C85" s="41"/>
      <c r="D85" s="41"/>
      <c r="E85" s="41"/>
      <c r="F85" s="41"/>
      <c r="G85" s="41"/>
      <c r="H85" s="41"/>
      <c r="I85" s="41"/>
      <c r="J85" s="41"/>
    </row>
    <row r="86" spans="1:10">
      <c r="A86" s="41"/>
      <c r="B86" s="41"/>
      <c r="C86" s="41"/>
      <c r="D86" s="41"/>
      <c r="E86" s="41"/>
      <c r="F86" s="41"/>
      <c r="G86" s="41"/>
      <c r="H86" s="41"/>
      <c r="I86" s="41"/>
      <c r="J86" s="41"/>
    </row>
    <row r="87" spans="1:10">
      <c r="E87" s="20" t="s">
        <v>250</v>
      </c>
      <c r="F87" s="44">
        <v>0</v>
      </c>
      <c r="G87" s="15"/>
    </row>
    <row r="88" spans="1:10">
      <c r="E88" s="20" t="s">
        <v>41</v>
      </c>
      <c r="F88" s="44"/>
      <c r="G88" s="15"/>
    </row>
    <row r="89" spans="1:10">
      <c r="E89" s="20" t="s">
        <v>248</v>
      </c>
      <c r="F89" s="44"/>
      <c r="G89" s="15"/>
      <c r="I89" s="1"/>
    </row>
    <row r="90" spans="1:10">
      <c r="E90" s="20" t="s">
        <v>251</v>
      </c>
      <c r="F90" s="44"/>
      <c r="G90" s="15"/>
    </row>
    <row r="91" spans="1:10">
      <c r="E91" s="20" t="s">
        <v>37</v>
      </c>
      <c r="F91" s="44"/>
      <c r="G91" s="15"/>
    </row>
    <row r="92" spans="1:10">
      <c r="E92" s="20" t="s">
        <v>249</v>
      </c>
      <c r="F92" s="44"/>
      <c r="G92" s="15"/>
    </row>
    <row r="93" spans="1:10">
      <c r="E93" s="20" t="s">
        <v>247</v>
      </c>
      <c r="F93" s="44"/>
      <c r="G93" s="15"/>
    </row>
    <row r="94" spans="1:10">
      <c r="E94" s="20" t="s">
        <v>51</v>
      </c>
      <c r="F94" s="44"/>
      <c r="G94" s="15"/>
    </row>
  </sheetData>
  <mergeCells count="4">
    <mergeCell ref="I1:J1"/>
    <mergeCell ref="I3:J3"/>
    <mergeCell ref="A5:I5"/>
    <mergeCell ref="A6:I6"/>
  </mergeCells>
  <printOptions horizontalCentered="1"/>
  <pageMargins left="0.5" right="0.5" top="0.5" bottom="0.5" header="0.5" footer="0.5"/>
  <pageSetup scale="74"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J63"/>
  <sheetViews>
    <sheetView workbookViewId="0">
      <selection activeCell="K20" sqref="K20"/>
    </sheetView>
  </sheetViews>
  <sheetFormatPr defaultRowHeight="12.75"/>
  <cols>
    <col min="1" max="1" width="9.7109375" customWidth="1"/>
    <col min="2" max="2" width="41.28515625" customWidth="1"/>
    <col min="3" max="3" width="3.7109375" customWidth="1"/>
    <col min="4" max="4" width="17.42578125" customWidth="1"/>
    <col min="5" max="5" width="3.7109375" customWidth="1"/>
    <col min="7" max="7" width="9.28515625" bestFit="1" customWidth="1"/>
    <col min="8" max="8" width="3.7109375" customWidth="1"/>
    <col min="9" max="9" width="12.28515625" bestFit="1" customWidth="1"/>
  </cols>
  <sheetData>
    <row r="1" spans="1:10" ht="15">
      <c r="A1" s="41"/>
      <c r="B1" s="41"/>
      <c r="C1" s="41"/>
      <c r="D1" s="41"/>
      <c r="E1" s="41"/>
      <c r="F1" s="41"/>
      <c r="G1" s="41"/>
      <c r="H1" s="41"/>
      <c r="I1" s="306" t="s">
        <v>196</v>
      </c>
      <c r="J1" s="306"/>
    </row>
    <row r="2" spans="1:10" ht="15">
      <c r="A2" s="41"/>
      <c r="B2" s="41"/>
      <c r="C2" s="41"/>
      <c r="D2" s="41"/>
      <c r="E2" s="41"/>
      <c r="F2" s="41"/>
      <c r="G2" s="41"/>
      <c r="H2" s="41"/>
      <c r="I2" s="206" t="s">
        <v>905</v>
      </c>
      <c r="J2" s="33"/>
    </row>
    <row r="3" spans="1:10">
      <c r="A3" s="41"/>
      <c r="B3" s="70"/>
      <c r="C3" s="70"/>
      <c r="D3" s="41"/>
      <c r="E3" s="41"/>
      <c r="F3" s="41"/>
      <c r="G3" s="41"/>
      <c r="H3" s="41"/>
      <c r="I3" s="324" t="str">
        <f>"Year Ending 12/31/"&amp;_YR</f>
        <v>Year Ending 12/31/2010</v>
      </c>
      <c r="J3" s="325"/>
    </row>
    <row r="4" spans="1:10">
      <c r="A4" s="41"/>
      <c r="B4" s="70"/>
      <c r="C4" s="70"/>
      <c r="D4" s="41"/>
      <c r="E4" s="41"/>
      <c r="F4" s="41"/>
      <c r="G4" s="41"/>
      <c r="H4" s="41"/>
      <c r="I4" s="99"/>
      <c r="J4" s="99"/>
    </row>
    <row r="5" spans="1:10">
      <c r="A5" s="331" t="s">
        <v>135</v>
      </c>
      <c r="B5" s="332"/>
      <c r="C5" s="332"/>
      <c r="D5" s="332"/>
      <c r="E5" s="332"/>
      <c r="F5" s="332"/>
      <c r="G5" s="332"/>
      <c r="H5" s="332"/>
      <c r="I5" s="332"/>
      <c r="J5" s="99"/>
    </row>
    <row r="6" spans="1:10">
      <c r="A6" s="331" t="s">
        <v>398</v>
      </c>
      <c r="B6" s="332"/>
      <c r="C6" s="332"/>
      <c r="D6" s="332"/>
      <c r="E6" s="332"/>
      <c r="F6" s="332"/>
      <c r="G6" s="332"/>
      <c r="H6" s="332"/>
      <c r="I6" s="332"/>
      <c r="J6" s="99"/>
    </row>
    <row r="7" spans="1:10">
      <c r="A7" s="41"/>
      <c r="B7" s="70"/>
      <c r="C7" s="70"/>
      <c r="D7" s="41"/>
      <c r="E7" s="41"/>
      <c r="F7" s="41"/>
      <c r="G7" s="41"/>
      <c r="H7" s="41"/>
      <c r="I7" s="99"/>
      <c r="J7" s="99"/>
    </row>
    <row r="8" spans="1:10">
      <c r="A8" s="71"/>
      <c r="B8" s="72"/>
      <c r="C8" s="72"/>
      <c r="D8" s="72"/>
      <c r="E8" s="73"/>
      <c r="F8" s="73"/>
      <c r="G8" s="73"/>
      <c r="H8" s="73"/>
      <c r="I8" s="73"/>
      <c r="J8" s="73"/>
    </row>
    <row r="9" spans="1:10">
      <c r="A9" s="71"/>
      <c r="B9" s="72"/>
      <c r="C9" s="72"/>
      <c r="D9" s="91" t="s">
        <v>243</v>
      </c>
      <c r="E9" s="73"/>
      <c r="F9" s="74" t="s">
        <v>23</v>
      </c>
      <c r="G9" s="74" t="s">
        <v>244</v>
      </c>
      <c r="H9" s="74"/>
      <c r="I9" s="74" t="s">
        <v>245</v>
      </c>
      <c r="J9" s="73"/>
    </row>
    <row r="10" spans="1:10">
      <c r="A10" s="71" t="s">
        <v>246</v>
      </c>
      <c r="B10" s="71" t="s">
        <v>3</v>
      </c>
      <c r="C10" s="75"/>
      <c r="D10" s="165" t="str">
        <f>"Tax at 12/31/"&amp;_YR-1</f>
        <v>Tax at 12/31/2009</v>
      </c>
      <c r="E10" s="41"/>
      <c r="F10" s="41"/>
      <c r="G10" s="41"/>
      <c r="H10" s="41"/>
      <c r="I10" s="41"/>
      <c r="J10" s="41"/>
    </row>
    <row r="11" spans="1:10">
      <c r="A11" s="71"/>
      <c r="B11" s="71"/>
      <c r="C11" s="75"/>
      <c r="D11" s="165"/>
      <c r="E11" s="41"/>
      <c r="F11" s="41"/>
      <c r="G11" s="41"/>
      <c r="H11" s="41"/>
      <c r="I11" s="41"/>
      <c r="J11" s="41"/>
    </row>
    <row r="12" spans="1:10">
      <c r="A12" s="268">
        <v>281</v>
      </c>
      <c r="B12" s="49" t="s">
        <v>906</v>
      </c>
      <c r="C12" s="49"/>
      <c r="D12" s="49">
        <v>-3757590</v>
      </c>
      <c r="E12" s="49"/>
      <c r="F12" s="49" t="s">
        <v>249</v>
      </c>
      <c r="G12" s="229">
        <f>VLOOKUP(F12,ALLOCATORS,2,FALSE)</f>
        <v>0</v>
      </c>
      <c r="H12" s="192"/>
      <c r="I12" s="49">
        <f>D12*G12</f>
        <v>0</v>
      </c>
      <c r="J12" s="41"/>
    </row>
    <row r="13" spans="1:10" ht="13.5" thickBot="1">
      <c r="A13" s="76"/>
      <c r="B13" s="71" t="s">
        <v>253</v>
      </c>
      <c r="C13" s="71"/>
      <c r="D13" s="77">
        <f>SUM(D12)</f>
        <v>-3757590</v>
      </c>
      <c r="E13" s="41"/>
      <c r="F13" s="41"/>
      <c r="G13" s="55"/>
      <c r="H13" s="41"/>
      <c r="I13" s="77">
        <f>SUM(I12)</f>
        <v>0</v>
      </c>
      <c r="J13" s="41"/>
    </row>
    <row r="14" spans="1:10" ht="13.5" thickTop="1">
      <c r="A14" s="76"/>
      <c r="B14" s="41"/>
      <c r="C14" s="41"/>
      <c r="D14" s="41"/>
      <c r="E14" s="41"/>
      <c r="F14" s="41"/>
      <c r="G14" s="55"/>
      <c r="H14" s="41"/>
      <c r="I14" s="41"/>
      <c r="J14" s="41"/>
    </row>
    <row r="15" spans="1:10">
      <c r="A15" s="268">
        <v>282</v>
      </c>
      <c r="B15" s="49" t="s">
        <v>907</v>
      </c>
      <c r="C15" s="49"/>
      <c r="D15" s="49">
        <v>-808386480</v>
      </c>
      <c r="E15" s="49"/>
      <c r="F15" s="49" t="s">
        <v>37</v>
      </c>
      <c r="G15" s="229">
        <f>VLOOKUP(F15,ALLOCATORS,2,FALSE)</f>
        <v>0.16084552246971878</v>
      </c>
      <c r="H15" s="192"/>
      <c r="I15" s="49">
        <f>D15*G15</f>
        <v>-130025345.73305687</v>
      </c>
      <c r="J15" s="41"/>
    </row>
    <row r="16" spans="1:10">
      <c r="A16" s="268">
        <v>282</v>
      </c>
      <c r="B16" s="49" t="s">
        <v>908</v>
      </c>
      <c r="C16" s="49"/>
      <c r="D16" s="49">
        <v>163612698</v>
      </c>
      <c r="E16" s="49"/>
      <c r="F16" s="49" t="s">
        <v>247</v>
      </c>
      <c r="G16" s="229">
        <f>VLOOKUP(F16,ALLOCATORS,2,FALSE)</f>
        <v>0</v>
      </c>
      <c r="H16" s="192"/>
      <c r="I16" s="49">
        <f>D16*G16</f>
        <v>0</v>
      </c>
      <c r="J16" s="41"/>
    </row>
    <row r="17" spans="1:10">
      <c r="A17" s="268">
        <v>282</v>
      </c>
      <c r="B17" s="49" t="s">
        <v>909</v>
      </c>
      <c r="C17" s="49"/>
      <c r="D17" s="49">
        <v>-15409018</v>
      </c>
      <c r="E17" s="49"/>
      <c r="F17" s="49" t="s">
        <v>249</v>
      </c>
      <c r="G17" s="229">
        <f>VLOOKUP(F17,ALLOCATORS,2,FALSE)</f>
        <v>0</v>
      </c>
      <c r="H17" s="192"/>
      <c r="I17" s="49">
        <f>D17*G17</f>
        <v>0</v>
      </c>
      <c r="J17" s="41"/>
    </row>
    <row r="18" spans="1:10">
      <c r="A18" s="268">
        <v>282</v>
      </c>
      <c r="B18" s="49" t="s">
        <v>910</v>
      </c>
      <c r="C18" s="49"/>
      <c r="D18" s="49">
        <v>-1657</v>
      </c>
      <c r="E18" s="49"/>
      <c r="F18" s="49" t="s">
        <v>37</v>
      </c>
      <c r="G18" s="229">
        <f>VLOOKUP(F18,ALLOCATORS,2,FALSE)</f>
        <v>0.16084552246971878</v>
      </c>
      <c r="H18" s="192"/>
      <c r="I18" s="49">
        <f>D18*G18</f>
        <v>-266.52103073232405</v>
      </c>
      <c r="J18" s="41"/>
    </row>
    <row r="19" spans="1:10" ht="13.5" thickBot="1">
      <c r="A19" s="76"/>
      <c r="B19" s="71" t="s">
        <v>254</v>
      </c>
      <c r="C19" s="71"/>
      <c r="D19" s="77">
        <f>SUM(D15:D18)</f>
        <v>-660184457</v>
      </c>
      <c r="E19" s="41"/>
      <c r="F19" s="41"/>
      <c r="G19" s="55"/>
      <c r="H19" s="41"/>
      <c r="I19" s="77">
        <f>SUM(I15:I18)</f>
        <v>-130025612.25408761</v>
      </c>
      <c r="J19" s="169"/>
    </row>
    <row r="20" spans="1:10" ht="13.5" thickTop="1">
      <c r="A20" s="76"/>
      <c r="B20" s="41"/>
      <c r="C20" s="41"/>
      <c r="D20" s="41"/>
      <c r="E20" s="41"/>
      <c r="F20" s="41"/>
      <c r="G20" s="55"/>
      <c r="H20" s="41"/>
      <c r="I20" s="41"/>
      <c r="J20" s="41"/>
    </row>
    <row r="21" spans="1:10">
      <c r="A21" s="268">
        <v>283</v>
      </c>
      <c r="B21" s="269" t="s">
        <v>911</v>
      </c>
      <c r="C21" s="49"/>
      <c r="D21" s="49">
        <v>-4406327</v>
      </c>
      <c r="E21" s="49"/>
      <c r="F21" s="49" t="s">
        <v>249</v>
      </c>
      <c r="G21" s="229">
        <f t="shared" ref="G21:G43" si="0">VLOOKUP(F21,ALLOCATORS,2,FALSE)</f>
        <v>0</v>
      </c>
      <c r="H21" s="192"/>
      <c r="I21" s="49">
        <f t="shared" ref="I21:I43" si="1">D21*G21</f>
        <v>0</v>
      </c>
      <c r="J21" s="41"/>
    </row>
    <row r="22" spans="1:10">
      <c r="A22" s="268">
        <v>283</v>
      </c>
      <c r="B22" s="269" t="s">
        <v>912</v>
      </c>
      <c r="C22" s="49"/>
      <c r="D22" s="49">
        <v>-106573457</v>
      </c>
      <c r="E22" s="49"/>
      <c r="F22" s="49" t="s">
        <v>247</v>
      </c>
      <c r="G22" s="229">
        <f t="shared" si="0"/>
        <v>0</v>
      </c>
      <c r="H22" s="192"/>
      <c r="I22" s="49">
        <f t="shared" si="1"/>
        <v>0</v>
      </c>
      <c r="J22" s="41"/>
    </row>
    <row r="23" spans="1:10">
      <c r="A23" s="268">
        <v>283</v>
      </c>
      <c r="B23" s="269" t="s">
        <v>913</v>
      </c>
      <c r="C23" s="49"/>
      <c r="D23" s="49">
        <v>-1710689</v>
      </c>
      <c r="E23" s="49"/>
      <c r="F23" s="49" t="s">
        <v>247</v>
      </c>
      <c r="G23" s="229">
        <f t="shared" si="0"/>
        <v>0</v>
      </c>
      <c r="H23" s="192"/>
      <c r="I23" s="49">
        <f t="shared" si="1"/>
        <v>0</v>
      </c>
      <c r="J23" s="41"/>
    </row>
    <row r="24" spans="1:10">
      <c r="A24" s="268">
        <v>283</v>
      </c>
      <c r="B24" s="269" t="s">
        <v>914</v>
      </c>
      <c r="C24" s="49"/>
      <c r="D24" s="49">
        <v>-17594322</v>
      </c>
      <c r="E24" s="49"/>
      <c r="F24" s="49" t="s">
        <v>247</v>
      </c>
      <c r="G24" s="229">
        <f t="shared" si="0"/>
        <v>0</v>
      </c>
      <c r="H24" s="192"/>
      <c r="I24" s="49">
        <f t="shared" si="1"/>
        <v>0</v>
      </c>
      <c r="J24" s="41"/>
    </row>
    <row r="25" spans="1:10">
      <c r="A25" s="268">
        <v>283</v>
      </c>
      <c r="B25" s="269" t="s">
        <v>915</v>
      </c>
      <c r="C25" s="49"/>
      <c r="D25" s="49">
        <v>-44062589</v>
      </c>
      <c r="E25" s="49"/>
      <c r="F25" s="49" t="s">
        <v>249</v>
      </c>
      <c r="G25" s="229">
        <f t="shared" si="0"/>
        <v>0</v>
      </c>
      <c r="H25" s="192"/>
      <c r="I25" s="49">
        <f t="shared" si="1"/>
        <v>0</v>
      </c>
      <c r="J25" s="41"/>
    </row>
    <row r="26" spans="1:10">
      <c r="A26" s="268">
        <v>283</v>
      </c>
      <c r="B26" s="49" t="s">
        <v>916</v>
      </c>
      <c r="C26" s="49"/>
      <c r="D26" s="49">
        <v>-134119510</v>
      </c>
      <c r="E26" s="49"/>
      <c r="F26" s="49" t="s">
        <v>249</v>
      </c>
      <c r="G26" s="229">
        <f t="shared" si="0"/>
        <v>0</v>
      </c>
      <c r="H26" s="192"/>
      <c r="I26" s="49">
        <f t="shared" si="1"/>
        <v>0</v>
      </c>
      <c r="J26" s="41"/>
    </row>
    <row r="27" spans="1:10">
      <c r="A27" s="268">
        <v>283</v>
      </c>
      <c r="B27" s="49" t="s">
        <v>917</v>
      </c>
      <c r="C27" s="49"/>
      <c r="D27" s="49">
        <v>-173855361</v>
      </c>
      <c r="E27" s="49"/>
      <c r="F27" s="49" t="s">
        <v>251</v>
      </c>
      <c r="G27" s="229">
        <f t="shared" si="0"/>
        <v>0</v>
      </c>
      <c r="H27" s="192"/>
      <c r="I27" s="49">
        <f t="shared" si="1"/>
        <v>0</v>
      </c>
      <c r="J27" s="41"/>
    </row>
    <row r="28" spans="1:10">
      <c r="A28" s="268">
        <v>283</v>
      </c>
      <c r="B28" s="49" t="s">
        <v>918</v>
      </c>
      <c r="C28" s="49"/>
      <c r="D28" s="49">
        <v>-7445747</v>
      </c>
      <c r="E28" s="49"/>
      <c r="F28" s="49" t="s">
        <v>251</v>
      </c>
      <c r="G28" s="229">
        <f t="shared" si="0"/>
        <v>0</v>
      </c>
      <c r="H28" s="192"/>
      <c r="I28" s="49">
        <f t="shared" si="1"/>
        <v>0</v>
      </c>
      <c r="J28" s="41"/>
    </row>
    <row r="29" spans="1:10">
      <c r="A29" s="268">
        <v>283</v>
      </c>
      <c r="B29" s="269" t="s">
        <v>919</v>
      </c>
      <c r="C29" s="49"/>
      <c r="D29" s="49">
        <v>-7563291</v>
      </c>
      <c r="E29" s="49"/>
      <c r="F29" s="49" t="s">
        <v>249</v>
      </c>
      <c r="G29" s="229">
        <f t="shared" si="0"/>
        <v>0</v>
      </c>
      <c r="H29" s="192"/>
      <c r="I29" s="49">
        <f t="shared" si="1"/>
        <v>0</v>
      </c>
      <c r="J29" s="41"/>
    </row>
    <row r="30" spans="1:10">
      <c r="A30" s="268">
        <v>283</v>
      </c>
      <c r="B30" s="269" t="s">
        <v>918</v>
      </c>
      <c r="C30" s="49"/>
      <c r="D30" s="49">
        <v>-375576</v>
      </c>
      <c r="E30" s="49"/>
      <c r="F30" s="49" t="s">
        <v>247</v>
      </c>
      <c r="G30" s="229">
        <f t="shared" si="0"/>
        <v>0</v>
      </c>
      <c r="H30" s="192"/>
      <c r="I30" s="49">
        <f t="shared" si="1"/>
        <v>0</v>
      </c>
      <c r="J30" s="41"/>
    </row>
    <row r="31" spans="1:10">
      <c r="A31" s="268">
        <v>283</v>
      </c>
      <c r="B31" s="49" t="s">
        <v>920</v>
      </c>
      <c r="C31" s="49"/>
      <c r="D31" s="49">
        <v>-403768</v>
      </c>
      <c r="E31" s="49"/>
      <c r="F31" s="49" t="s">
        <v>37</v>
      </c>
      <c r="G31" s="229">
        <f t="shared" si="0"/>
        <v>0.16084552246971878</v>
      </c>
      <c r="H31" s="192"/>
      <c r="I31" s="49">
        <f t="shared" si="1"/>
        <v>-64944.274916553411</v>
      </c>
      <c r="J31" s="41"/>
    </row>
    <row r="32" spans="1:10">
      <c r="A32" s="268">
        <v>283</v>
      </c>
      <c r="B32" s="49" t="s">
        <v>921</v>
      </c>
      <c r="C32" s="49"/>
      <c r="D32" s="49">
        <v>-82211312</v>
      </c>
      <c r="E32" s="49"/>
      <c r="F32" s="49" t="s">
        <v>251</v>
      </c>
      <c r="G32" s="229">
        <f t="shared" si="0"/>
        <v>0</v>
      </c>
      <c r="H32" s="192"/>
      <c r="I32" s="49">
        <f t="shared" si="1"/>
        <v>0</v>
      </c>
      <c r="J32" s="41"/>
    </row>
    <row r="33" spans="1:10">
      <c r="A33" s="268">
        <v>283</v>
      </c>
      <c r="B33" s="49" t="s">
        <v>922</v>
      </c>
      <c r="C33" s="49"/>
      <c r="D33" s="49">
        <v>-856552</v>
      </c>
      <c r="E33" s="49"/>
      <c r="F33" s="49" t="s">
        <v>251</v>
      </c>
      <c r="G33" s="229">
        <f t="shared" si="0"/>
        <v>0</v>
      </c>
      <c r="H33" s="192"/>
      <c r="I33" s="49">
        <f t="shared" si="1"/>
        <v>0</v>
      </c>
      <c r="J33" s="41"/>
    </row>
    <row r="34" spans="1:10">
      <c r="A34" s="268">
        <v>283</v>
      </c>
      <c r="B34" s="49" t="s">
        <v>923</v>
      </c>
      <c r="C34" s="49"/>
      <c r="D34" s="49">
        <v>-3194348</v>
      </c>
      <c r="E34" s="49"/>
      <c r="F34" s="49" t="s">
        <v>924</v>
      </c>
      <c r="G34" s="229">
        <f t="shared" si="0"/>
        <v>1</v>
      </c>
      <c r="H34" s="192"/>
      <c r="I34" s="49">
        <f t="shared" si="1"/>
        <v>-3194348</v>
      </c>
      <c r="J34" s="41"/>
    </row>
    <row r="35" spans="1:10">
      <c r="A35" s="268">
        <v>283</v>
      </c>
      <c r="B35" s="49" t="s">
        <v>925</v>
      </c>
      <c r="C35" s="49"/>
      <c r="D35" s="49">
        <v>-41096</v>
      </c>
      <c r="E35" s="49"/>
      <c r="F35" s="49" t="s">
        <v>251</v>
      </c>
      <c r="G35" s="229">
        <f t="shared" si="0"/>
        <v>0</v>
      </c>
      <c r="H35" s="192"/>
      <c r="I35" s="49">
        <f t="shared" si="1"/>
        <v>0</v>
      </c>
      <c r="J35" s="41"/>
    </row>
    <row r="36" spans="1:10">
      <c r="A36" s="268">
        <v>283</v>
      </c>
      <c r="B36" s="49" t="s">
        <v>926</v>
      </c>
      <c r="C36" s="49"/>
      <c r="D36" s="49">
        <v>-602580</v>
      </c>
      <c r="E36" s="49"/>
      <c r="F36" s="49" t="s">
        <v>251</v>
      </c>
      <c r="G36" s="229">
        <f t="shared" si="0"/>
        <v>0</v>
      </c>
      <c r="H36" s="192"/>
      <c r="I36" s="49">
        <f t="shared" si="1"/>
        <v>0</v>
      </c>
      <c r="J36" s="41"/>
    </row>
    <row r="37" spans="1:10">
      <c r="A37" s="268">
        <v>283</v>
      </c>
      <c r="B37" s="49" t="s">
        <v>927</v>
      </c>
      <c r="C37" s="49"/>
      <c r="D37" s="49">
        <v>29319</v>
      </c>
      <c r="E37" s="49"/>
      <c r="F37" s="49" t="s">
        <v>37</v>
      </c>
      <c r="G37" s="229">
        <f t="shared" si="0"/>
        <v>0.16084552246971878</v>
      </c>
      <c r="H37" s="192"/>
      <c r="I37" s="49">
        <f t="shared" si="1"/>
        <v>4715.8298732896847</v>
      </c>
      <c r="J37" s="41"/>
    </row>
    <row r="38" spans="1:10">
      <c r="A38" s="268">
        <v>283</v>
      </c>
      <c r="B38" s="49" t="s">
        <v>885</v>
      </c>
      <c r="C38" s="49"/>
      <c r="D38" s="49">
        <v>-108393</v>
      </c>
      <c r="E38" s="49"/>
      <c r="F38" s="49" t="s">
        <v>251</v>
      </c>
      <c r="G38" s="229">
        <f t="shared" si="0"/>
        <v>0</v>
      </c>
      <c r="H38" s="192"/>
      <c r="I38" s="49">
        <f t="shared" si="1"/>
        <v>0</v>
      </c>
      <c r="J38" s="41"/>
    </row>
    <row r="39" spans="1:10">
      <c r="A39" s="268">
        <v>283</v>
      </c>
      <c r="B39" s="49" t="s">
        <v>928</v>
      </c>
      <c r="C39" s="49"/>
      <c r="D39" s="49">
        <v>-1089012</v>
      </c>
      <c r="E39" s="49"/>
      <c r="F39" s="49" t="s">
        <v>247</v>
      </c>
      <c r="G39" s="229">
        <f t="shared" si="0"/>
        <v>0</v>
      </c>
      <c r="H39" s="192"/>
      <c r="I39" s="49">
        <f t="shared" si="1"/>
        <v>0</v>
      </c>
      <c r="J39" s="41"/>
    </row>
    <row r="40" spans="1:10">
      <c r="A40" s="268">
        <v>283</v>
      </c>
      <c r="B40" s="49" t="s">
        <v>929</v>
      </c>
      <c r="C40" s="49"/>
      <c r="D40" s="49">
        <v>741301</v>
      </c>
      <c r="E40" s="49"/>
      <c r="F40" s="49" t="s">
        <v>249</v>
      </c>
      <c r="G40" s="229">
        <f t="shared" si="0"/>
        <v>0</v>
      </c>
      <c r="H40" s="192"/>
      <c r="I40" s="49">
        <f t="shared" si="1"/>
        <v>0</v>
      </c>
      <c r="J40" s="41"/>
    </row>
    <row r="41" spans="1:10">
      <c r="A41" s="268">
        <v>283</v>
      </c>
      <c r="B41" s="49" t="s">
        <v>930</v>
      </c>
      <c r="C41" s="49"/>
      <c r="D41" s="49">
        <v>-2092558</v>
      </c>
      <c r="E41" s="49"/>
      <c r="F41" s="49" t="s">
        <v>251</v>
      </c>
      <c r="G41" s="229">
        <f t="shared" si="0"/>
        <v>0</v>
      </c>
      <c r="H41" s="192"/>
      <c r="I41" s="49">
        <f t="shared" si="1"/>
        <v>0</v>
      </c>
      <c r="J41" s="41"/>
    </row>
    <row r="42" spans="1:10">
      <c r="A42" s="268">
        <v>283</v>
      </c>
      <c r="B42" s="49" t="s">
        <v>931</v>
      </c>
      <c r="C42" s="49"/>
      <c r="D42" s="49">
        <v>-110490</v>
      </c>
      <c r="E42" s="49"/>
      <c r="F42" s="49" t="s">
        <v>37</v>
      </c>
      <c r="G42" s="229">
        <f t="shared" si="0"/>
        <v>0.16084552246971878</v>
      </c>
      <c r="H42" s="192"/>
      <c r="I42" s="49">
        <f t="shared" si="1"/>
        <v>-17771.82177767923</v>
      </c>
      <c r="J42" s="41"/>
    </row>
    <row r="43" spans="1:10">
      <c r="A43" s="268">
        <v>283</v>
      </c>
      <c r="B43" s="49" t="s">
        <v>903</v>
      </c>
      <c r="C43" s="49"/>
      <c r="D43" s="49">
        <v>1</v>
      </c>
      <c r="E43" s="49"/>
      <c r="F43" s="49" t="s">
        <v>37</v>
      </c>
      <c r="G43" s="229">
        <f t="shared" si="0"/>
        <v>0.16084552246971878</v>
      </c>
      <c r="H43" s="192"/>
      <c r="I43" s="49">
        <f t="shared" si="1"/>
        <v>0.16084552246971878</v>
      </c>
      <c r="J43" s="41"/>
    </row>
    <row r="44" spans="1:10">
      <c r="A44" s="76"/>
      <c r="B44" s="41"/>
      <c r="C44" s="41"/>
      <c r="D44" s="41"/>
      <c r="E44" s="41"/>
      <c r="F44" s="41"/>
      <c r="G44" s="55"/>
      <c r="H44" s="41"/>
      <c r="I44" s="41"/>
      <c r="J44" s="41"/>
    </row>
    <row r="45" spans="1:10" ht="13.5" thickBot="1">
      <c r="A45" s="76"/>
      <c r="B45" s="71" t="s">
        <v>255</v>
      </c>
      <c r="C45" s="71"/>
      <c r="D45" s="77">
        <f>SUM(D21:D43)</f>
        <v>-587646357</v>
      </c>
      <c r="E45" s="41"/>
      <c r="F45" s="41"/>
      <c r="G45" s="55"/>
      <c r="H45" s="41"/>
      <c r="I45" s="77">
        <f>SUM(I21:I43)</f>
        <v>-3272348.1059754202</v>
      </c>
      <c r="J45" s="169"/>
    </row>
    <row r="46" spans="1:10" ht="13.5" thickTop="1">
      <c r="A46" s="76"/>
      <c r="B46" s="71"/>
      <c r="C46" s="71"/>
      <c r="D46" s="78"/>
      <c r="E46" s="41"/>
      <c r="F46" s="41"/>
      <c r="G46" s="55"/>
      <c r="H46" s="41"/>
      <c r="I46" s="41"/>
      <c r="J46" s="41"/>
    </row>
    <row r="47" spans="1:10" ht="13.5" thickBot="1">
      <c r="A47" s="41"/>
      <c r="B47" s="77" t="s">
        <v>256</v>
      </c>
      <c r="C47" s="77"/>
      <c r="D47" s="77">
        <f>SUM('PEF -5 p1 PY ADIT 190'!D78,D13,D19,D45)</f>
        <v>-710540342</v>
      </c>
      <c r="E47" s="41"/>
      <c r="F47" s="41"/>
      <c r="G47" s="55"/>
      <c r="H47" s="41"/>
      <c r="I47" s="77">
        <f>SUM('PEF -5 p1 PY ADIT 190'!I78,I13,I19,I45)</f>
        <v>-118030735.37468149</v>
      </c>
      <c r="J47" s="41"/>
    </row>
    <row r="48" spans="1:10" ht="13.5" thickTop="1">
      <c r="A48" s="41"/>
      <c r="B48" s="41"/>
      <c r="C48" s="41"/>
      <c r="D48" s="41"/>
      <c r="E48" s="41"/>
      <c r="F48" s="41"/>
      <c r="G48" s="55"/>
      <c r="H48" s="41"/>
      <c r="I48" s="41"/>
      <c r="J48" s="41"/>
    </row>
    <row r="49" spans="1:10">
      <c r="A49" s="76"/>
      <c r="B49" s="71"/>
      <c r="C49" s="71"/>
      <c r="D49" s="78"/>
      <c r="E49" s="41"/>
      <c r="F49" s="41"/>
      <c r="G49" s="55"/>
      <c r="H49" s="41"/>
      <c r="I49" s="41"/>
      <c r="J49" s="41"/>
    </row>
    <row r="50" spans="1:10">
      <c r="A50" s="76"/>
      <c r="B50" s="71"/>
      <c r="C50" s="71"/>
      <c r="D50" s="78"/>
      <c r="E50" s="41"/>
      <c r="F50" s="41"/>
      <c r="G50" s="55"/>
      <c r="H50" s="41"/>
      <c r="I50" s="41"/>
      <c r="J50" s="41"/>
    </row>
    <row r="51" spans="1:10">
      <c r="A51" s="41"/>
      <c r="B51" s="41"/>
      <c r="C51" s="41"/>
      <c r="D51" s="41"/>
      <c r="E51" s="41"/>
      <c r="F51" s="41"/>
      <c r="G51" s="55"/>
      <c r="H51" s="41"/>
      <c r="I51" s="41"/>
      <c r="J51" s="41"/>
    </row>
    <row r="52" spans="1:10">
      <c r="A52" s="41"/>
      <c r="B52" s="41"/>
      <c r="C52" s="41"/>
      <c r="D52" s="41"/>
      <c r="E52" s="41"/>
      <c r="F52" s="41"/>
      <c r="G52" s="55"/>
      <c r="H52" s="41"/>
      <c r="I52" s="41"/>
      <c r="J52" s="41"/>
    </row>
    <row r="53" spans="1:10">
      <c r="A53" s="41"/>
      <c r="B53" s="41"/>
      <c r="C53" s="41"/>
      <c r="D53" s="41"/>
      <c r="E53" s="41"/>
      <c r="F53" s="41"/>
      <c r="G53" s="41"/>
      <c r="H53" s="41"/>
      <c r="I53" s="41"/>
      <c r="J53" s="41"/>
    </row>
    <row r="54" spans="1:10">
      <c r="A54" s="41"/>
      <c r="B54" s="41"/>
      <c r="C54" s="41"/>
      <c r="D54" s="41"/>
      <c r="E54" s="41"/>
      <c r="F54" s="41"/>
      <c r="G54" s="41"/>
      <c r="H54" s="41"/>
      <c r="I54" s="41"/>
      <c r="J54" s="41"/>
    </row>
    <row r="55" spans="1:10">
      <c r="A55" s="41"/>
      <c r="B55" s="41"/>
      <c r="C55" s="41"/>
      <c r="D55" s="41"/>
      <c r="E55" s="41"/>
      <c r="F55" s="41"/>
      <c r="G55" s="41"/>
      <c r="H55" s="41"/>
      <c r="I55" s="41"/>
      <c r="J55" s="41"/>
    </row>
    <row r="56" spans="1:10">
      <c r="E56" s="20" t="s">
        <v>250</v>
      </c>
      <c r="F56" s="44">
        <v>0</v>
      </c>
      <c r="G56" s="15"/>
    </row>
    <row r="57" spans="1:10">
      <c r="E57" s="20" t="s">
        <v>41</v>
      </c>
      <c r="F57" s="44"/>
      <c r="G57" s="15"/>
    </row>
    <row r="58" spans="1:10">
      <c r="E58" s="20" t="s">
        <v>248</v>
      </c>
      <c r="F58" s="44"/>
      <c r="G58" s="15"/>
      <c r="I58" s="1"/>
    </row>
    <row r="59" spans="1:10">
      <c r="E59" s="20" t="s">
        <v>251</v>
      </c>
      <c r="F59" s="44"/>
      <c r="G59" s="15"/>
    </row>
    <row r="60" spans="1:10">
      <c r="E60" s="20" t="s">
        <v>37</v>
      </c>
      <c r="F60" s="44"/>
      <c r="G60" s="15"/>
    </row>
    <row r="61" spans="1:10">
      <c r="E61" s="20" t="s">
        <v>249</v>
      </c>
      <c r="F61" s="44"/>
      <c r="G61" s="15"/>
    </row>
    <row r="62" spans="1:10">
      <c r="E62" s="20" t="s">
        <v>247</v>
      </c>
      <c r="F62" s="44"/>
      <c r="G62" s="15"/>
    </row>
    <row r="63" spans="1:10">
      <c r="E63" s="20" t="s">
        <v>51</v>
      </c>
      <c r="F63" s="44"/>
      <c r="G63" s="15"/>
    </row>
  </sheetData>
  <mergeCells count="4">
    <mergeCell ref="I1:J1"/>
    <mergeCell ref="I3:J3"/>
    <mergeCell ref="A5:I5"/>
    <mergeCell ref="A6:I6"/>
  </mergeCells>
  <phoneticPr fontId="15" type="noConversion"/>
  <pageMargins left="0.75" right="0.75" top="1" bottom="1" header="0.5" footer="0.5"/>
  <pageSetup scale="76" fitToHeight="2"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J84"/>
  <sheetViews>
    <sheetView topLeftCell="A49" workbookViewId="0">
      <selection activeCell="A6" sqref="A6:I6"/>
    </sheetView>
  </sheetViews>
  <sheetFormatPr defaultRowHeight="12.75"/>
  <cols>
    <col min="1" max="1" width="8.85546875" customWidth="1"/>
    <col min="2" max="2" width="47.140625" customWidth="1"/>
    <col min="3" max="3" width="3.7109375" customWidth="1"/>
    <col min="4" max="4" width="21.7109375" bestFit="1" customWidth="1"/>
    <col min="5" max="5" width="3.7109375" customWidth="1"/>
    <col min="8" max="8" width="3.7109375" customWidth="1"/>
    <col min="9" max="9" width="11.28515625" bestFit="1" customWidth="1"/>
  </cols>
  <sheetData>
    <row r="1" spans="1:10" ht="15">
      <c r="A1" s="41"/>
      <c r="B1" s="41"/>
      <c r="C1" s="41"/>
      <c r="D1" s="41"/>
      <c r="E1" s="41"/>
      <c r="F1" s="41"/>
      <c r="G1" s="41"/>
      <c r="H1" s="41"/>
      <c r="I1" s="306" t="s">
        <v>196</v>
      </c>
      <c r="J1" s="306"/>
    </row>
    <row r="2" spans="1:10" ht="15">
      <c r="A2" s="41"/>
      <c r="B2" s="41"/>
      <c r="C2" s="41"/>
      <c r="D2" s="41"/>
      <c r="E2" s="41"/>
      <c r="F2" s="41"/>
      <c r="G2" s="41"/>
      <c r="H2" s="41"/>
      <c r="I2" s="206" t="s">
        <v>932</v>
      </c>
      <c r="J2" s="206"/>
    </row>
    <row r="3" spans="1:10">
      <c r="A3" s="41"/>
      <c r="B3" s="70"/>
      <c r="C3" s="70"/>
      <c r="D3" s="41"/>
      <c r="E3" s="41"/>
      <c r="F3" s="41"/>
      <c r="G3" s="41"/>
      <c r="H3" s="41"/>
      <c r="I3" s="324" t="str">
        <f>FF1_Year</f>
        <v>Year Ending 12/31/2010</v>
      </c>
      <c r="J3" s="325"/>
    </row>
    <row r="4" spans="1:10">
      <c r="A4" s="41"/>
      <c r="B4" s="70"/>
      <c r="C4" s="70"/>
      <c r="D4" s="41"/>
      <c r="E4" s="41"/>
      <c r="F4" s="41"/>
      <c r="G4" s="41"/>
      <c r="H4" s="41"/>
      <c r="I4" s="207"/>
      <c r="J4" s="207"/>
    </row>
    <row r="5" spans="1:10">
      <c r="A5" s="331" t="s">
        <v>135</v>
      </c>
      <c r="B5" s="332"/>
      <c r="C5" s="332"/>
      <c r="D5" s="332"/>
      <c r="E5" s="332"/>
      <c r="F5" s="332"/>
      <c r="G5" s="332"/>
      <c r="H5" s="332"/>
      <c r="I5" s="332"/>
      <c r="J5" s="207"/>
    </row>
    <row r="6" spans="1:10">
      <c r="A6" s="331" t="s">
        <v>399</v>
      </c>
      <c r="B6" s="332"/>
      <c r="C6" s="332"/>
      <c r="D6" s="332"/>
      <c r="E6" s="332"/>
      <c r="F6" s="332"/>
      <c r="G6" s="332"/>
      <c r="H6" s="332"/>
      <c r="I6" s="332"/>
      <c r="J6" s="207"/>
    </row>
    <row r="7" spans="1:10">
      <c r="A7" s="41"/>
      <c r="B7" s="70"/>
      <c r="C7" s="70"/>
      <c r="D7" s="41"/>
      <c r="E7" s="41"/>
      <c r="F7" s="41"/>
      <c r="G7" s="41"/>
      <c r="H7" s="41"/>
      <c r="I7" s="41"/>
      <c r="J7" s="41"/>
    </row>
    <row r="8" spans="1:10">
      <c r="A8" s="71"/>
      <c r="B8" s="72"/>
      <c r="C8" s="72"/>
      <c r="D8" s="72"/>
      <c r="E8" s="73"/>
      <c r="F8" s="73"/>
      <c r="G8" s="73"/>
      <c r="H8" s="73"/>
      <c r="I8" s="73"/>
      <c r="J8" s="73"/>
    </row>
    <row r="9" spans="1:10">
      <c r="A9" s="71"/>
      <c r="B9" s="72"/>
      <c r="C9" s="72"/>
      <c r="D9" s="209" t="s">
        <v>243</v>
      </c>
      <c r="E9" s="73"/>
      <c r="F9" s="74" t="s">
        <v>23</v>
      </c>
      <c r="G9" s="74" t="s">
        <v>244</v>
      </c>
      <c r="H9" s="74"/>
      <c r="I9" s="74" t="s">
        <v>245</v>
      </c>
      <c r="J9" s="73"/>
    </row>
    <row r="10" spans="1:10">
      <c r="A10" s="71" t="s">
        <v>246</v>
      </c>
      <c r="B10" s="71" t="s">
        <v>3</v>
      </c>
      <c r="C10" s="75"/>
      <c r="D10" s="209" t="str">
        <f>"Tax at 12/31/"&amp;_YR</f>
        <v>Tax at 12/31/2010</v>
      </c>
      <c r="E10" s="41"/>
      <c r="F10" s="41"/>
      <c r="G10" s="41"/>
      <c r="H10" s="41"/>
      <c r="I10" s="41"/>
      <c r="J10" s="41"/>
    </row>
    <row r="11" spans="1:10">
      <c r="A11" s="71"/>
      <c r="B11" s="71"/>
      <c r="C11" s="75"/>
      <c r="D11" s="209"/>
      <c r="E11" s="41"/>
      <c r="F11" s="41"/>
      <c r="G11" s="41"/>
      <c r="H11" s="41"/>
      <c r="I11" s="41"/>
      <c r="J11" s="41"/>
    </row>
    <row r="12" spans="1:10">
      <c r="A12" s="268">
        <v>190</v>
      </c>
      <c r="B12" s="49" t="s">
        <v>839</v>
      </c>
      <c r="C12" s="49"/>
      <c r="D12" s="49">
        <v>2893570</v>
      </c>
      <c r="E12" s="49"/>
      <c r="F12" s="49" t="s">
        <v>247</v>
      </c>
      <c r="G12" s="229">
        <f t="shared" ref="G12:G43" si="0">VLOOKUP(F12,ALLOCATORS,2,FALSE)</f>
        <v>0</v>
      </c>
      <c r="H12" s="192"/>
      <c r="I12" s="49">
        <f>D12*G12</f>
        <v>0</v>
      </c>
      <c r="J12" s="41"/>
    </row>
    <row r="13" spans="1:10">
      <c r="A13" s="268">
        <v>190</v>
      </c>
      <c r="B13" s="49" t="s">
        <v>840</v>
      </c>
      <c r="C13" s="49"/>
      <c r="D13" s="49">
        <v>-186694.73000000045</v>
      </c>
      <c r="E13" s="49"/>
      <c r="F13" s="49" t="s">
        <v>251</v>
      </c>
      <c r="G13" s="229">
        <f t="shared" si="0"/>
        <v>0</v>
      </c>
      <c r="H13" s="192"/>
      <c r="I13" s="49">
        <f t="shared" ref="I13:I76" si="1">D13*G13</f>
        <v>0</v>
      </c>
      <c r="J13" s="41"/>
    </row>
    <row r="14" spans="1:10">
      <c r="A14" s="268">
        <v>190</v>
      </c>
      <c r="B14" s="49" t="s">
        <v>841</v>
      </c>
      <c r="C14" s="49"/>
      <c r="D14" s="49">
        <v>209651</v>
      </c>
      <c r="E14" s="49"/>
      <c r="F14" s="49" t="s">
        <v>249</v>
      </c>
      <c r="G14" s="229">
        <f t="shared" si="0"/>
        <v>0</v>
      </c>
      <c r="H14" s="192"/>
      <c r="I14" s="49">
        <f t="shared" si="1"/>
        <v>0</v>
      </c>
      <c r="J14" s="41"/>
    </row>
    <row r="15" spans="1:10">
      <c r="A15" s="268">
        <v>190</v>
      </c>
      <c r="B15" s="49" t="s">
        <v>842</v>
      </c>
      <c r="C15" s="49"/>
      <c r="D15" s="49">
        <v>655775</v>
      </c>
      <c r="E15" s="49"/>
      <c r="F15" s="49" t="s">
        <v>37</v>
      </c>
      <c r="G15" s="229">
        <f t="shared" si="0"/>
        <v>0.16084552246971878</v>
      </c>
      <c r="H15" s="192"/>
      <c r="I15" s="49">
        <f t="shared" si="1"/>
        <v>105478.47249757983</v>
      </c>
      <c r="J15" s="41"/>
    </row>
    <row r="16" spans="1:10">
      <c r="A16" s="268">
        <v>190</v>
      </c>
      <c r="B16" s="49" t="s">
        <v>843</v>
      </c>
      <c r="C16" s="49"/>
      <c r="D16" s="49">
        <v>5431098</v>
      </c>
      <c r="E16" s="49"/>
      <c r="F16" s="49" t="s">
        <v>251</v>
      </c>
      <c r="G16" s="229">
        <f t="shared" si="0"/>
        <v>0</v>
      </c>
      <c r="H16" s="192"/>
      <c r="I16" s="49">
        <f t="shared" si="1"/>
        <v>0</v>
      </c>
      <c r="J16" s="41"/>
    </row>
    <row r="17" spans="1:10">
      <c r="A17" s="268">
        <v>190</v>
      </c>
      <c r="B17" s="49" t="s">
        <v>844</v>
      </c>
      <c r="C17" s="49"/>
      <c r="D17" s="49">
        <v>285274</v>
      </c>
      <c r="E17" s="49"/>
      <c r="F17" s="49" t="s">
        <v>248</v>
      </c>
      <c r="G17" s="229">
        <f t="shared" si="0"/>
        <v>7.4044416484916623E-2</v>
      </c>
      <c r="H17" s="192"/>
      <c r="I17" s="49">
        <f t="shared" si="1"/>
        <v>21122.946868318104</v>
      </c>
      <c r="J17" s="41"/>
    </row>
    <row r="18" spans="1:10">
      <c r="A18" s="268">
        <v>190</v>
      </c>
      <c r="B18" s="49" t="s">
        <v>845</v>
      </c>
      <c r="C18" s="49"/>
      <c r="D18" s="49">
        <v>0</v>
      </c>
      <c r="E18" s="49"/>
      <c r="F18" s="49" t="s">
        <v>248</v>
      </c>
      <c r="G18" s="229">
        <f t="shared" si="0"/>
        <v>7.4044416484916623E-2</v>
      </c>
      <c r="H18" s="192"/>
      <c r="I18" s="49">
        <f t="shared" si="1"/>
        <v>0</v>
      </c>
      <c r="J18" s="41"/>
    </row>
    <row r="19" spans="1:10">
      <c r="A19" s="268">
        <v>190</v>
      </c>
      <c r="B19" s="49" t="s">
        <v>846</v>
      </c>
      <c r="C19" s="49"/>
      <c r="D19" s="49">
        <v>1298449</v>
      </c>
      <c r="E19" s="49"/>
      <c r="F19" s="49" t="s">
        <v>248</v>
      </c>
      <c r="G19" s="229">
        <f t="shared" si="0"/>
        <v>7.4044416484916623E-2</v>
      </c>
      <c r="H19" s="192"/>
      <c r="I19" s="49">
        <f t="shared" si="1"/>
        <v>96142.898540423499</v>
      </c>
      <c r="J19" s="41"/>
    </row>
    <row r="20" spans="1:10">
      <c r="A20" s="268">
        <v>190</v>
      </c>
      <c r="B20" s="49" t="s">
        <v>847</v>
      </c>
      <c r="C20" s="49"/>
      <c r="D20" s="49">
        <v>1637429</v>
      </c>
      <c r="E20" s="49"/>
      <c r="F20" s="49" t="s">
        <v>248</v>
      </c>
      <c r="G20" s="229">
        <f t="shared" si="0"/>
        <v>7.4044416484916623E-2</v>
      </c>
      <c r="H20" s="192"/>
      <c r="I20" s="49">
        <f t="shared" si="1"/>
        <v>121242.47484048054</v>
      </c>
      <c r="J20" s="41"/>
    </row>
    <row r="21" spans="1:10">
      <c r="A21" s="268">
        <v>190</v>
      </c>
      <c r="B21" s="49" t="s">
        <v>848</v>
      </c>
      <c r="C21" s="49"/>
      <c r="D21" s="49">
        <v>238024</v>
      </c>
      <c r="E21" s="49"/>
      <c r="F21" s="49" t="s">
        <v>933</v>
      </c>
      <c r="G21" s="229">
        <f t="shared" si="0"/>
        <v>0</v>
      </c>
      <c r="H21" s="192"/>
      <c r="I21" s="49">
        <f t="shared" si="1"/>
        <v>0</v>
      </c>
      <c r="J21" s="41"/>
    </row>
    <row r="22" spans="1:10">
      <c r="A22" s="268">
        <v>190</v>
      </c>
      <c r="B22" s="270" t="s">
        <v>934</v>
      </c>
      <c r="C22" s="49"/>
      <c r="D22" s="49">
        <v>7430720</v>
      </c>
      <c r="E22" s="49"/>
      <c r="F22" s="49" t="s">
        <v>248</v>
      </c>
      <c r="G22" s="229">
        <f t="shared" si="0"/>
        <v>7.4044416484916623E-2</v>
      </c>
      <c r="H22" s="192"/>
      <c r="I22" s="49">
        <f t="shared" si="1"/>
        <v>550203.32646279968</v>
      </c>
      <c r="J22" s="41"/>
    </row>
    <row r="23" spans="1:10">
      <c r="A23" s="268">
        <v>190</v>
      </c>
      <c r="B23" s="49" t="s">
        <v>935</v>
      </c>
      <c r="C23" s="49"/>
      <c r="D23" s="49">
        <v>-4833063</v>
      </c>
      <c r="E23" s="49"/>
      <c r="F23" s="49" t="s">
        <v>249</v>
      </c>
      <c r="G23" s="229">
        <f t="shared" si="0"/>
        <v>0</v>
      </c>
      <c r="H23" s="192"/>
      <c r="I23" s="49">
        <f t="shared" si="1"/>
        <v>0</v>
      </c>
      <c r="J23" s="41"/>
    </row>
    <row r="24" spans="1:10">
      <c r="A24" s="268">
        <v>190</v>
      </c>
      <c r="B24" s="49" t="s">
        <v>936</v>
      </c>
      <c r="C24" s="49"/>
      <c r="D24" s="49">
        <v>1611331</v>
      </c>
      <c r="E24" s="49"/>
      <c r="F24" s="49" t="s">
        <v>251</v>
      </c>
      <c r="G24" s="229">
        <f t="shared" si="0"/>
        <v>0</v>
      </c>
      <c r="H24" s="192"/>
      <c r="I24" s="49">
        <f t="shared" si="1"/>
        <v>0</v>
      </c>
      <c r="J24" s="41"/>
    </row>
    <row r="25" spans="1:10">
      <c r="A25" s="268">
        <v>190</v>
      </c>
      <c r="B25" s="49" t="s">
        <v>852</v>
      </c>
      <c r="C25" s="49"/>
      <c r="D25" s="49">
        <v>59597568</v>
      </c>
      <c r="E25" s="49"/>
      <c r="F25" s="49" t="s">
        <v>247</v>
      </c>
      <c r="G25" s="229">
        <f t="shared" si="0"/>
        <v>0</v>
      </c>
      <c r="H25" s="192"/>
      <c r="I25" s="49">
        <f t="shared" si="1"/>
        <v>0</v>
      </c>
      <c r="J25" s="41"/>
    </row>
    <row r="26" spans="1:10">
      <c r="A26" s="268">
        <v>190</v>
      </c>
      <c r="B26" s="49" t="s">
        <v>853</v>
      </c>
      <c r="C26" s="49"/>
      <c r="D26" s="49">
        <v>2580783</v>
      </c>
      <c r="E26" s="49"/>
      <c r="F26" s="49" t="s">
        <v>248</v>
      </c>
      <c r="G26" s="229">
        <f t="shared" si="0"/>
        <v>7.4044416484916623E-2</v>
      </c>
      <c r="H26" s="192"/>
      <c r="I26" s="49">
        <f t="shared" si="1"/>
        <v>191092.57130919257</v>
      </c>
      <c r="J26" s="41"/>
    </row>
    <row r="27" spans="1:10">
      <c r="A27" s="268">
        <v>190</v>
      </c>
      <c r="B27" s="49" t="s">
        <v>854</v>
      </c>
      <c r="C27" s="49"/>
      <c r="D27" s="49">
        <v>211591</v>
      </c>
      <c r="E27" s="49"/>
      <c r="F27" s="49" t="s">
        <v>251</v>
      </c>
      <c r="G27" s="229">
        <f t="shared" si="0"/>
        <v>0</v>
      </c>
      <c r="H27" s="192"/>
      <c r="I27" s="49">
        <f t="shared" si="1"/>
        <v>0</v>
      </c>
      <c r="J27" s="41"/>
    </row>
    <row r="28" spans="1:10">
      <c r="A28" s="268">
        <v>190</v>
      </c>
      <c r="B28" s="49" t="s">
        <v>937</v>
      </c>
      <c r="C28" s="49"/>
      <c r="D28" s="49">
        <v>1646824</v>
      </c>
      <c r="E28" s="49"/>
      <c r="F28" s="49" t="s">
        <v>37</v>
      </c>
      <c r="G28" s="229">
        <f t="shared" si="0"/>
        <v>0.16084552246971878</v>
      </c>
      <c r="H28" s="192"/>
      <c r="I28" s="49">
        <f t="shared" si="1"/>
        <v>264884.26669567218</v>
      </c>
      <c r="J28" s="41"/>
    </row>
    <row r="29" spans="1:10">
      <c r="A29" s="268">
        <v>190</v>
      </c>
      <c r="B29" s="49" t="s">
        <v>938</v>
      </c>
      <c r="C29" s="49"/>
      <c r="D29" s="49">
        <v>8249293</v>
      </c>
      <c r="E29" s="49"/>
      <c r="F29" s="49" t="s">
        <v>37</v>
      </c>
      <c r="G29" s="229">
        <f t="shared" si="0"/>
        <v>0.16084552246971878</v>
      </c>
      <c r="H29" s="192"/>
      <c r="I29" s="49">
        <f t="shared" si="1"/>
        <v>1326861.842590794</v>
      </c>
      <c r="J29" s="41"/>
    </row>
    <row r="30" spans="1:10">
      <c r="A30" s="268">
        <v>190</v>
      </c>
      <c r="B30" s="49" t="s">
        <v>939</v>
      </c>
      <c r="C30" s="49"/>
      <c r="D30" s="49">
        <v>7548788</v>
      </c>
      <c r="E30" s="49"/>
      <c r="F30" s="49" t="s">
        <v>37</v>
      </c>
      <c r="G30" s="229">
        <f t="shared" si="0"/>
        <v>0.16084552246971878</v>
      </c>
      <c r="H30" s="192"/>
      <c r="I30" s="49">
        <f t="shared" si="1"/>
        <v>1214188.7498731436</v>
      </c>
      <c r="J30" s="41"/>
    </row>
    <row r="31" spans="1:10">
      <c r="A31" s="268">
        <v>190</v>
      </c>
      <c r="B31" s="49" t="s">
        <v>940</v>
      </c>
      <c r="C31" s="49"/>
      <c r="D31" s="49">
        <v>3545745</v>
      </c>
      <c r="E31" s="49"/>
      <c r="F31" s="49" t="s">
        <v>37</v>
      </c>
      <c r="G31" s="229">
        <f t="shared" si="0"/>
        <v>0.16084552246971878</v>
      </c>
      <c r="H31" s="192"/>
      <c r="I31" s="49">
        <f t="shared" si="1"/>
        <v>570317.20706939301</v>
      </c>
      <c r="J31" s="41"/>
    </row>
    <row r="32" spans="1:10">
      <c r="A32" s="268">
        <v>190</v>
      </c>
      <c r="B32" s="49" t="s">
        <v>941</v>
      </c>
      <c r="C32" s="49"/>
      <c r="D32" s="49">
        <v>955945</v>
      </c>
      <c r="E32" s="49"/>
      <c r="F32" s="49" t="s">
        <v>251</v>
      </c>
      <c r="G32" s="229">
        <f t="shared" si="0"/>
        <v>0</v>
      </c>
      <c r="H32" s="192"/>
      <c r="I32" s="49">
        <f t="shared" si="1"/>
        <v>0</v>
      </c>
      <c r="J32" s="41"/>
    </row>
    <row r="33" spans="1:10">
      <c r="A33" s="268">
        <v>190</v>
      </c>
      <c r="B33" s="49" t="s">
        <v>942</v>
      </c>
      <c r="C33" s="49"/>
      <c r="D33" s="49">
        <v>22810942</v>
      </c>
      <c r="E33" s="49"/>
      <c r="F33" s="49" t="s">
        <v>251</v>
      </c>
      <c r="G33" s="229">
        <f t="shared" si="0"/>
        <v>0</v>
      </c>
      <c r="H33" s="192"/>
      <c r="I33" s="49">
        <f t="shared" si="1"/>
        <v>0</v>
      </c>
      <c r="J33" s="41"/>
    </row>
    <row r="34" spans="1:10">
      <c r="A34" s="268">
        <v>190</v>
      </c>
      <c r="B34" s="49" t="s">
        <v>857</v>
      </c>
      <c r="C34" s="49"/>
      <c r="D34" s="49">
        <v>52447335</v>
      </c>
      <c r="E34" s="49"/>
      <c r="F34" s="49" t="s">
        <v>247</v>
      </c>
      <c r="G34" s="229">
        <f t="shared" si="0"/>
        <v>0</v>
      </c>
      <c r="H34" s="192"/>
      <c r="I34" s="49">
        <f t="shared" si="1"/>
        <v>0</v>
      </c>
      <c r="J34" s="41"/>
    </row>
    <row r="35" spans="1:10">
      <c r="A35" s="268">
        <v>190</v>
      </c>
      <c r="B35" s="49" t="s">
        <v>943</v>
      </c>
      <c r="C35" s="49"/>
      <c r="D35" s="49">
        <v>7870256</v>
      </c>
      <c r="E35" s="49"/>
      <c r="F35" s="49" t="s">
        <v>248</v>
      </c>
      <c r="G35" s="229">
        <f t="shared" si="0"/>
        <v>7.4044416484916623E-2</v>
      </c>
      <c r="H35" s="192"/>
      <c r="I35" s="49">
        <f t="shared" si="1"/>
        <v>582748.513106914</v>
      </c>
      <c r="J35" s="41"/>
    </row>
    <row r="36" spans="1:10">
      <c r="A36" s="268">
        <v>190</v>
      </c>
      <c r="B36" s="49" t="s">
        <v>944</v>
      </c>
      <c r="C36" s="49"/>
      <c r="D36" s="49">
        <v>365027</v>
      </c>
      <c r="E36" s="49"/>
      <c r="F36" s="49" t="s">
        <v>248</v>
      </c>
      <c r="G36" s="229">
        <f t="shared" si="0"/>
        <v>7.4044416484916623E-2</v>
      </c>
      <c r="H36" s="192"/>
      <c r="I36" s="49">
        <f t="shared" si="1"/>
        <v>27028.211216239659</v>
      </c>
      <c r="J36" s="41"/>
    </row>
    <row r="37" spans="1:10">
      <c r="A37" s="268">
        <v>190</v>
      </c>
      <c r="B37" s="49" t="s">
        <v>945</v>
      </c>
      <c r="C37" s="49"/>
      <c r="D37" s="49">
        <v>16971050</v>
      </c>
      <c r="E37" s="49"/>
      <c r="F37" s="49" t="s">
        <v>248</v>
      </c>
      <c r="G37" s="229">
        <f t="shared" si="0"/>
        <v>7.4044416484916623E-2</v>
      </c>
      <c r="H37" s="192"/>
      <c r="I37" s="49">
        <f t="shared" si="1"/>
        <v>1256611.4943863442</v>
      </c>
      <c r="J37" s="41"/>
    </row>
    <row r="38" spans="1:10">
      <c r="A38" s="268">
        <v>190</v>
      </c>
      <c r="B38" s="49" t="s">
        <v>861</v>
      </c>
      <c r="C38" s="49"/>
      <c r="D38" s="49">
        <v>4281839</v>
      </c>
      <c r="E38" s="49"/>
      <c r="F38" s="49" t="s">
        <v>249</v>
      </c>
      <c r="G38" s="229">
        <f t="shared" si="0"/>
        <v>0</v>
      </c>
      <c r="H38" s="192"/>
      <c r="I38" s="49">
        <f t="shared" si="1"/>
        <v>0</v>
      </c>
      <c r="J38" s="41"/>
    </row>
    <row r="39" spans="1:10">
      <c r="A39" s="268">
        <v>190</v>
      </c>
      <c r="B39" s="49" t="s">
        <v>862</v>
      </c>
      <c r="C39" s="49"/>
      <c r="D39" s="49">
        <v>5631952</v>
      </c>
      <c r="E39" s="49"/>
      <c r="F39" s="49" t="s">
        <v>249</v>
      </c>
      <c r="G39" s="229">
        <f t="shared" si="0"/>
        <v>0</v>
      </c>
      <c r="H39" s="192"/>
      <c r="I39" s="49">
        <f t="shared" si="1"/>
        <v>0</v>
      </c>
      <c r="J39" s="41"/>
    </row>
    <row r="40" spans="1:10">
      <c r="A40" s="268">
        <v>190</v>
      </c>
      <c r="B40" s="49" t="s">
        <v>863</v>
      </c>
      <c r="C40" s="49"/>
      <c r="D40" s="49">
        <v>5703871</v>
      </c>
      <c r="E40" s="49"/>
      <c r="F40" s="49" t="s">
        <v>249</v>
      </c>
      <c r="G40" s="229">
        <f t="shared" si="0"/>
        <v>0</v>
      </c>
      <c r="H40" s="192"/>
      <c r="I40" s="49">
        <f t="shared" si="1"/>
        <v>0</v>
      </c>
      <c r="J40" s="41"/>
    </row>
    <row r="41" spans="1:10">
      <c r="A41" s="268">
        <v>190</v>
      </c>
      <c r="B41" s="49" t="s">
        <v>864</v>
      </c>
      <c r="C41" s="49"/>
      <c r="D41" s="49">
        <v>516646</v>
      </c>
      <c r="E41" s="49"/>
      <c r="F41" s="49" t="s">
        <v>248</v>
      </c>
      <c r="G41" s="229">
        <f t="shared" si="0"/>
        <v>7.4044416484916623E-2</v>
      </c>
      <c r="H41" s="192"/>
      <c r="I41" s="49">
        <f t="shared" si="1"/>
        <v>38254.75159926623</v>
      </c>
      <c r="J41" s="41"/>
    </row>
    <row r="42" spans="1:10">
      <c r="A42" s="268">
        <v>190</v>
      </c>
      <c r="B42" s="49" t="s">
        <v>946</v>
      </c>
      <c r="C42" s="49"/>
      <c r="D42" s="49">
        <v>260308</v>
      </c>
      <c r="E42" s="49"/>
      <c r="F42" s="49" t="s">
        <v>248</v>
      </c>
      <c r="G42" s="229">
        <f t="shared" si="0"/>
        <v>7.4044416484916623E-2</v>
      </c>
      <c r="H42" s="192"/>
      <c r="I42" s="49">
        <f t="shared" si="1"/>
        <v>19274.353966355677</v>
      </c>
      <c r="J42" s="41"/>
    </row>
    <row r="43" spans="1:10">
      <c r="A43" s="268">
        <v>190</v>
      </c>
      <c r="B43" s="49" t="s">
        <v>866</v>
      </c>
      <c r="C43" s="49"/>
      <c r="D43" s="49">
        <v>8845656</v>
      </c>
      <c r="E43" s="49"/>
      <c r="F43" s="49" t="s">
        <v>249</v>
      </c>
      <c r="G43" s="229">
        <f t="shared" si="0"/>
        <v>0</v>
      </c>
      <c r="H43" s="192"/>
      <c r="I43" s="49">
        <f t="shared" si="1"/>
        <v>0</v>
      </c>
      <c r="J43" s="41"/>
    </row>
    <row r="44" spans="1:10">
      <c r="A44" s="268">
        <v>190</v>
      </c>
      <c r="B44" s="49" t="s">
        <v>867</v>
      </c>
      <c r="C44" s="49"/>
      <c r="D44" s="49">
        <v>1147833</v>
      </c>
      <c r="E44" s="49"/>
      <c r="F44" s="49" t="s">
        <v>248</v>
      </c>
      <c r="G44" s="229">
        <f t="shared" ref="G44:G75" si="2">VLOOKUP(F44,ALLOCATORS,2,FALSE)</f>
        <v>7.4044416484916623E-2</v>
      </c>
      <c r="H44" s="192"/>
      <c r="I44" s="49">
        <f t="shared" si="1"/>
        <v>84990.624707131297</v>
      </c>
      <c r="J44" s="41"/>
    </row>
    <row r="45" spans="1:10">
      <c r="A45" s="268">
        <v>190</v>
      </c>
      <c r="B45" s="49" t="s">
        <v>868</v>
      </c>
      <c r="C45" s="49"/>
      <c r="D45" s="49">
        <v>0</v>
      </c>
      <c r="E45" s="49"/>
      <c r="F45" s="49" t="s">
        <v>249</v>
      </c>
      <c r="G45" s="229">
        <f t="shared" si="2"/>
        <v>0</v>
      </c>
      <c r="H45" s="192"/>
      <c r="I45" s="49">
        <f t="shared" si="1"/>
        <v>0</v>
      </c>
      <c r="J45" s="41"/>
    </row>
    <row r="46" spans="1:10">
      <c r="A46" s="268">
        <v>190</v>
      </c>
      <c r="B46" s="49" t="s">
        <v>869</v>
      </c>
      <c r="C46" s="49"/>
      <c r="D46" s="49">
        <v>2261527</v>
      </c>
      <c r="E46" s="49"/>
      <c r="F46" s="49" t="s">
        <v>251</v>
      </c>
      <c r="G46" s="229">
        <f t="shared" si="2"/>
        <v>0</v>
      </c>
      <c r="H46" s="192"/>
      <c r="I46" s="49">
        <f t="shared" si="1"/>
        <v>0</v>
      </c>
      <c r="J46" s="41"/>
    </row>
    <row r="47" spans="1:10">
      <c r="A47" s="268">
        <v>190</v>
      </c>
      <c r="B47" s="49" t="s">
        <v>870</v>
      </c>
      <c r="C47" s="49"/>
      <c r="D47" s="49">
        <v>59466795</v>
      </c>
      <c r="E47" s="49"/>
      <c r="F47" s="49" t="s">
        <v>249</v>
      </c>
      <c r="G47" s="229">
        <f t="shared" si="2"/>
        <v>0</v>
      </c>
      <c r="H47" s="192"/>
      <c r="I47" s="49">
        <f t="shared" si="1"/>
        <v>0</v>
      </c>
      <c r="J47" s="41"/>
    </row>
    <row r="48" spans="1:10">
      <c r="A48" s="268">
        <v>190</v>
      </c>
      <c r="B48" s="49" t="s">
        <v>871</v>
      </c>
      <c r="C48" s="49"/>
      <c r="D48" s="49">
        <v>5089316</v>
      </c>
      <c r="E48" s="49"/>
      <c r="F48" s="49" t="s">
        <v>249</v>
      </c>
      <c r="G48" s="229">
        <f t="shared" si="2"/>
        <v>0</v>
      </c>
      <c r="H48" s="192"/>
      <c r="I48" s="49">
        <f t="shared" si="1"/>
        <v>0</v>
      </c>
      <c r="J48" s="41"/>
    </row>
    <row r="49" spans="1:10">
      <c r="A49" s="268">
        <v>190</v>
      </c>
      <c r="B49" s="49" t="s">
        <v>872</v>
      </c>
      <c r="C49" s="49"/>
      <c r="D49" s="49">
        <v>17834</v>
      </c>
      <c r="E49" s="49"/>
      <c r="F49" s="49" t="s">
        <v>249</v>
      </c>
      <c r="G49" s="229">
        <f t="shared" si="2"/>
        <v>0</v>
      </c>
      <c r="H49" s="192"/>
      <c r="I49" s="49">
        <f t="shared" si="1"/>
        <v>0</v>
      </c>
      <c r="J49" s="41"/>
    </row>
    <row r="50" spans="1:10">
      <c r="A50" s="268">
        <v>190</v>
      </c>
      <c r="B50" s="49" t="s">
        <v>873</v>
      </c>
      <c r="C50" s="49"/>
      <c r="D50" s="49">
        <v>8430015</v>
      </c>
      <c r="E50" s="49"/>
      <c r="F50" s="49" t="s">
        <v>251</v>
      </c>
      <c r="G50" s="229">
        <f t="shared" si="2"/>
        <v>0</v>
      </c>
      <c r="H50" s="192"/>
      <c r="I50" s="49">
        <f t="shared" si="1"/>
        <v>0</v>
      </c>
      <c r="J50" s="41"/>
    </row>
    <row r="51" spans="1:10">
      <c r="A51" s="268">
        <v>190</v>
      </c>
      <c r="B51" s="49" t="s">
        <v>947</v>
      </c>
      <c r="C51" s="49"/>
      <c r="D51" s="49">
        <v>2088647</v>
      </c>
      <c r="E51" s="49"/>
      <c r="F51" s="49" t="s">
        <v>37</v>
      </c>
      <c r="G51" s="229">
        <f t="shared" si="2"/>
        <v>0.16084552246971878</v>
      </c>
      <c r="H51" s="192"/>
      <c r="I51" s="49">
        <f t="shared" si="1"/>
        <v>335949.51796981075</v>
      </c>
      <c r="J51" s="41"/>
    </row>
    <row r="52" spans="1:10">
      <c r="A52" s="268">
        <v>190</v>
      </c>
      <c r="B52" s="49" t="s">
        <v>948</v>
      </c>
      <c r="C52" s="49"/>
      <c r="D52" s="49">
        <v>255444</v>
      </c>
      <c r="E52" s="49"/>
      <c r="F52" s="49" t="s">
        <v>37</v>
      </c>
      <c r="G52" s="229">
        <f t="shared" si="2"/>
        <v>0.16084552246971878</v>
      </c>
      <c r="H52" s="192"/>
      <c r="I52" s="49">
        <f t="shared" si="1"/>
        <v>41087.023641754844</v>
      </c>
      <c r="J52" s="41"/>
    </row>
    <row r="53" spans="1:10">
      <c r="A53" s="268">
        <v>190</v>
      </c>
      <c r="B53" s="49" t="s">
        <v>876</v>
      </c>
      <c r="C53" s="49"/>
      <c r="D53" s="49">
        <v>-269960</v>
      </c>
      <c r="E53" s="49"/>
      <c r="F53" s="49" t="s">
        <v>37</v>
      </c>
      <c r="G53" s="229">
        <f t="shared" si="2"/>
        <v>0.16084552246971878</v>
      </c>
      <c r="H53" s="192"/>
      <c r="I53" s="49">
        <f t="shared" si="1"/>
        <v>-43421.857245925283</v>
      </c>
      <c r="J53" s="41"/>
    </row>
    <row r="54" spans="1:10">
      <c r="A54" s="268">
        <v>190</v>
      </c>
      <c r="B54" s="49" t="s">
        <v>877</v>
      </c>
      <c r="C54" s="49"/>
      <c r="D54" s="49">
        <v>2811588</v>
      </c>
      <c r="E54" s="49"/>
      <c r="F54" s="49" t="s">
        <v>248</v>
      </c>
      <c r="G54" s="229">
        <f t="shared" si="2"/>
        <v>7.4044416484916623E-2</v>
      </c>
      <c r="H54" s="192"/>
      <c r="I54" s="49">
        <f t="shared" si="1"/>
        <v>208182.39285599376</v>
      </c>
      <c r="J54" s="41"/>
    </row>
    <row r="55" spans="1:10">
      <c r="A55" s="268">
        <v>190</v>
      </c>
      <c r="B55" s="49" t="s">
        <v>878</v>
      </c>
      <c r="C55" s="49"/>
      <c r="D55" s="49">
        <v>968059</v>
      </c>
      <c r="E55" s="49"/>
      <c r="F55" s="49" t="s">
        <v>248</v>
      </c>
      <c r="G55" s="229">
        <f t="shared" si="2"/>
        <v>7.4044416484916623E-2</v>
      </c>
      <c r="H55" s="192"/>
      <c r="I55" s="49">
        <f t="shared" si="1"/>
        <v>71679.363777971899</v>
      </c>
      <c r="J55" s="41"/>
    </row>
    <row r="56" spans="1:10">
      <c r="A56" s="268">
        <v>190</v>
      </c>
      <c r="B56" s="49" t="s">
        <v>879</v>
      </c>
      <c r="C56" s="49"/>
      <c r="D56" s="49">
        <v>32026</v>
      </c>
      <c r="E56" s="49"/>
      <c r="F56" s="49" t="s">
        <v>248</v>
      </c>
      <c r="G56" s="229">
        <f t="shared" si="2"/>
        <v>7.4044416484916623E-2</v>
      </c>
      <c r="H56" s="192"/>
      <c r="I56" s="49">
        <f t="shared" si="1"/>
        <v>2371.3464823459399</v>
      </c>
      <c r="J56" s="41"/>
    </row>
    <row r="57" spans="1:10">
      <c r="A57" s="268">
        <v>190</v>
      </c>
      <c r="B57" s="49" t="s">
        <v>880</v>
      </c>
      <c r="C57" s="49"/>
      <c r="D57" s="49">
        <v>28864608</v>
      </c>
      <c r="E57" s="49"/>
      <c r="F57" s="49" t="s">
        <v>248</v>
      </c>
      <c r="G57" s="229">
        <f t="shared" si="2"/>
        <v>7.4044416484916623E-2</v>
      </c>
      <c r="H57" s="192"/>
      <c r="I57" s="49">
        <f t="shared" si="1"/>
        <v>2137263.0564258564</v>
      </c>
      <c r="J57" s="41"/>
    </row>
    <row r="58" spans="1:10">
      <c r="A58" s="268">
        <v>190</v>
      </c>
      <c r="B58" s="49" t="s">
        <v>881</v>
      </c>
      <c r="C58" s="49"/>
      <c r="D58" s="49">
        <v>40391</v>
      </c>
      <c r="E58" s="49"/>
      <c r="F58" s="49" t="s">
        <v>248</v>
      </c>
      <c r="G58" s="229">
        <f t="shared" si="2"/>
        <v>7.4044416484916623E-2</v>
      </c>
      <c r="H58" s="192"/>
      <c r="I58" s="49">
        <f t="shared" si="1"/>
        <v>2990.7280262422673</v>
      </c>
      <c r="J58" s="41"/>
    </row>
    <row r="59" spans="1:10">
      <c r="A59" s="268">
        <v>190</v>
      </c>
      <c r="B59" s="49" t="s">
        <v>949</v>
      </c>
      <c r="C59" s="49"/>
      <c r="D59" s="49">
        <v>-13040506</v>
      </c>
      <c r="E59" s="49"/>
      <c r="F59" s="49" t="s">
        <v>251</v>
      </c>
      <c r="G59" s="229">
        <f t="shared" si="2"/>
        <v>0</v>
      </c>
      <c r="H59" s="192"/>
      <c r="I59" s="49">
        <f t="shared" si="1"/>
        <v>0</v>
      </c>
      <c r="J59" s="41"/>
    </row>
    <row r="60" spans="1:10">
      <c r="A60" s="268">
        <v>190</v>
      </c>
      <c r="B60" s="49" t="s">
        <v>882</v>
      </c>
      <c r="C60" s="49"/>
      <c r="D60" s="49">
        <v>1286930</v>
      </c>
      <c r="E60" s="49"/>
      <c r="F60" s="49" t="s">
        <v>249</v>
      </c>
      <c r="G60" s="229">
        <f t="shared" si="2"/>
        <v>0</v>
      </c>
      <c r="H60" s="192"/>
      <c r="I60" s="49">
        <f t="shared" si="1"/>
        <v>0</v>
      </c>
      <c r="J60" s="41"/>
    </row>
    <row r="61" spans="1:10">
      <c r="A61" s="268">
        <v>190</v>
      </c>
      <c r="B61" s="49" t="s">
        <v>883</v>
      </c>
      <c r="C61" s="49"/>
      <c r="D61" s="49">
        <v>16966720</v>
      </c>
      <c r="E61" s="49"/>
      <c r="F61" s="49" t="s">
        <v>249</v>
      </c>
      <c r="G61" s="229">
        <f t="shared" si="2"/>
        <v>0</v>
      </c>
      <c r="H61" s="192"/>
      <c r="I61" s="49">
        <f t="shared" si="1"/>
        <v>0</v>
      </c>
      <c r="J61" s="41"/>
    </row>
    <row r="62" spans="1:10">
      <c r="A62" s="268">
        <v>190</v>
      </c>
      <c r="B62" s="49" t="s">
        <v>884</v>
      </c>
      <c r="C62" s="49"/>
      <c r="D62" s="49">
        <v>145719699</v>
      </c>
      <c r="E62" s="49"/>
      <c r="F62" s="49" t="s">
        <v>249</v>
      </c>
      <c r="G62" s="229">
        <f t="shared" si="2"/>
        <v>0</v>
      </c>
      <c r="H62" s="192"/>
      <c r="I62" s="49">
        <f t="shared" si="1"/>
        <v>0</v>
      </c>
      <c r="J62" s="41"/>
    </row>
    <row r="63" spans="1:10">
      <c r="A63" s="268">
        <v>190</v>
      </c>
      <c r="B63" s="49" t="s">
        <v>885</v>
      </c>
      <c r="C63" s="49"/>
      <c r="D63" s="49">
        <v>0</v>
      </c>
      <c r="E63" s="49"/>
      <c r="F63" s="49" t="s">
        <v>251</v>
      </c>
      <c r="G63" s="229">
        <f t="shared" si="2"/>
        <v>0</v>
      </c>
      <c r="H63" s="192"/>
      <c r="I63" s="49">
        <f t="shared" si="1"/>
        <v>0</v>
      </c>
      <c r="J63" s="41"/>
    </row>
    <row r="64" spans="1:10">
      <c r="A64" s="268">
        <v>190</v>
      </c>
      <c r="B64" s="49" t="s">
        <v>886</v>
      </c>
      <c r="C64" s="49"/>
      <c r="D64" s="49">
        <v>1671793</v>
      </c>
      <c r="E64" s="49"/>
      <c r="F64" s="49" t="s">
        <v>248</v>
      </c>
      <c r="G64" s="229">
        <f t="shared" si="2"/>
        <v>7.4044416484916623E-2</v>
      </c>
      <c r="H64" s="192"/>
      <c r="I64" s="49">
        <f t="shared" si="1"/>
        <v>123786.93716856821</v>
      </c>
      <c r="J64" s="41"/>
    </row>
    <row r="65" spans="1:10">
      <c r="A65" s="268">
        <v>190</v>
      </c>
      <c r="B65" s="49" t="s">
        <v>887</v>
      </c>
      <c r="C65" s="49"/>
      <c r="D65" s="49">
        <v>-378267</v>
      </c>
      <c r="E65" s="49"/>
      <c r="F65" s="49" t="s">
        <v>248</v>
      </c>
      <c r="G65" s="229">
        <f t="shared" si="2"/>
        <v>7.4044416484916623E-2</v>
      </c>
      <c r="H65" s="192"/>
      <c r="I65" s="49">
        <f t="shared" si="1"/>
        <v>-28008.559290499958</v>
      </c>
      <c r="J65" s="41"/>
    </row>
    <row r="66" spans="1:10">
      <c r="A66" s="268">
        <v>190</v>
      </c>
      <c r="B66" s="49" t="s">
        <v>888</v>
      </c>
      <c r="C66" s="49"/>
      <c r="D66" s="49">
        <v>-460900</v>
      </c>
      <c r="E66" s="49"/>
      <c r="F66" s="49" t="s">
        <v>248</v>
      </c>
      <c r="G66" s="229">
        <f t="shared" si="2"/>
        <v>7.4044416484916623E-2</v>
      </c>
      <c r="H66" s="192"/>
      <c r="I66" s="49">
        <f t="shared" si="1"/>
        <v>-34127.071557898074</v>
      </c>
      <c r="J66" s="41"/>
    </row>
    <row r="67" spans="1:10">
      <c r="A67" s="268">
        <v>190</v>
      </c>
      <c r="B67" s="49" t="s">
        <v>889</v>
      </c>
      <c r="C67" s="49"/>
      <c r="D67" s="49">
        <v>1688987</v>
      </c>
      <c r="E67" s="49"/>
      <c r="F67" s="49" t="s">
        <v>248</v>
      </c>
      <c r="G67" s="229">
        <f t="shared" si="2"/>
        <v>7.4044416484916623E-2</v>
      </c>
      <c r="H67" s="192"/>
      <c r="I67" s="49">
        <f t="shared" si="1"/>
        <v>125060.05686560988</v>
      </c>
      <c r="J67" s="41"/>
    </row>
    <row r="68" spans="1:10">
      <c r="A68" s="268">
        <v>190</v>
      </c>
      <c r="B68" s="49" t="s">
        <v>890</v>
      </c>
      <c r="C68" s="49"/>
      <c r="D68" s="49">
        <v>143514</v>
      </c>
      <c r="E68" s="49"/>
      <c r="F68" s="49" t="s">
        <v>248</v>
      </c>
      <c r="G68" s="229">
        <f t="shared" si="2"/>
        <v>7.4044416484916623E-2</v>
      </c>
      <c r="H68" s="192"/>
      <c r="I68" s="49">
        <f t="shared" si="1"/>
        <v>10626.410387416325</v>
      </c>
      <c r="J68" s="41"/>
    </row>
    <row r="69" spans="1:10">
      <c r="A69" s="268">
        <v>190</v>
      </c>
      <c r="B69" s="49" t="s">
        <v>891</v>
      </c>
      <c r="C69" s="49"/>
      <c r="D69" s="49">
        <v>524748</v>
      </c>
      <c r="E69" s="49"/>
      <c r="F69" s="49" t="s">
        <v>248</v>
      </c>
      <c r="G69" s="229">
        <f t="shared" si="2"/>
        <v>7.4044416484916623E-2</v>
      </c>
      <c r="H69" s="192"/>
      <c r="I69" s="49">
        <f t="shared" si="1"/>
        <v>38854.65946162703</v>
      </c>
      <c r="J69" s="41"/>
    </row>
    <row r="70" spans="1:10">
      <c r="A70" s="268">
        <v>190</v>
      </c>
      <c r="B70" s="49" t="s">
        <v>892</v>
      </c>
      <c r="C70" s="49"/>
      <c r="D70" s="49">
        <v>6853281</v>
      </c>
      <c r="E70" s="49"/>
      <c r="F70" s="49" t="s">
        <v>248</v>
      </c>
      <c r="G70" s="229">
        <f t="shared" si="2"/>
        <v>7.4044416484916623E-2</v>
      </c>
      <c r="H70" s="192"/>
      <c r="I70" s="49">
        <f t="shared" si="1"/>
        <v>507447.19265216589</v>
      </c>
      <c r="J70" s="41"/>
    </row>
    <row r="71" spans="1:10">
      <c r="A71" s="268">
        <v>190</v>
      </c>
      <c r="B71" s="49" t="s">
        <v>950</v>
      </c>
      <c r="C71" s="49"/>
      <c r="D71" s="49">
        <f>113290211-1286885</f>
        <v>112003326</v>
      </c>
      <c r="E71" s="49"/>
      <c r="F71" s="49" t="s">
        <v>248</v>
      </c>
      <c r="G71" s="229">
        <f t="shared" si="2"/>
        <v>7.4044416484916623E-2</v>
      </c>
      <c r="H71" s="192"/>
      <c r="I71" s="49">
        <f t="shared" si="1"/>
        <v>8293220.9180398909</v>
      </c>
      <c r="J71" s="41"/>
    </row>
    <row r="72" spans="1:10">
      <c r="A72" s="268">
        <v>190</v>
      </c>
      <c r="B72" s="49" t="s">
        <v>894</v>
      </c>
      <c r="C72" s="49"/>
      <c r="D72" s="49">
        <v>-5268842</v>
      </c>
      <c r="E72" s="49"/>
      <c r="F72" s="49" t="s">
        <v>248</v>
      </c>
      <c r="G72" s="229">
        <f t="shared" si="2"/>
        <v>7.4044416484916623E-2</v>
      </c>
      <c r="H72" s="192"/>
      <c r="I72" s="49">
        <f t="shared" si="1"/>
        <v>-390128.33144122106</v>
      </c>
      <c r="J72" s="41"/>
    </row>
    <row r="73" spans="1:10">
      <c r="A73" s="268">
        <v>190</v>
      </c>
      <c r="B73" s="49" t="s">
        <v>895</v>
      </c>
      <c r="C73" s="49"/>
      <c r="D73" s="49">
        <v>8733678</v>
      </c>
      <c r="E73" s="49"/>
      <c r="F73" s="49" t="s">
        <v>248</v>
      </c>
      <c r="G73" s="229">
        <f t="shared" si="2"/>
        <v>7.4044416484916623E-2</v>
      </c>
      <c r="H73" s="192"/>
      <c r="I73" s="49">
        <f t="shared" si="1"/>
        <v>646680.09127715358</v>
      </c>
      <c r="J73" s="41"/>
    </row>
    <row r="74" spans="1:10">
      <c r="A74" s="268">
        <v>190</v>
      </c>
      <c r="B74" s="49" t="s">
        <v>896</v>
      </c>
      <c r="C74" s="49"/>
      <c r="D74" s="49">
        <v>4745116</v>
      </c>
      <c r="E74" s="49"/>
      <c r="F74" s="49" t="s">
        <v>249</v>
      </c>
      <c r="G74" s="229">
        <f t="shared" si="2"/>
        <v>0</v>
      </c>
      <c r="H74" s="192"/>
      <c r="I74" s="49">
        <f t="shared" si="1"/>
        <v>0</v>
      </c>
      <c r="J74" s="41"/>
    </row>
    <row r="75" spans="1:10">
      <c r="A75" s="268">
        <v>190</v>
      </c>
      <c r="B75" s="49" t="s">
        <v>897</v>
      </c>
      <c r="C75" s="49"/>
      <c r="D75" s="49">
        <v>0</v>
      </c>
      <c r="E75" s="49"/>
      <c r="F75" s="49" t="s">
        <v>248</v>
      </c>
      <c r="G75" s="229">
        <f t="shared" si="2"/>
        <v>7.4044416484916623E-2</v>
      </c>
      <c r="H75" s="192"/>
      <c r="I75" s="49">
        <f t="shared" si="1"/>
        <v>0</v>
      </c>
      <c r="J75" s="41"/>
    </row>
    <row r="76" spans="1:10">
      <c r="A76" s="268">
        <v>190</v>
      </c>
      <c r="B76" s="49" t="s">
        <v>900</v>
      </c>
      <c r="C76" s="49"/>
      <c r="D76" s="49">
        <v>0</v>
      </c>
      <c r="E76" s="49"/>
      <c r="F76" s="49" t="s">
        <v>249</v>
      </c>
      <c r="G76" s="229">
        <f t="shared" ref="G76:G80" si="3">VLOOKUP(F76,ALLOCATORS,2,FALSE)</f>
        <v>0</v>
      </c>
      <c r="H76" s="192"/>
      <c r="I76" s="49">
        <f t="shared" si="1"/>
        <v>0</v>
      </c>
      <c r="J76" s="41"/>
    </row>
    <row r="77" spans="1:10">
      <c r="A77" s="268">
        <v>190</v>
      </c>
      <c r="B77" s="49" t="s">
        <v>901</v>
      </c>
      <c r="C77" s="49"/>
      <c r="D77" s="49">
        <v>7031</v>
      </c>
      <c r="E77" s="49"/>
      <c r="F77" s="49" t="s">
        <v>251</v>
      </c>
      <c r="G77" s="229">
        <f t="shared" si="3"/>
        <v>0</v>
      </c>
      <c r="H77" s="192"/>
      <c r="I77" s="49">
        <f t="shared" ref="I77:I80" si="4">D77*G77</f>
        <v>0</v>
      </c>
      <c r="J77" s="41"/>
    </row>
    <row r="78" spans="1:10">
      <c r="A78" s="268">
        <v>190</v>
      </c>
      <c r="B78" s="49" t="s">
        <v>951</v>
      </c>
      <c r="C78" s="49"/>
      <c r="D78" s="49">
        <v>-401643</v>
      </c>
      <c r="E78" s="49"/>
      <c r="F78" s="49" t="s">
        <v>249</v>
      </c>
      <c r="G78" s="229">
        <f t="shared" si="3"/>
        <v>0</v>
      </c>
      <c r="H78" s="192"/>
      <c r="I78" s="49">
        <f t="shared" si="4"/>
        <v>0</v>
      </c>
      <c r="J78" s="41"/>
    </row>
    <row r="79" spans="1:10">
      <c r="A79" s="268">
        <v>190</v>
      </c>
      <c r="B79" s="49" t="s">
        <v>952</v>
      </c>
      <c r="C79" s="49"/>
      <c r="D79" s="49">
        <v>100000</v>
      </c>
      <c r="E79" s="49"/>
      <c r="F79" s="49" t="s">
        <v>37</v>
      </c>
      <c r="G79" s="229">
        <f t="shared" si="3"/>
        <v>0.16084552246971878</v>
      </c>
      <c r="H79" s="192"/>
      <c r="I79" s="49">
        <f t="shared" si="4"/>
        <v>16084.552246971878</v>
      </c>
      <c r="J79" s="41"/>
    </row>
    <row r="80" spans="1:10">
      <c r="A80" s="268">
        <v>190</v>
      </c>
      <c r="B80" s="49" t="s">
        <v>903</v>
      </c>
      <c r="C80" s="49"/>
      <c r="D80" s="49">
        <v>107</v>
      </c>
      <c r="E80" s="49"/>
      <c r="F80" s="49" t="s">
        <v>37</v>
      </c>
      <c r="G80" s="229">
        <f t="shared" si="3"/>
        <v>0.16084552246971878</v>
      </c>
      <c r="H80" s="192"/>
      <c r="I80" s="49">
        <f t="shared" si="4"/>
        <v>17.21047090425991</v>
      </c>
      <c r="J80" s="41"/>
    </row>
    <row r="81" spans="1:10" ht="4.5" customHeight="1">
      <c r="A81" s="76"/>
      <c r="B81" s="41"/>
      <c r="C81" s="41"/>
      <c r="D81" s="41"/>
      <c r="E81" s="41"/>
      <c r="F81" s="169"/>
      <c r="G81" s="55"/>
      <c r="H81" s="41"/>
      <c r="I81" s="41"/>
      <c r="J81" s="41"/>
    </row>
    <row r="82" spans="1:10" ht="13.5" thickBot="1">
      <c r="A82" s="76"/>
      <c r="B82" s="71" t="s">
        <v>252</v>
      </c>
      <c r="C82" s="71"/>
      <c r="D82" s="77">
        <f>SUM(D12:D80)</f>
        <v>618811877.26999998</v>
      </c>
      <c r="E82" s="41"/>
      <c r="F82" s="41"/>
      <c r="G82" s="55"/>
      <c r="H82" s="41"/>
      <c r="I82" s="77">
        <f>SUM(I12:I80)</f>
        <v>18536058.343944788</v>
      </c>
      <c r="J82" s="169"/>
    </row>
    <row r="83" spans="1:10" ht="13.5" thickTop="1">
      <c r="A83" s="76"/>
      <c r="B83" s="41"/>
      <c r="C83" s="41"/>
      <c r="D83" s="41"/>
      <c r="E83" s="41"/>
      <c r="F83" s="41"/>
      <c r="G83" s="55"/>
      <c r="H83" s="41"/>
      <c r="I83" s="41"/>
      <c r="J83" s="41"/>
    </row>
    <row r="84" spans="1:10">
      <c r="E84" s="20" t="s">
        <v>247</v>
      </c>
      <c r="F84" s="44">
        <v>0</v>
      </c>
      <c r="G84" s="15"/>
    </row>
  </sheetData>
  <mergeCells count="4">
    <mergeCell ref="I1:J1"/>
    <mergeCell ref="I3:J3"/>
    <mergeCell ref="A5:I5"/>
    <mergeCell ref="A6:I6"/>
  </mergeCells>
  <printOptions horizontalCentered="1"/>
  <pageMargins left="0.5" right="0.5" top="0.5" bottom="0.5" header="0.5" footer="0.5"/>
  <pageSetup scale="71"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J46"/>
  <sheetViews>
    <sheetView workbookViewId="0">
      <selection activeCell="C20" sqref="C20"/>
    </sheetView>
  </sheetViews>
  <sheetFormatPr defaultRowHeight="12.75"/>
  <cols>
    <col min="1" max="1" width="9.7109375" customWidth="1"/>
    <col min="2" max="2" width="45.5703125" customWidth="1"/>
    <col min="3" max="3" width="3.7109375" customWidth="1"/>
    <col min="4" max="4" width="17.42578125" customWidth="1"/>
    <col min="5" max="5" width="3.7109375" customWidth="1"/>
    <col min="7" max="7" width="10.42578125" bestFit="1" customWidth="1"/>
    <col min="8" max="8" width="3.7109375" customWidth="1"/>
    <col min="9" max="9" width="15.5703125" bestFit="1" customWidth="1"/>
  </cols>
  <sheetData>
    <row r="1" spans="1:10" ht="15">
      <c r="A1" s="41"/>
      <c r="B1" s="41"/>
      <c r="C1" s="41"/>
      <c r="D1" s="41"/>
      <c r="E1" s="41"/>
      <c r="F1" s="41"/>
      <c r="G1" s="41"/>
      <c r="H1" s="41"/>
      <c r="I1" s="306" t="s">
        <v>196</v>
      </c>
      <c r="J1" s="306"/>
    </row>
    <row r="2" spans="1:10" ht="15">
      <c r="A2" s="41"/>
      <c r="B2" s="41"/>
      <c r="C2" s="41"/>
      <c r="D2" s="41"/>
      <c r="E2" s="41"/>
      <c r="F2" s="41"/>
      <c r="G2" s="41"/>
      <c r="H2" s="41"/>
      <c r="I2" s="293" t="s">
        <v>1000</v>
      </c>
      <c r="J2" s="33"/>
    </row>
    <row r="3" spans="1:10">
      <c r="A3" s="41"/>
      <c r="B3" s="70"/>
      <c r="C3" s="70"/>
      <c r="D3" s="41"/>
      <c r="E3" s="41"/>
      <c r="F3" s="41"/>
      <c r="G3" s="41"/>
      <c r="H3" s="41"/>
      <c r="I3" s="324" t="str">
        <f>FF1_Year</f>
        <v>Year Ending 12/31/2010</v>
      </c>
      <c r="J3" s="325"/>
    </row>
    <row r="4" spans="1:10">
      <c r="A4" s="41"/>
      <c r="B4" s="70"/>
      <c r="C4" s="70"/>
      <c r="D4" s="41"/>
      <c r="E4" s="41"/>
      <c r="F4" s="41"/>
      <c r="G4" s="41"/>
      <c r="H4" s="41"/>
      <c r="I4" s="99"/>
      <c r="J4" s="99"/>
    </row>
    <row r="5" spans="1:10">
      <c r="A5" s="331" t="s">
        <v>135</v>
      </c>
      <c r="B5" s="332"/>
      <c r="C5" s="332"/>
      <c r="D5" s="332"/>
      <c r="E5" s="332"/>
      <c r="F5" s="332"/>
      <c r="G5" s="332"/>
      <c r="H5" s="332"/>
      <c r="I5" s="332"/>
      <c r="J5" s="99"/>
    </row>
    <row r="6" spans="1:10">
      <c r="A6" s="331" t="s">
        <v>399</v>
      </c>
      <c r="B6" s="332"/>
      <c r="C6" s="332"/>
      <c r="D6" s="332"/>
      <c r="E6" s="332"/>
      <c r="F6" s="332"/>
      <c r="G6" s="332"/>
      <c r="H6" s="332"/>
      <c r="I6" s="332"/>
      <c r="J6" s="99"/>
    </row>
    <row r="7" spans="1:10">
      <c r="A7" s="41"/>
      <c r="B7" s="70"/>
      <c r="C7" s="70"/>
      <c r="D7" s="41"/>
      <c r="E7" s="41"/>
      <c r="F7" s="41"/>
      <c r="G7" s="41"/>
      <c r="H7" s="41"/>
      <c r="I7" s="41"/>
      <c r="J7" s="41"/>
    </row>
    <row r="8" spans="1:10">
      <c r="A8" s="71"/>
      <c r="B8" s="72"/>
      <c r="C8" s="72"/>
      <c r="D8" s="72"/>
      <c r="E8" s="73"/>
      <c r="F8" s="73"/>
      <c r="G8" s="73"/>
      <c r="H8" s="73"/>
      <c r="I8" s="73"/>
      <c r="J8" s="73"/>
    </row>
    <row r="9" spans="1:10">
      <c r="A9" s="71"/>
      <c r="B9" s="72"/>
      <c r="C9" s="72"/>
      <c r="D9" s="91" t="s">
        <v>243</v>
      </c>
      <c r="E9" s="73"/>
      <c r="F9" s="74" t="s">
        <v>23</v>
      </c>
      <c r="G9" s="74" t="s">
        <v>244</v>
      </c>
      <c r="H9" s="74"/>
      <c r="I9" s="74" t="s">
        <v>245</v>
      </c>
      <c r="J9" s="73"/>
    </row>
    <row r="10" spans="1:10">
      <c r="A10" s="71" t="s">
        <v>246</v>
      </c>
      <c r="B10" s="71" t="s">
        <v>3</v>
      </c>
      <c r="C10" s="75"/>
      <c r="D10" s="165" t="str">
        <f>"Tax at 12/31/"&amp;_YR</f>
        <v>Tax at 12/31/2010</v>
      </c>
      <c r="E10" s="41"/>
      <c r="F10" s="41"/>
      <c r="G10" s="41"/>
      <c r="H10" s="41"/>
      <c r="I10" s="41"/>
      <c r="J10" s="41"/>
    </row>
    <row r="11" spans="1:10">
      <c r="A11" s="71"/>
      <c r="B11" s="71"/>
      <c r="C11" s="75"/>
      <c r="D11" s="165"/>
      <c r="E11" s="41"/>
      <c r="F11" s="41"/>
      <c r="G11" s="41"/>
      <c r="H11" s="41"/>
      <c r="I11" s="41"/>
      <c r="J11" s="41"/>
    </row>
    <row r="12" spans="1:10">
      <c r="A12" s="268">
        <v>281</v>
      </c>
      <c r="B12" s="49" t="s">
        <v>906</v>
      </c>
      <c r="C12" s="49"/>
      <c r="D12" s="49">
        <v>-3757590</v>
      </c>
      <c r="E12" s="49"/>
      <c r="F12" s="49" t="s">
        <v>249</v>
      </c>
      <c r="G12" s="229">
        <f>VLOOKUP(F12,ALLOCATORS,2,FALSE)</f>
        <v>0</v>
      </c>
      <c r="H12" s="192"/>
      <c r="I12" s="49">
        <f>D12*G12</f>
        <v>0</v>
      </c>
      <c r="J12" s="41"/>
    </row>
    <row r="13" spans="1:10" ht="13.5" thickBot="1">
      <c r="A13" s="76"/>
      <c r="B13" s="71" t="s">
        <v>253</v>
      </c>
      <c r="C13" s="71"/>
      <c r="D13" s="77">
        <f>SUM(D12)</f>
        <v>-3757590</v>
      </c>
      <c r="E13" s="41"/>
      <c r="F13" s="41"/>
      <c r="G13" s="55"/>
      <c r="H13" s="41"/>
      <c r="I13" s="77">
        <f>SUM(I12)</f>
        <v>0</v>
      </c>
      <c r="J13" s="41"/>
    </row>
    <row r="14" spans="1:10" ht="13.5" thickTop="1">
      <c r="A14" s="76"/>
      <c r="B14" s="41"/>
      <c r="C14" s="41"/>
      <c r="D14" s="41"/>
      <c r="E14" s="41"/>
      <c r="F14" s="41"/>
      <c r="G14" s="55"/>
      <c r="H14" s="41"/>
      <c r="I14" s="41"/>
      <c r="J14" s="41"/>
    </row>
    <row r="15" spans="1:10">
      <c r="A15" s="268">
        <v>282</v>
      </c>
      <c r="B15" s="49" t="s">
        <v>907</v>
      </c>
      <c r="C15" s="49"/>
      <c r="D15" s="49">
        <v>-1155192949.5032499</v>
      </c>
      <c r="E15" s="49"/>
      <c r="F15" s="49" t="s">
        <v>37</v>
      </c>
      <c r="G15" s="229">
        <f>VLOOKUP(F15,ALLOCATORS,2,FALSE)</f>
        <v>0.16084552246971878</v>
      </c>
      <c r="H15" s="192"/>
      <c r="I15" s="49">
        <f t="shared" ref="I15:I18" si="0">D15*G15</f>
        <v>-185807613.5161857</v>
      </c>
      <c r="J15" s="41"/>
    </row>
    <row r="16" spans="1:10">
      <c r="A16" s="268">
        <v>282</v>
      </c>
      <c r="B16" s="49" t="s">
        <v>908</v>
      </c>
      <c r="C16" s="49"/>
      <c r="D16" s="49">
        <v>200277468.90000001</v>
      </c>
      <c r="E16" s="49"/>
      <c r="F16" s="49" t="s">
        <v>247</v>
      </c>
      <c r="G16" s="229">
        <f>VLOOKUP(F16,ALLOCATORS,2,FALSE)</f>
        <v>0</v>
      </c>
      <c r="H16" s="192"/>
      <c r="I16" s="49">
        <f t="shared" si="0"/>
        <v>0</v>
      </c>
      <c r="J16" s="41"/>
    </row>
    <row r="17" spans="1:10">
      <c r="A17" s="268">
        <v>282</v>
      </c>
      <c r="B17" s="49" t="s">
        <v>909</v>
      </c>
      <c r="C17" s="49"/>
      <c r="D17" s="49">
        <v>-9221868</v>
      </c>
      <c r="E17" s="49"/>
      <c r="F17" s="49" t="s">
        <v>249</v>
      </c>
      <c r="G17" s="229">
        <f>VLOOKUP(F17,ALLOCATORS,2,FALSE)</f>
        <v>0</v>
      </c>
      <c r="H17" s="192"/>
      <c r="I17" s="49">
        <f t="shared" si="0"/>
        <v>0</v>
      </c>
      <c r="J17" s="41"/>
    </row>
    <row r="18" spans="1:10">
      <c r="A18" s="268">
        <v>282</v>
      </c>
      <c r="B18" s="49" t="s">
        <v>910</v>
      </c>
      <c r="C18" s="49"/>
      <c r="D18" s="49">
        <v>-656</v>
      </c>
      <c r="E18" s="49"/>
      <c r="F18" s="49" t="s">
        <v>37</v>
      </c>
      <c r="G18" s="229">
        <f>VLOOKUP(F18,ALLOCATORS,2,FALSE)</f>
        <v>0.16084552246971878</v>
      </c>
      <c r="H18" s="192"/>
      <c r="I18" s="49">
        <f t="shared" si="0"/>
        <v>-105.51466274013552</v>
      </c>
      <c r="J18" s="41"/>
    </row>
    <row r="19" spans="1:10" ht="13.5" thickBot="1">
      <c r="A19" s="76"/>
      <c r="B19" s="71" t="s">
        <v>254</v>
      </c>
      <c r="C19" s="71"/>
      <c r="D19" s="77">
        <f>SUM(D15:D18)</f>
        <v>-964138004.60324991</v>
      </c>
      <c r="E19" s="41"/>
      <c r="F19" s="41"/>
      <c r="G19" s="55"/>
      <c r="H19" s="41"/>
      <c r="I19" s="77">
        <f>SUM(I15:I18)</f>
        <v>-185807719.03084844</v>
      </c>
      <c r="J19" s="41"/>
    </row>
    <row r="20" spans="1:10" ht="13.5" thickTop="1">
      <c r="A20" s="76"/>
      <c r="B20" s="41"/>
      <c r="C20" s="41"/>
      <c r="D20" s="41"/>
      <c r="E20" s="41"/>
      <c r="F20" s="41"/>
      <c r="G20" s="55"/>
      <c r="H20" s="41"/>
      <c r="I20" s="41"/>
    </row>
    <row r="21" spans="1:10">
      <c r="A21" s="268">
        <v>283</v>
      </c>
      <c r="B21" s="269" t="s">
        <v>911</v>
      </c>
      <c r="C21" s="49"/>
      <c r="D21" s="49">
        <v>-507204.60601750039</v>
      </c>
      <c r="E21" s="49"/>
      <c r="F21" s="49" t="s">
        <v>249</v>
      </c>
      <c r="G21" s="229">
        <f t="shared" ref="G21:G42" si="1">VLOOKUP(F21,ALLOCATORS,2,FALSE)</f>
        <v>0</v>
      </c>
      <c r="H21" s="192"/>
      <c r="I21" s="49">
        <f t="shared" ref="I21:I42" si="2">D21*G21</f>
        <v>0</v>
      </c>
    </row>
    <row r="22" spans="1:10">
      <c r="A22" s="268">
        <v>283</v>
      </c>
      <c r="B22" s="49" t="s">
        <v>953</v>
      </c>
      <c r="C22" s="49"/>
      <c r="D22" s="49">
        <v>-94136455.073562503</v>
      </c>
      <c r="E22" s="49"/>
      <c r="F22" s="49" t="s">
        <v>247</v>
      </c>
      <c r="G22" s="229">
        <f t="shared" si="1"/>
        <v>0</v>
      </c>
      <c r="H22" s="192"/>
      <c r="I22" s="49">
        <f t="shared" si="2"/>
        <v>0</v>
      </c>
    </row>
    <row r="23" spans="1:10">
      <c r="A23" s="268">
        <v>283</v>
      </c>
      <c r="B23" s="49" t="s">
        <v>913</v>
      </c>
      <c r="C23" s="49"/>
      <c r="D23" s="49">
        <v>0</v>
      </c>
      <c r="E23" s="49"/>
      <c r="F23" s="49" t="s">
        <v>247</v>
      </c>
      <c r="G23" s="229">
        <f t="shared" si="1"/>
        <v>0</v>
      </c>
      <c r="H23" s="192"/>
      <c r="I23" s="49">
        <f t="shared" si="2"/>
        <v>0</v>
      </c>
    </row>
    <row r="24" spans="1:10">
      <c r="A24" s="268">
        <v>283</v>
      </c>
      <c r="B24" s="49" t="s">
        <v>954</v>
      </c>
      <c r="C24" s="49"/>
      <c r="D24" s="49">
        <v>-87716283.7891725</v>
      </c>
      <c r="E24" s="49"/>
      <c r="F24" s="49" t="s">
        <v>247</v>
      </c>
      <c r="G24" s="229">
        <f t="shared" si="1"/>
        <v>0</v>
      </c>
      <c r="H24" s="192"/>
      <c r="I24" s="49">
        <f t="shared" si="2"/>
        <v>0</v>
      </c>
    </row>
    <row r="25" spans="1:10">
      <c r="A25" s="268">
        <v>283</v>
      </c>
      <c r="B25" s="49" t="s">
        <v>955</v>
      </c>
      <c r="C25" s="49"/>
      <c r="D25" s="49">
        <v>-59466794.280000001</v>
      </c>
      <c r="E25" s="49"/>
      <c r="F25" s="49" t="s">
        <v>249</v>
      </c>
      <c r="G25" s="229">
        <f t="shared" si="1"/>
        <v>0</v>
      </c>
      <c r="H25" s="192"/>
      <c r="I25" s="49">
        <f t="shared" si="2"/>
        <v>0</v>
      </c>
    </row>
    <row r="26" spans="1:10">
      <c r="A26" s="268">
        <v>283</v>
      </c>
      <c r="B26" s="269" t="s">
        <v>916</v>
      </c>
      <c r="C26" s="49"/>
      <c r="D26" s="49">
        <v>-148115573.34</v>
      </c>
      <c r="E26" s="49"/>
      <c r="F26" s="49" t="s">
        <v>249</v>
      </c>
      <c r="G26" s="229">
        <f t="shared" si="1"/>
        <v>0</v>
      </c>
      <c r="H26" s="192"/>
      <c r="I26" s="49">
        <f t="shared" si="2"/>
        <v>0</v>
      </c>
    </row>
    <row r="27" spans="1:10">
      <c r="A27" s="268">
        <v>283</v>
      </c>
      <c r="B27" s="49" t="s">
        <v>956</v>
      </c>
      <c r="C27" s="49"/>
      <c r="D27" s="49">
        <v>-203190064.93875</v>
      </c>
      <c r="E27" s="49"/>
      <c r="F27" s="49" t="s">
        <v>248</v>
      </c>
      <c r="G27" s="229">
        <f t="shared" si="1"/>
        <v>7.4044416484916623E-2</v>
      </c>
      <c r="H27" s="192"/>
      <c r="I27" s="49">
        <f t="shared" si="2"/>
        <v>-15045089.793922059</v>
      </c>
    </row>
    <row r="28" spans="1:10">
      <c r="A28" s="268">
        <v>283</v>
      </c>
      <c r="B28" s="269" t="s">
        <v>919</v>
      </c>
      <c r="C28" s="49"/>
      <c r="D28" s="49">
        <v>0</v>
      </c>
      <c r="E28" s="49"/>
      <c r="F28" s="49" t="s">
        <v>251</v>
      </c>
      <c r="G28" s="229">
        <f t="shared" si="1"/>
        <v>0</v>
      </c>
      <c r="H28" s="192"/>
      <c r="I28" s="49">
        <f t="shared" si="2"/>
        <v>0</v>
      </c>
    </row>
    <row r="29" spans="1:10">
      <c r="A29" s="268">
        <v>283</v>
      </c>
      <c r="B29" s="49" t="s">
        <v>918</v>
      </c>
      <c r="C29" s="49"/>
      <c r="D29" s="49">
        <v>-5152769</v>
      </c>
      <c r="E29" s="49"/>
      <c r="F29" s="49" t="s">
        <v>249</v>
      </c>
      <c r="G29" s="229">
        <f t="shared" si="1"/>
        <v>0</v>
      </c>
      <c r="H29" s="192"/>
      <c r="I29" s="49">
        <f t="shared" si="2"/>
        <v>0</v>
      </c>
    </row>
    <row r="30" spans="1:10">
      <c r="A30" s="268">
        <v>283</v>
      </c>
      <c r="B30" s="49" t="s">
        <v>957</v>
      </c>
      <c r="C30" s="49"/>
      <c r="D30" s="49">
        <v>685310.75</v>
      </c>
      <c r="E30" s="49"/>
      <c r="F30" s="49" t="s">
        <v>249</v>
      </c>
      <c r="G30" s="229">
        <f t="shared" si="1"/>
        <v>0</v>
      </c>
      <c r="H30" s="192"/>
      <c r="I30" s="49">
        <f t="shared" si="2"/>
        <v>0</v>
      </c>
    </row>
    <row r="31" spans="1:10">
      <c r="A31" s="268">
        <v>283</v>
      </c>
      <c r="B31" s="49" t="s">
        <v>958</v>
      </c>
      <c r="C31" s="49"/>
      <c r="D31" s="49">
        <v>-7037471.4299999997</v>
      </c>
      <c r="E31" s="49"/>
      <c r="F31" s="49" t="s">
        <v>37</v>
      </c>
      <c r="G31" s="229">
        <f t="shared" si="1"/>
        <v>0.16084552246971878</v>
      </c>
      <c r="H31" s="192"/>
      <c r="I31" s="49">
        <f t="shared" si="2"/>
        <v>-1131945.769024069</v>
      </c>
    </row>
    <row r="32" spans="1:10">
      <c r="A32" s="268">
        <v>283</v>
      </c>
      <c r="B32" s="49" t="s">
        <v>959</v>
      </c>
      <c r="C32" s="49"/>
      <c r="D32" s="49">
        <v>-375576.22950000002</v>
      </c>
      <c r="E32" s="49"/>
      <c r="F32" s="49" t="s">
        <v>37</v>
      </c>
      <c r="G32" s="229">
        <f t="shared" si="1"/>
        <v>0.16084552246971878</v>
      </c>
      <c r="H32" s="192"/>
      <c r="I32" s="49">
        <f t="shared" si="2"/>
        <v>-60409.754861134512</v>
      </c>
    </row>
    <row r="33" spans="1:9">
      <c r="A33" s="268">
        <v>283</v>
      </c>
      <c r="B33" s="49" t="s">
        <v>960</v>
      </c>
      <c r="C33" s="49"/>
      <c r="D33" s="49">
        <v>-403767.61099999998</v>
      </c>
      <c r="E33" s="49"/>
      <c r="F33" s="49" t="s">
        <v>37</v>
      </c>
      <c r="G33" s="229">
        <f t="shared" si="1"/>
        <v>0.16084552246971878</v>
      </c>
      <c r="H33" s="192"/>
      <c r="I33" s="49">
        <f t="shared" si="2"/>
        <v>-64944.212347645167</v>
      </c>
    </row>
    <row r="34" spans="1:9">
      <c r="A34" s="268">
        <v>283</v>
      </c>
      <c r="B34" s="49" t="s">
        <v>921</v>
      </c>
      <c r="C34" s="49"/>
      <c r="D34" s="49">
        <v>-85310925.572054803</v>
      </c>
      <c r="E34" s="49"/>
      <c r="F34" s="49" t="s">
        <v>251</v>
      </c>
      <c r="G34" s="229">
        <f t="shared" si="1"/>
        <v>0</v>
      </c>
      <c r="H34" s="192"/>
      <c r="I34" s="49">
        <f t="shared" si="2"/>
        <v>0</v>
      </c>
    </row>
    <row r="35" spans="1:9">
      <c r="A35" s="268">
        <v>283</v>
      </c>
      <c r="B35" s="49" t="s">
        <v>922</v>
      </c>
      <c r="C35" s="49"/>
      <c r="D35" s="49">
        <v>-831418.56</v>
      </c>
      <c r="E35" s="49"/>
      <c r="F35" s="49" t="s">
        <v>251</v>
      </c>
      <c r="G35" s="229">
        <f t="shared" si="1"/>
        <v>0</v>
      </c>
      <c r="H35" s="192"/>
      <c r="I35" s="49">
        <f t="shared" si="2"/>
        <v>0</v>
      </c>
    </row>
    <row r="36" spans="1:9">
      <c r="A36" s="268">
        <v>283</v>
      </c>
      <c r="B36" s="49" t="s">
        <v>923</v>
      </c>
      <c r="C36" s="49"/>
      <c r="D36" s="49">
        <v>-1135512.1499999999</v>
      </c>
      <c r="E36" s="49"/>
      <c r="F36" s="49" t="s">
        <v>924</v>
      </c>
      <c r="G36" s="229">
        <f t="shared" si="1"/>
        <v>1</v>
      </c>
      <c r="H36" s="192"/>
      <c r="I36" s="49">
        <f t="shared" si="2"/>
        <v>-1135512.1499999999</v>
      </c>
    </row>
    <row r="37" spans="1:9">
      <c r="A37" s="268">
        <v>283</v>
      </c>
      <c r="B37" s="49" t="s">
        <v>961</v>
      </c>
      <c r="C37" s="49"/>
      <c r="D37" s="49">
        <v>-2268111.9</v>
      </c>
      <c r="E37" s="49"/>
      <c r="F37" s="49" t="s">
        <v>251</v>
      </c>
      <c r="G37" s="229">
        <f t="shared" si="1"/>
        <v>0</v>
      </c>
      <c r="H37" s="192"/>
      <c r="I37" s="49">
        <f t="shared" si="2"/>
        <v>0</v>
      </c>
    </row>
    <row r="38" spans="1:9">
      <c r="A38" s="268">
        <v>283</v>
      </c>
      <c r="B38" s="49" t="s">
        <v>926</v>
      </c>
      <c r="C38" s="49"/>
      <c r="D38" s="49">
        <v>-1752041.69</v>
      </c>
      <c r="E38" s="49"/>
      <c r="F38" s="49" t="s">
        <v>251</v>
      </c>
      <c r="G38" s="229">
        <f t="shared" si="1"/>
        <v>0</v>
      </c>
      <c r="H38" s="192"/>
      <c r="I38" s="49">
        <f t="shared" si="2"/>
        <v>0</v>
      </c>
    </row>
    <row r="39" spans="1:9">
      <c r="A39" s="268">
        <v>283</v>
      </c>
      <c r="B39" s="49" t="s">
        <v>962</v>
      </c>
      <c r="C39" s="49"/>
      <c r="D39" s="49">
        <v>29318.825249999991</v>
      </c>
      <c r="E39" s="49"/>
      <c r="F39" s="49" t="s">
        <v>37</v>
      </c>
      <c r="G39" s="229">
        <f t="shared" si="1"/>
        <v>0.16084552246971878</v>
      </c>
      <c r="H39" s="192"/>
      <c r="I39" s="49">
        <f t="shared" si="2"/>
        <v>4715.8017655346321</v>
      </c>
    </row>
    <row r="40" spans="1:9">
      <c r="A40" s="268">
        <v>283</v>
      </c>
      <c r="B40" s="49" t="s">
        <v>963</v>
      </c>
      <c r="C40" s="49"/>
      <c r="D40" s="49">
        <v>-134815.38175</v>
      </c>
      <c r="E40" s="49"/>
      <c r="F40" s="49" t="s">
        <v>37</v>
      </c>
      <c r="G40" s="229">
        <f t="shared" si="1"/>
        <v>0.16084552246971878</v>
      </c>
      <c r="H40" s="192"/>
      <c r="I40" s="49">
        <f t="shared" si="2"/>
        <v>-21684.450514533342</v>
      </c>
    </row>
    <row r="41" spans="1:9">
      <c r="A41" s="268">
        <v>283</v>
      </c>
      <c r="B41" s="270" t="s">
        <v>928</v>
      </c>
      <c r="C41" s="49"/>
      <c r="D41" s="49">
        <v>-752134.15</v>
      </c>
      <c r="E41" s="49"/>
      <c r="F41" s="49" t="s">
        <v>247</v>
      </c>
      <c r="G41" s="229">
        <f t="shared" si="1"/>
        <v>0</v>
      </c>
      <c r="H41" s="192"/>
      <c r="I41" s="49">
        <f t="shared" si="2"/>
        <v>0</v>
      </c>
    </row>
    <row r="42" spans="1:9">
      <c r="A42" s="268">
        <v>283</v>
      </c>
      <c r="B42" s="49" t="s">
        <v>903</v>
      </c>
      <c r="C42" s="49"/>
      <c r="D42" s="49">
        <v>-1</v>
      </c>
      <c r="E42" s="49"/>
      <c r="F42" s="49" t="s">
        <v>37</v>
      </c>
      <c r="G42" s="229">
        <f t="shared" si="1"/>
        <v>0.16084552246971878</v>
      </c>
      <c r="H42" s="192"/>
      <c r="I42" s="49">
        <f t="shared" si="2"/>
        <v>-0.16084552246971878</v>
      </c>
    </row>
    <row r="43" spans="1:9" ht="13.5" thickBot="1">
      <c r="A43" s="76"/>
      <c r="B43" s="71" t="s">
        <v>255</v>
      </c>
      <c r="C43" s="71"/>
      <c r="D43" s="77">
        <f>SUM(D21:D42)</f>
        <v>-697572291.12655723</v>
      </c>
      <c r="E43" s="41"/>
      <c r="F43" s="41"/>
      <c r="G43" s="55"/>
      <c r="H43" s="41"/>
      <c r="I43" s="77">
        <f>SUM(I21:I42)</f>
        <v>-17454870.489749428</v>
      </c>
    </row>
    <row r="44" spans="1:9" ht="8.25" customHeight="1" thickTop="1">
      <c r="A44" s="76"/>
      <c r="B44" s="71"/>
      <c r="C44" s="71"/>
      <c r="D44" s="78"/>
      <c r="E44" s="41"/>
      <c r="F44" s="41"/>
      <c r="G44" s="55"/>
      <c r="H44" s="41"/>
      <c r="I44" s="41"/>
    </row>
    <row r="45" spans="1:9" ht="13.5" thickBot="1">
      <c r="A45" s="41"/>
      <c r="B45" s="77" t="s">
        <v>256</v>
      </c>
      <c r="C45" s="77"/>
      <c r="D45" s="77">
        <f>SUM('PEF - 5 p3 CY ADIT 190'!D82,D13,D19,D43)</f>
        <v>-1046656008.4598072</v>
      </c>
      <c r="E45" s="41"/>
      <c r="F45" s="41"/>
      <c r="G45" s="55"/>
      <c r="H45" s="41"/>
      <c r="I45" s="77">
        <f>SUM('PEF - 5 p3 CY ADIT 190'!I82,I13,I19,I43)</f>
        <v>-184726531.17665309</v>
      </c>
    </row>
    <row r="46" spans="1:9" ht="13.5" thickTop="1">
      <c r="E46" s="20" t="s">
        <v>247</v>
      </c>
      <c r="F46" s="44">
        <v>0</v>
      </c>
      <c r="G46" s="15"/>
    </row>
  </sheetData>
  <mergeCells count="4">
    <mergeCell ref="I1:J1"/>
    <mergeCell ref="I3:J3"/>
    <mergeCell ref="A5:I5"/>
    <mergeCell ref="A6:I6"/>
  </mergeCells>
  <phoneticPr fontId="15" type="noConversion"/>
  <pageMargins left="0.75" right="0.75" top="1" bottom="1" header="0.5" footer="0.5"/>
  <pageSetup scale="70" fitToHeight="2" orientation="portrait"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O32"/>
  <sheetViews>
    <sheetView workbookViewId="0"/>
  </sheetViews>
  <sheetFormatPr defaultRowHeight="12.75"/>
  <cols>
    <col min="1" max="1" width="5.7109375" customWidth="1"/>
    <col min="3" max="3" width="3.7109375" customWidth="1"/>
    <col min="4" max="4" width="32.7109375" customWidth="1"/>
    <col min="5" max="5" width="15.7109375" customWidth="1"/>
    <col min="6" max="6" width="3.7109375" customWidth="1"/>
    <col min="7" max="7" width="15.7109375" customWidth="1"/>
    <col min="8" max="8" width="3.7109375" customWidth="1"/>
    <col min="9" max="9" width="15.7109375" customWidth="1"/>
    <col min="10" max="10" width="3.7109375" customWidth="1"/>
    <col min="11" max="11" width="12.7109375" customWidth="1"/>
    <col min="12" max="12" width="10.7109375" customWidth="1"/>
    <col min="13" max="13" width="3.7109375" customWidth="1"/>
    <col min="14" max="14" width="15.7109375" customWidth="1"/>
    <col min="15" max="15" width="5.7109375" customWidth="1"/>
  </cols>
  <sheetData>
    <row r="1" spans="1:15" ht="15.75">
      <c r="A1" s="191"/>
      <c r="B1" s="191"/>
      <c r="C1" s="191"/>
      <c r="D1" s="191"/>
      <c r="E1" s="191"/>
      <c r="F1" s="191"/>
      <c r="G1" s="191"/>
      <c r="H1" s="191"/>
      <c r="I1" s="191"/>
      <c r="J1" s="191"/>
      <c r="K1" s="191"/>
      <c r="L1" s="191"/>
      <c r="M1" s="191"/>
      <c r="N1" s="333" t="s">
        <v>528</v>
      </c>
      <c r="O1" s="333"/>
    </row>
    <row r="2" spans="1:15" ht="15.75">
      <c r="A2" s="191"/>
      <c r="B2" s="191"/>
      <c r="C2" s="191"/>
      <c r="D2" s="191"/>
      <c r="E2" s="191"/>
      <c r="F2" s="191"/>
      <c r="G2" s="191"/>
      <c r="H2" s="191"/>
      <c r="I2" s="191"/>
      <c r="J2" s="191"/>
      <c r="K2" s="191"/>
      <c r="L2" s="191"/>
      <c r="M2" s="191"/>
      <c r="N2" s="205" t="s">
        <v>484</v>
      </c>
      <c r="O2" s="205"/>
    </row>
    <row r="3" spans="1:15" ht="15">
      <c r="A3" s="191"/>
      <c r="B3" s="191"/>
      <c r="C3" s="191"/>
      <c r="D3" s="191"/>
      <c r="E3" s="191"/>
      <c r="F3" s="191"/>
      <c r="G3" s="191"/>
      <c r="H3" s="191"/>
      <c r="I3" s="191"/>
      <c r="J3" s="191"/>
      <c r="K3" s="191"/>
      <c r="L3" s="191"/>
      <c r="M3" s="191"/>
      <c r="N3" s="334" t="s">
        <v>527</v>
      </c>
      <c r="O3" s="334"/>
    </row>
    <row r="4" spans="1:15">
      <c r="A4" s="191"/>
      <c r="B4" s="191"/>
      <c r="C4" s="191"/>
      <c r="D4" s="191"/>
      <c r="E4" s="191"/>
      <c r="F4" s="191"/>
      <c r="G4" s="191"/>
      <c r="H4" s="191"/>
      <c r="I4" s="191"/>
      <c r="J4" s="191"/>
      <c r="K4" s="191"/>
      <c r="L4" s="191"/>
      <c r="M4" s="191"/>
      <c r="N4" s="191"/>
      <c r="O4" s="191"/>
    </row>
    <row r="5" spans="1:15">
      <c r="A5" s="191"/>
      <c r="B5" s="191"/>
      <c r="C5" s="191"/>
      <c r="D5" s="191"/>
      <c r="E5" s="191"/>
      <c r="F5" s="191"/>
      <c r="G5" s="191"/>
      <c r="H5" s="191"/>
      <c r="I5" s="191"/>
      <c r="J5" s="191"/>
      <c r="K5" s="191"/>
      <c r="L5" s="191"/>
      <c r="M5" s="191"/>
      <c r="N5" s="191"/>
      <c r="O5" s="191"/>
    </row>
    <row r="6" spans="1:15" ht="15">
      <c r="A6" s="335" t="s">
        <v>135</v>
      </c>
      <c r="B6" s="335"/>
      <c r="C6" s="335"/>
      <c r="D6" s="335"/>
      <c r="E6" s="335"/>
      <c r="F6" s="335"/>
      <c r="G6" s="335"/>
      <c r="H6" s="335"/>
      <c r="I6" s="335"/>
      <c r="J6" s="335"/>
      <c r="K6" s="335"/>
      <c r="L6" s="335"/>
      <c r="M6" s="335"/>
      <c r="N6" s="335"/>
      <c r="O6" s="335"/>
    </row>
    <row r="7" spans="1:15" ht="15">
      <c r="A7" s="211"/>
      <c r="B7" s="211"/>
      <c r="C7" s="211"/>
      <c r="D7" s="211"/>
      <c r="E7" s="211"/>
      <c r="F7" s="211"/>
      <c r="G7" s="211"/>
      <c r="H7" s="211"/>
      <c r="I7" s="211"/>
      <c r="J7" s="211"/>
      <c r="K7" s="211"/>
      <c r="L7" s="211"/>
      <c r="M7" s="211"/>
      <c r="N7" s="211"/>
      <c r="O7" s="211"/>
    </row>
    <row r="8" spans="1:15" ht="15">
      <c r="A8" s="336" t="s">
        <v>545</v>
      </c>
      <c r="B8" s="336"/>
      <c r="C8" s="336"/>
      <c r="D8" s="336"/>
      <c r="E8" s="336"/>
      <c r="F8" s="336"/>
      <c r="G8" s="336"/>
      <c r="H8" s="336"/>
      <c r="I8" s="336"/>
      <c r="J8" s="336"/>
      <c r="K8" s="336"/>
      <c r="L8" s="336"/>
      <c r="M8" s="336"/>
      <c r="N8" s="336"/>
      <c r="O8" s="336"/>
    </row>
    <row r="9" spans="1:15" ht="15">
      <c r="A9" s="337"/>
      <c r="B9" s="337"/>
      <c r="C9" s="337"/>
      <c r="D9" s="337"/>
      <c r="E9" s="337"/>
      <c r="F9" s="337"/>
      <c r="G9" s="337"/>
      <c r="H9" s="337"/>
      <c r="I9" s="337"/>
      <c r="J9" s="337"/>
      <c r="K9" s="337"/>
      <c r="L9" s="337"/>
      <c r="M9" s="337"/>
      <c r="N9" s="337"/>
      <c r="O9" s="337"/>
    </row>
    <row r="10" spans="1:15" ht="15">
      <c r="A10" s="212"/>
      <c r="B10" s="212"/>
      <c r="C10" s="212"/>
      <c r="D10" s="212"/>
      <c r="E10" s="212"/>
      <c r="F10" s="212"/>
      <c r="G10" s="212"/>
      <c r="H10" s="212"/>
      <c r="I10" s="212"/>
      <c r="J10" s="212"/>
      <c r="K10" s="212"/>
      <c r="L10" s="212"/>
      <c r="M10" s="212"/>
      <c r="N10" s="212"/>
      <c r="O10" s="212"/>
    </row>
    <row r="11" spans="1:15" ht="15">
      <c r="A11" s="211"/>
      <c r="B11" s="211"/>
      <c r="C11" s="211"/>
      <c r="D11" s="211"/>
      <c r="E11" s="211"/>
      <c r="F11" s="211"/>
      <c r="G11" s="211"/>
      <c r="H11" s="211"/>
      <c r="I11" s="211"/>
      <c r="J11" s="211"/>
      <c r="K11" s="211"/>
      <c r="L11" s="211"/>
      <c r="M11" s="211"/>
      <c r="N11" s="211"/>
      <c r="O11" s="211"/>
    </row>
    <row r="12" spans="1:15" ht="30">
      <c r="A12" s="211"/>
      <c r="B12" s="213" t="s">
        <v>246</v>
      </c>
      <c r="C12" s="213"/>
      <c r="D12" s="214" t="s">
        <v>529</v>
      </c>
      <c r="E12" s="213" t="s">
        <v>265</v>
      </c>
      <c r="F12" s="213"/>
      <c r="G12" s="213" t="s">
        <v>530</v>
      </c>
      <c r="H12" s="215"/>
      <c r="I12" s="213" t="s">
        <v>271</v>
      </c>
      <c r="J12" s="214"/>
      <c r="K12" s="214" t="s">
        <v>23</v>
      </c>
      <c r="L12" s="214" t="s">
        <v>546</v>
      </c>
      <c r="M12" s="214"/>
      <c r="N12" s="213" t="s">
        <v>245</v>
      </c>
      <c r="O12" s="216"/>
    </row>
    <row r="13" spans="1:15" ht="15">
      <c r="A13" s="211"/>
      <c r="B13" s="211"/>
      <c r="C13" s="211"/>
      <c r="D13" s="211"/>
      <c r="E13" s="211"/>
      <c r="F13" s="211"/>
      <c r="G13" s="211"/>
      <c r="H13" s="211"/>
      <c r="I13" s="211"/>
      <c r="J13" s="211"/>
      <c r="K13" s="211"/>
      <c r="L13" s="211"/>
      <c r="M13" s="211"/>
      <c r="O13" s="211"/>
    </row>
    <row r="14" spans="1:15" ht="15">
      <c r="A14" s="211"/>
      <c r="B14" s="211"/>
      <c r="C14" s="211"/>
      <c r="D14" s="217" t="s">
        <v>547</v>
      </c>
      <c r="E14" s="211"/>
      <c r="F14" s="211"/>
      <c r="G14" s="211"/>
      <c r="H14" s="211"/>
      <c r="I14" s="211"/>
      <c r="J14" s="211"/>
      <c r="K14" s="211"/>
      <c r="L14" s="211"/>
      <c r="M14" s="211"/>
      <c r="O14" s="211"/>
    </row>
    <row r="15" spans="1:15" ht="15">
      <c r="A15" s="211"/>
      <c r="B15" s="271">
        <v>2283141</v>
      </c>
      <c r="C15" s="192"/>
      <c r="D15" s="239" t="s">
        <v>964</v>
      </c>
      <c r="E15" s="240">
        <v>235942341.69999999</v>
      </c>
      <c r="F15" s="239"/>
      <c r="G15" s="240">
        <v>293688166.93000001</v>
      </c>
      <c r="H15" s="192"/>
      <c r="I15" s="240">
        <f>(E15+G15)/2</f>
        <v>264815254.315</v>
      </c>
      <c r="J15" s="192"/>
      <c r="K15" s="66" t="s">
        <v>248</v>
      </c>
      <c r="L15" s="229">
        <f t="shared" ref="L15:L24" si="0">VLOOKUP(K15,ALLOCATORS,2,FALSE)</f>
        <v>7.4044416484916623E-2</v>
      </c>
      <c r="M15" s="192"/>
      <c r="N15" s="240">
        <f>I15*L15</f>
        <v>19608090.982058972</v>
      </c>
      <c r="O15" s="211"/>
    </row>
    <row r="16" spans="1:15" ht="15">
      <c r="A16" s="211"/>
      <c r="B16" s="271">
        <v>2283142</v>
      </c>
      <c r="C16" s="192"/>
      <c r="D16" s="239" t="s">
        <v>965</v>
      </c>
      <c r="E16" s="240">
        <v>-10813312</v>
      </c>
      <c r="F16" s="239"/>
      <c r="G16" s="240">
        <v>-13658694.74</v>
      </c>
      <c r="H16" s="192"/>
      <c r="I16" s="240">
        <f t="shared" ref="I16:I24" si="1">(E16+G16)/2</f>
        <v>-12236003.370000001</v>
      </c>
      <c r="J16" s="192"/>
      <c r="K16" s="66" t="s">
        <v>248</v>
      </c>
      <c r="L16" s="229">
        <f t="shared" si="0"/>
        <v>7.4044416484916623E-2</v>
      </c>
      <c r="M16" s="192"/>
      <c r="N16" s="240">
        <f t="shared" ref="N16:N24" si="2">I16*L16</f>
        <v>-906007.72963912343</v>
      </c>
      <c r="O16" s="211"/>
    </row>
    <row r="17" spans="1:15" ht="15">
      <c r="A17" s="211"/>
      <c r="B17" s="271">
        <v>2283143</v>
      </c>
      <c r="C17" s="192"/>
      <c r="D17" s="239" t="s">
        <v>966</v>
      </c>
      <c r="E17" s="240">
        <v>8380796</v>
      </c>
      <c r="F17" s="239"/>
      <c r="G17" s="240">
        <v>17766120.91</v>
      </c>
      <c r="H17" s="192"/>
      <c r="I17" s="240">
        <f t="shared" si="1"/>
        <v>13073458.455</v>
      </c>
      <c r="J17" s="192"/>
      <c r="K17" s="66" t="s">
        <v>248</v>
      </c>
      <c r="L17" s="229">
        <f t="shared" si="0"/>
        <v>7.4044416484916623E-2</v>
      </c>
      <c r="M17" s="192"/>
      <c r="N17" s="240">
        <f t="shared" si="2"/>
        <v>968016.60274027463</v>
      </c>
      <c r="O17" s="211"/>
    </row>
    <row r="18" spans="1:15" ht="15">
      <c r="A18" s="211"/>
      <c r="B18" s="271">
        <v>2283510</v>
      </c>
      <c r="C18" s="192"/>
      <c r="D18" s="239" t="s">
        <v>888</v>
      </c>
      <c r="E18" s="240">
        <f>-917121</f>
        <v>-917121</v>
      </c>
      <c r="F18" s="239"/>
      <c r="G18" s="240">
        <v>-1194814.74</v>
      </c>
      <c r="H18" s="192"/>
      <c r="I18" s="240">
        <f t="shared" si="1"/>
        <v>-1055967.8700000001</v>
      </c>
      <c r="J18" s="192"/>
      <c r="K18" s="66" t="s">
        <v>248</v>
      </c>
      <c r="L18" s="229">
        <f t="shared" si="0"/>
        <v>7.4044416484916623E-2</v>
      </c>
      <c r="M18" s="192"/>
      <c r="N18" s="240">
        <f t="shared" si="2"/>
        <v>-78188.524760970307</v>
      </c>
      <c r="O18" s="211"/>
    </row>
    <row r="19" spans="1:15" ht="15">
      <c r="A19" s="211"/>
      <c r="B19" s="271">
        <v>2283520</v>
      </c>
      <c r="C19" s="192"/>
      <c r="D19" s="239" t="s">
        <v>967</v>
      </c>
      <c r="E19" s="240">
        <v>-652108</v>
      </c>
      <c r="F19" s="239"/>
      <c r="G19" s="240">
        <v>-980601.53</v>
      </c>
      <c r="H19" s="192"/>
      <c r="I19" s="240">
        <f t="shared" si="1"/>
        <v>-816354.76500000001</v>
      </c>
      <c r="J19" s="192"/>
      <c r="K19" s="66" t="s">
        <v>248</v>
      </c>
      <c r="L19" s="229">
        <f t="shared" si="0"/>
        <v>7.4044416484916623E-2</v>
      </c>
      <c r="M19" s="192"/>
      <c r="N19" s="240">
        <f t="shared" si="2"/>
        <v>-60446.51221910624</v>
      </c>
      <c r="O19" s="211"/>
    </row>
    <row r="20" spans="1:15" ht="15">
      <c r="A20" s="211"/>
      <c r="B20" s="271">
        <v>2283540</v>
      </c>
      <c r="C20" s="192"/>
      <c r="D20" s="239" t="s">
        <v>889</v>
      </c>
      <c r="E20" s="240">
        <v>2697953</v>
      </c>
      <c r="F20" s="239"/>
      <c r="G20" s="240">
        <f>4378449.98</f>
        <v>4378449.9800000004</v>
      </c>
      <c r="H20" s="192"/>
      <c r="I20" s="240">
        <f t="shared" si="1"/>
        <v>3538201.49</v>
      </c>
      <c r="J20" s="192"/>
      <c r="K20" s="66" t="s">
        <v>248</v>
      </c>
      <c r="L20" s="229">
        <f t="shared" si="0"/>
        <v>7.4044416484916623E-2</v>
      </c>
      <c r="M20" s="192"/>
      <c r="N20" s="240">
        <f t="shared" si="2"/>
        <v>261984.06473311258</v>
      </c>
      <c r="O20" s="211"/>
    </row>
    <row r="21" spans="1:15" ht="15">
      <c r="A21" s="211"/>
      <c r="B21" s="271">
        <v>2283550</v>
      </c>
      <c r="C21" s="192"/>
      <c r="D21" s="239" t="s">
        <v>968</v>
      </c>
      <c r="E21" s="240">
        <v>2644250</v>
      </c>
      <c r="F21" s="239"/>
      <c r="G21" s="240">
        <f>4333876.01</f>
        <v>4333876.01</v>
      </c>
      <c r="H21" s="192"/>
      <c r="I21" s="240">
        <f t="shared" si="1"/>
        <v>3489063.0049999999</v>
      </c>
      <c r="J21" s="192"/>
      <c r="K21" s="66" t="s">
        <v>248</v>
      </c>
      <c r="L21" s="229">
        <f t="shared" si="0"/>
        <v>7.4044416484916623E-2</v>
      </c>
      <c r="M21" s="192"/>
      <c r="N21" s="240">
        <f t="shared" si="2"/>
        <v>258345.63428433472</v>
      </c>
      <c r="O21" s="211"/>
    </row>
    <row r="22" spans="1:15" ht="15">
      <c r="A22" s="211"/>
      <c r="B22" s="271">
        <v>2282200</v>
      </c>
      <c r="C22" s="239"/>
      <c r="D22" s="239" t="s">
        <v>969</v>
      </c>
      <c r="E22" s="240">
        <v>17071780</v>
      </c>
      <c r="F22" s="192"/>
      <c r="G22" s="240">
        <v>43039393.210000001</v>
      </c>
      <c r="H22" s="192"/>
      <c r="I22" s="240">
        <f t="shared" si="1"/>
        <v>30055586.605</v>
      </c>
      <c r="J22" s="192"/>
      <c r="K22" s="66" t="s">
        <v>248</v>
      </c>
      <c r="L22" s="229">
        <f t="shared" si="0"/>
        <v>7.4044416484916623E-2</v>
      </c>
      <c r="M22" s="192"/>
      <c r="N22" s="240">
        <f t="shared" si="2"/>
        <v>2225448.3722791011</v>
      </c>
      <c r="O22" s="211"/>
    </row>
    <row r="23" spans="1:15" ht="15">
      <c r="A23" s="211"/>
      <c r="B23" s="271">
        <v>2282600</v>
      </c>
      <c r="C23" s="239"/>
      <c r="D23" s="239" t="s">
        <v>970</v>
      </c>
      <c r="E23" s="240">
        <v>2499119</v>
      </c>
      <c r="F23" s="192"/>
      <c r="G23" s="240">
        <v>946278.27</v>
      </c>
      <c r="H23" s="192"/>
      <c r="I23" s="240">
        <f t="shared" si="1"/>
        <v>1722698.635</v>
      </c>
      <c r="J23" s="192"/>
      <c r="K23" s="66" t="s">
        <v>248</v>
      </c>
      <c r="L23" s="229">
        <f t="shared" si="0"/>
        <v>7.4044416484916623E-2</v>
      </c>
      <c r="M23" s="192"/>
      <c r="N23" s="240">
        <f t="shared" si="2"/>
        <v>127556.21520793736</v>
      </c>
      <c r="O23" s="211"/>
    </row>
    <row r="24" spans="1:15" ht="15.75" thickBot="1">
      <c r="A24" s="211"/>
      <c r="B24" s="271">
        <v>2284800</v>
      </c>
      <c r="C24" s="239"/>
      <c r="D24" s="239" t="s">
        <v>971</v>
      </c>
      <c r="E24" s="272">
        <v>29196899</v>
      </c>
      <c r="F24" s="192"/>
      <c r="G24" s="272">
        <f>22931058.4</f>
        <v>22931058.399999999</v>
      </c>
      <c r="H24" s="192"/>
      <c r="I24" s="240">
        <f t="shared" si="1"/>
        <v>26063978.699999999</v>
      </c>
      <c r="J24" s="192"/>
      <c r="K24" s="66" t="s">
        <v>248</v>
      </c>
      <c r="L24" s="229">
        <f t="shared" si="0"/>
        <v>7.4044416484916623E-2</v>
      </c>
      <c r="M24" s="192"/>
      <c r="N24" s="272">
        <f t="shared" si="2"/>
        <v>1929892.0941167956</v>
      </c>
      <c r="O24" s="211"/>
    </row>
    <row r="25" spans="1:15" ht="15.75" thickTop="1">
      <c r="A25" s="211"/>
      <c r="B25" s="218"/>
      <c r="C25" s="218"/>
      <c r="D25" s="219" t="s">
        <v>548</v>
      </c>
      <c r="E25" s="220">
        <f>SUM(E15:E24)</f>
        <v>286050597.69999999</v>
      </c>
      <c r="F25" s="220"/>
      <c r="G25" s="220">
        <f>SUM(G15:G24)</f>
        <v>371249232.69999999</v>
      </c>
      <c r="H25" s="221"/>
      <c r="I25" s="222">
        <f>SUM(I15:I24)</f>
        <v>328649915.20000005</v>
      </c>
      <c r="J25" s="219"/>
      <c r="K25" s="219"/>
      <c r="L25" s="219"/>
      <c r="M25" s="219"/>
      <c r="N25" s="223">
        <f>SUM(N15:N24)</f>
        <v>24334691.198801331</v>
      </c>
      <c r="O25" s="211"/>
    </row>
    <row r="26" spans="1:15" ht="15">
      <c r="A26" s="211"/>
      <c r="B26" s="211"/>
      <c r="C26" s="211"/>
      <c r="D26" s="211"/>
      <c r="E26" s="211"/>
      <c r="F26" s="211"/>
      <c r="G26" s="211"/>
      <c r="H26" s="211"/>
      <c r="I26" s="211"/>
      <c r="J26" s="211"/>
      <c r="K26" s="211"/>
      <c r="L26" s="211"/>
      <c r="M26" s="211"/>
      <c r="O26" s="211"/>
    </row>
    <row r="27" spans="1:15" ht="15">
      <c r="A27" s="211"/>
      <c r="B27" s="211"/>
      <c r="C27" s="211"/>
      <c r="D27" s="217" t="s">
        <v>549</v>
      </c>
      <c r="E27" s="224"/>
      <c r="F27" s="224"/>
      <c r="G27" s="224"/>
      <c r="H27" s="225"/>
      <c r="I27" s="225"/>
      <c r="J27" s="211"/>
      <c r="K27" s="211"/>
      <c r="L27" s="211"/>
      <c r="M27" s="211"/>
      <c r="O27" s="211"/>
    </row>
    <row r="28" spans="1:15" ht="15.75" thickBot="1">
      <c r="A28" s="211"/>
      <c r="B28" s="211"/>
      <c r="C28" s="211"/>
      <c r="D28" s="192" t="s">
        <v>972</v>
      </c>
      <c r="E28" s="198">
        <v>-31569603.600000001</v>
      </c>
      <c r="F28" s="56"/>
      <c r="G28" s="198">
        <v>-33165455.140000001</v>
      </c>
      <c r="H28" s="192"/>
      <c r="I28" s="240">
        <f t="shared" ref="I28" si="3">(E28+G28)/2</f>
        <v>-32367529.370000001</v>
      </c>
      <c r="J28" s="192"/>
      <c r="K28" s="66" t="s">
        <v>248</v>
      </c>
      <c r="L28" s="229">
        <f>VLOOKUP(K28,ALLOCATORS,2,FALSE)</f>
        <v>7.4044416484916623E-2</v>
      </c>
      <c r="M28" s="192"/>
      <c r="N28" s="272">
        <f t="shared" ref="N28" si="4">I28*L28</f>
        <v>-2396634.8252600511</v>
      </c>
      <c r="O28" s="211"/>
    </row>
    <row r="29" spans="1:15" ht="15.75" thickTop="1">
      <c r="A29" s="211"/>
      <c r="B29" s="211"/>
      <c r="C29" s="211"/>
      <c r="D29" s="226" t="s">
        <v>550</v>
      </c>
      <c r="E29" s="220">
        <f>+E28</f>
        <v>-31569603.600000001</v>
      </c>
      <c r="F29" s="220"/>
      <c r="G29" s="220">
        <f>+G28</f>
        <v>-33165455.140000001</v>
      </c>
      <c r="H29" s="226"/>
      <c r="I29" s="222">
        <f>+I28</f>
        <v>-32367529.370000001</v>
      </c>
      <c r="J29" s="219"/>
      <c r="K29" s="219"/>
      <c r="L29" s="219"/>
      <c r="M29" s="219"/>
      <c r="N29" s="223">
        <f>+N28</f>
        <v>-2396634.8252600511</v>
      </c>
      <c r="O29" s="211"/>
    </row>
    <row r="30" spans="1:15" ht="15">
      <c r="A30" s="211"/>
      <c r="B30" s="211"/>
      <c r="C30" s="211"/>
      <c r="D30" s="211"/>
      <c r="E30" s="211"/>
      <c r="F30" s="211"/>
      <c r="G30" s="211"/>
      <c r="H30" s="211"/>
      <c r="I30" s="211"/>
      <c r="J30" s="211"/>
      <c r="K30" s="211"/>
      <c r="L30" s="211"/>
      <c r="M30" s="211"/>
      <c r="O30" s="211"/>
    </row>
    <row r="31" spans="1:15" ht="15">
      <c r="A31" s="211"/>
      <c r="B31" s="211"/>
      <c r="C31" s="211"/>
      <c r="D31" s="226" t="s">
        <v>551</v>
      </c>
      <c r="E31" s="227">
        <f>E25+E29</f>
        <v>254480994.09999999</v>
      </c>
      <c r="F31" s="227"/>
      <c r="G31" s="227">
        <f>G25+G29</f>
        <v>338083777.56</v>
      </c>
      <c r="H31" s="225"/>
      <c r="I31" s="227">
        <f>I25+I29</f>
        <v>296282385.83000004</v>
      </c>
      <c r="J31" s="226"/>
      <c r="K31" s="226"/>
      <c r="L31" s="226"/>
      <c r="M31" s="226"/>
      <c r="N31" s="227">
        <f>N25+N29</f>
        <v>21938056.373541281</v>
      </c>
      <c r="O31" s="211"/>
    </row>
    <row r="32" spans="1:15" ht="15">
      <c r="A32" s="211"/>
      <c r="B32" s="211"/>
      <c r="C32" s="211"/>
      <c r="D32" s="211"/>
      <c r="E32" s="211"/>
      <c r="F32" s="211"/>
      <c r="G32" s="211"/>
      <c r="H32" s="211"/>
      <c r="I32" s="211"/>
      <c r="J32" s="211"/>
      <c r="K32" s="211"/>
      <c r="L32" s="211"/>
      <c r="M32" s="211"/>
      <c r="N32" s="211"/>
      <c r="O32" s="211"/>
    </row>
  </sheetData>
  <mergeCells count="5">
    <mergeCell ref="N1:O1"/>
    <mergeCell ref="N3:O3"/>
    <mergeCell ref="A6:O6"/>
    <mergeCell ref="A8:O8"/>
    <mergeCell ref="A9:O9"/>
  </mergeCells>
  <pageMargins left="0.45" right="0.45" top="1.25" bottom="0.75" header="0.3" footer="0.3"/>
  <pageSetup scale="61" orientation="portrait" r:id="rId1"/>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Q76"/>
  <sheetViews>
    <sheetView tabSelected="1" topLeftCell="D1" workbookViewId="0">
      <selection activeCell="E3" sqref="E3"/>
    </sheetView>
  </sheetViews>
  <sheetFormatPr defaultRowHeight="12.75"/>
  <cols>
    <col min="1" max="1" width="3.7109375" customWidth="1"/>
    <col min="2" max="2" width="7.7109375" customWidth="1"/>
    <col min="3" max="3" width="9" customWidth="1"/>
    <col min="4" max="4" width="8.140625" customWidth="1"/>
    <col min="5" max="5" width="39.42578125" customWidth="1"/>
    <col min="6" max="6" width="14.5703125" bestFit="1" customWidth="1"/>
    <col min="7" max="7" width="3.7109375" customWidth="1"/>
    <col min="8" max="8" width="13.42578125" bestFit="1" customWidth="1"/>
    <col min="9" max="9" width="3.7109375" customWidth="1"/>
    <col min="10" max="10" width="15.85546875" bestFit="1" customWidth="1"/>
    <col min="11" max="11" width="6.5703125" customWidth="1"/>
    <col min="12" max="12" width="14.85546875" customWidth="1"/>
    <col min="13" max="13" width="9.85546875" customWidth="1"/>
    <col min="14" max="14" width="16.85546875" customWidth="1"/>
    <col min="15" max="15" width="18.28515625" customWidth="1"/>
    <col min="16" max="16" width="11.7109375" customWidth="1"/>
    <col min="17" max="17" width="17.42578125" customWidth="1"/>
  </cols>
  <sheetData>
    <row r="1" spans="1:12" ht="15">
      <c r="K1" s="35" t="s">
        <v>209</v>
      </c>
    </row>
    <row r="2" spans="1:12" ht="15">
      <c r="K2" s="35" t="s">
        <v>391</v>
      </c>
    </row>
    <row r="3" spans="1:12">
      <c r="K3" s="330" t="str">
        <f>"Year Ending 12/31/"&amp;_YR</f>
        <v>Year Ending 12/31/2010</v>
      </c>
      <c r="L3" s="325"/>
    </row>
    <row r="5" spans="1:12">
      <c r="A5" s="315" t="s">
        <v>135</v>
      </c>
      <c r="B5" s="315"/>
      <c r="C5" s="315"/>
      <c r="D5" s="315"/>
      <c r="E5" s="315"/>
      <c r="F5" s="315"/>
      <c r="G5" s="315"/>
      <c r="H5" s="315"/>
      <c r="I5" s="315"/>
      <c r="J5" s="315"/>
      <c r="K5" s="315"/>
      <c r="L5" s="315"/>
    </row>
    <row r="6" spans="1:12">
      <c r="A6" s="327" t="s">
        <v>210</v>
      </c>
      <c r="B6" s="327"/>
      <c r="C6" s="327"/>
      <c r="D6" s="327"/>
      <c r="E6" s="327"/>
      <c r="F6" s="327"/>
      <c r="G6" s="327"/>
      <c r="H6" s="327"/>
      <c r="I6" s="327"/>
      <c r="J6" s="327"/>
      <c r="K6" s="327"/>
      <c r="L6" s="327"/>
    </row>
    <row r="9" spans="1:12" ht="25.5">
      <c r="B9" s="4" t="s">
        <v>0</v>
      </c>
      <c r="C9" s="4" t="s">
        <v>1</v>
      </c>
      <c r="D9" s="4" t="s">
        <v>2</v>
      </c>
      <c r="E9" s="4" t="s">
        <v>3</v>
      </c>
      <c r="F9" s="4" t="s">
        <v>4</v>
      </c>
      <c r="G9" s="4"/>
      <c r="H9" s="48" t="s">
        <v>265</v>
      </c>
      <c r="I9" s="48"/>
      <c r="J9" s="48" t="s">
        <v>267</v>
      </c>
      <c r="K9" s="48"/>
    </row>
    <row r="10" spans="1:12" ht="6" customHeight="1">
      <c r="B10" s="2"/>
      <c r="C10" s="2"/>
      <c r="D10" s="2"/>
    </row>
    <row r="11" spans="1:12">
      <c r="B11" s="45">
        <v>111</v>
      </c>
      <c r="C11" s="45">
        <v>57</v>
      </c>
      <c r="D11" s="45" t="s">
        <v>268</v>
      </c>
      <c r="E11" s="39" t="s">
        <v>40</v>
      </c>
      <c r="F11" s="45" t="str">
        <f>FIXED(B11,0)&amp;"."&amp;FIXED(C11,0)&amp;"."&amp;D11</f>
        <v>111.57.c&amp;d</v>
      </c>
      <c r="G11" s="45"/>
      <c r="H11" s="273">
        <v>7883109</v>
      </c>
      <c r="I11" s="49"/>
      <c r="J11" s="273">
        <v>19619801</v>
      </c>
    </row>
    <row r="12" spans="1:12">
      <c r="B12" s="45">
        <v>111</v>
      </c>
      <c r="C12" s="45">
        <v>81</v>
      </c>
      <c r="D12" s="45" t="s">
        <v>268</v>
      </c>
      <c r="E12" s="39" t="s">
        <v>205</v>
      </c>
      <c r="F12" s="45" t="str">
        <f t="shared" ref="F12:F17" si="0">B12&amp;"."&amp;C12&amp;"."&amp;D12</f>
        <v>111.81.c&amp;d</v>
      </c>
      <c r="G12" s="45"/>
      <c r="H12" s="274">
        <v>19606719</v>
      </c>
      <c r="I12" s="49"/>
      <c r="J12" s="274">
        <v>18243610</v>
      </c>
    </row>
    <row r="13" spans="1:12">
      <c r="B13" s="45">
        <v>112</v>
      </c>
      <c r="C13" s="45">
        <v>3</v>
      </c>
      <c r="D13" s="45" t="s">
        <v>268</v>
      </c>
      <c r="E13" s="39" t="s">
        <v>204</v>
      </c>
      <c r="F13" s="45" t="str">
        <f t="shared" si="0"/>
        <v>112.3.c&amp;d</v>
      </c>
      <c r="G13" s="45"/>
      <c r="H13" s="274">
        <v>33496700</v>
      </c>
      <c r="I13" s="49"/>
      <c r="J13" s="274">
        <v>33496700</v>
      </c>
    </row>
    <row r="14" spans="1:12">
      <c r="B14" s="45">
        <v>112</v>
      </c>
      <c r="C14" s="45">
        <v>12</v>
      </c>
      <c r="D14" s="45" t="s">
        <v>268</v>
      </c>
      <c r="E14" s="39" t="s">
        <v>206</v>
      </c>
      <c r="F14" s="45" t="str">
        <f t="shared" si="0"/>
        <v>112.12.c&amp;d</v>
      </c>
      <c r="G14" s="45"/>
      <c r="H14" s="274">
        <v>143</v>
      </c>
      <c r="I14" s="49"/>
      <c r="J14" s="274">
        <v>220</v>
      </c>
    </row>
    <row r="15" spans="1:12">
      <c r="B15" s="45">
        <v>112</v>
      </c>
      <c r="C15" s="45">
        <v>16</v>
      </c>
      <c r="D15" s="45" t="s">
        <v>268</v>
      </c>
      <c r="E15" s="39" t="s">
        <v>207</v>
      </c>
      <c r="F15" s="45" t="str">
        <f t="shared" si="0"/>
        <v>112.16.c&amp;d</v>
      </c>
      <c r="G15" s="45"/>
      <c r="H15" s="274">
        <v>4524026195</v>
      </c>
      <c r="I15" s="49"/>
      <c r="J15" s="274">
        <v>4923726363</v>
      </c>
    </row>
    <row r="16" spans="1:12">
      <c r="B16" s="45">
        <v>112</v>
      </c>
      <c r="C16" s="45">
        <v>24</v>
      </c>
      <c r="D16" s="45" t="s">
        <v>268</v>
      </c>
      <c r="E16" s="39" t="s">
        <v>72</v>
      </c>
      <c r="F16" s="45" t="str">
        <f t="shared" si="0"/>
        <v>112.24.c&amp;d</v>
      </c>
      <c r="G16" s="45"/>
      <c r="H16" s="274">
        <v>4182644297</v>
      </c>
      <c r="I16" s="49"/>
      <c r="J16" s="274">
        <v>4481805066</v>
      </c>
    </row>
    <row r="17" spans="2:16">
      <c r="B17" s="45">
        <v>113</v>
      </c>
      <c r="C17" s="45">
        <v>61</v>
      </c>
      <c r="D17" s="45" t="s">
        <v>268</v>
      </c>
      <c r="E17" s="39" t="s">
        <v>208</v>
      </c>
      <c r="F17" s="45" t="str">
        <f t="shared" si="0"/>
        <v>113.61.c&amp;d</v>
      </c>
      <c r="G17" s="45"/>
      <c r="H17" s="274">
        <v>0</v>
      </c>
      <c r="I17" s="49"/>
      <c r="J17" s="274">
        <v>0</v>
      </c>
      <c r="M17" s="192"/>
      <c r="N17" s="192" t="s">
        <v>976</v>
      </c>
      <c r="O17" s="192"/>
      <c r="P17" s="192"/>
    </row>
    <row r="18" spans="2:16">
      <c r="B18" s="45">
        <v>117</v>
      </c>
      <c r="C18" s="167" t="s">
        <v>477</v>
      </c>
      <c r="D18" s="45" t="s">
        <v>12</v>
      </c>
      <c r="E18" s="39" t="s">
        <v>70</v>
      </c>
      <c r="F18" s="45" t="str">
        <f>FIXED(B18,0)&amp;"."&amp;C18&amp;"."&amp;D18</f>
        <v>117.62 thru 67.c</v>
      </c>
      <c r="G18" s="45"/>
      <c r="H18" s="274"/>
      <c r="I18" s="49"/>
      <c r="J18" s="274">
        <f>248559251+5398285+1363109</f>
        <v>255320645</v>
      </c>
      <c r="M18" s="192"/>
      <c r="N18" s="192" t="s">
        <v>973</v>
      </c>
      <c r="O18" s="192" t="s">
        <v>974</v>
      </c>
      <c r="P18" s="192" t="s">
        <v>975</v>
      </c>
    </row>
    <row r="19" spans="2:16">
      <c r="B19" s="45">
        <v>118</v>
      </c>
      <c r="C19" s="45">
        <v>29</v>
      </c>
      <c r="D19" s="45" t="s">
        <v>12</v>
      </c>
      <c r="E19" s="39" t="s">
        <v>71</v>
      </c>
      <c r="F19" s="45" t="str">
        <f>FIXED(B19,0)&amp;"."&amp;C19&amp;"."&amp;D19</f>
        <v>118.29.c</v>
      </c>
      <c r="G19" s="45"/>
      <c r="H19" s="274"/>
      <c r="I19" s="49"/>
      <c r="J19" s="274">
        <v>1511860</v>
      </c>
      <c r="M19" s="192">
        <v>2009</v>
      </c>
      <c r="N19" s="275">
        <v>8980981.1799999997</v>
      </c>
      <c r="O19" s="275">
        <f>+N19/2</f>
        <v>4490490.59</v>
      </c>
      <c r="P19" s="276">
        <f>+O19</f>
        <v>4490490.59</v>
      </c>
    </row>
    <row r="20" spans="2:16">
      <c r="B20" s="45">
        <v>200</v>
      </c>
      <c r="C20" s="45">
        <v>21</v>
      </c>
      <c r="D20" s="45" t="s">
        <v>12</v>
      </c>
      <c r="E20" s="39" t="s">
        <v>168</v>
      </c>
      <c r="F20" s="45" t="str">
        <f t="shared" ref="F20:F30" si="1">FIXED(B20,0)&amp;"."&amp;FIXED(C20,0)&amp;"."&amp;D20</f>
        <v>200.21.c</v>
      </c>
      <c r="G20" s="45"/>
      <c r="H20" s="274"/>
      <c r="I20" s="49"/>
      <c r="J20" s="274">
        <v>128354364</v>
      </c>
      <c r="M20" s="192">
        <v>2010</v>
      </c>
      <c r="N20" s="275">
        <v>3121017.73</v>
      </c>
      <c r="O20" s="275">
        <f>+N20/2</f>
        <v>1560508.865</v>
      </c>
      <c r="P20" s="276">
        <f>+P19+O20</f>
        <v>6050999.4550000001</v>
      </c>
    </row>
    <row r="21" spans="2:16">
      <c r="B21" s="45">
        <v>205</v>
      </c>
      <c r="C21" s="45">
        <v>5</v>
      </c>
      <c r="D21" s="45" t="s">
        <v>264</v>
      </c>
      <c r="E21" s="39" t="s">
        <v>164</v>
      </c>
      <c r="F21" s="45" t="str">
        <f t="shared" si="1"/>
        <v>205.5.b&amp;g</v>
      </c>
      <c r="G21" s="45"/>
      <c r="H21" s="274">
        <v>136998392</v>
      </c>
      <c r="I21" s="49"/>
      <c r="J21" s="274">
        <v>139296383</v>
      </c>
    </row>
    <row r="22" spans="2:16" ht="13.5" thickBot="1">
      <c r="B22" s="45">
        <v>205</v>
      </c>
      <c r="C22" s="45">
        <v>46</v>
      </c>
      <c r="D22" s="45" t="s">
        <v>264</v>
      </c>
      <c r="E22" s="39" t="s">
        <v>270</v>
      </c>
      <c r="F22" s="45" t="str">
        <f t="shared" si="1"/>
        <v>205.46.b&amp;g</v>
      </c>
      <c r="G22" s="45"/>
      <c r="H22" s="274">
        <f>6091086859-9768575-18697977</f>
        <v>6062620307</v>
      </c>
      <c r="I22" s="49"/>
      <c r="J22" s="274">
        <f>6519062647-9768575-0</f>
        <v>6509294072</v>
      </c>
      <c r="K22" s="168"/>
    </row>
    <row r="23" spans="2:16" ht="13.5" thickBot="1">
      <c r="B23" s="45">
        <v>207</v>
      </c>
      <c r="C23" s="45">
        <v>58</v>
      </c>
      <c r="D23" s="45" t="s">
        <v>264</v>
      </c>
      <c r="E23" s="39" t="s">
        <v>165</v>
      </c>
      <c r="F23" s="45" t="str">
        <f t="shared" si="1"/>
        <v>207.58.b&amp;g</v>
      </c>
      <c r="G23" s="45"/>
      <c r="H23" s="274">
        <f>1733677133-P19</f>
        <v>1729186642.4100001</v>
      </c>
      <c r="I23" s="49"/>
      <c r="J23" s="274">
        <f>1898551268-P20</f>
        <v>1892500268.5450001</v>
      </c>
      <c r="K23" s="168"/>
      <c r="M23" s="338" t="s">
        <v>1002</v>
      </c>
      <c r="N23" s="339"/>
      <c r="O23" s="340"/>
      <c r="P23" s="295"/>
    </row>
    <row r="24" spans="2:16">
      <c r="B24" s="45">
        <v>207</v>
      </c>
      <c r="C24" s="45">
        <v>75</v>
      </c>
      <c r="D24" s="45" t="s">
        <v>264</v>
      </c>
      <c r="E24" s="39" t="s">
        <v>166</v>
      </c>
      <c r="F24" s="45" t="str">
        <f t="shared" si="1"/>
        <v>207.75.b&amp;g</v>
      </c>
      <c r="G24" s="45"/>
      <c r="H24" s="274">
        <v>3885359784</v>
      </c>
      <c r="I24" s="49"/>
      <c r="J24" s="274">
        <v>4017601528</v>
      </c>
      <c r="K24" s="168"/>
      <c r="L24" s="166"/>
      <c r="M24" s="294"/>
      <c r="N24" s="297" t="s">
        <v>383</v>
      </c>
      <c r="O24" s="298">
        <v>0.5</v>
      </c>
    </row>
    <row r="25" spans="2:16">
      <c r="B25" s="45">
        <v>207</v>
      </c>
      <c r="C25" s="45">
        <v>99</v>
      </c>
      <c r="D25" s="45" t="s">
        <v>264</v>
      </c>
      <c r="E25" s="39" t="s">
        <v>167</v>
      </c>
      <c r="F25" s="45" t="str">
        <f t="shared" si="1"/>
        <v>207.99.b&amp;g</v>
      </c>
      <c r="G25" s="45"/>
      <c r="H25" s="274">
        <f>355845965-1974239</f>
        <v>353871726</v>
      </c>
      <c r="I25" s="49"/>
      <c r="J25" s="274">
        <f>352569462-1974239</f>
        <v>350595223</v>
      </c>
      <c r="K25" s="168"/>
      <c r="L25" s="166"/>
      <c r="M25" s="299">
        <v>2009</v>
      </c>
      <c r="N25" s="300">
        <f>14929</f>
        <v>14929</v>
      </c>
      <c r="O25" s="301">
        <f>N25/2</f>
        <v>7464.5</v>
      </c>
    </row>
    <row r="26" spans="2:16" ht="13.5" thickBot="1">
      <c r="B26" s="45">
        <v>214</v>
      </c>
      <c r="C26" s="45">
        <v>47</v>
      </c>
      <c r="D26" s="45" t="s">
        <v>15</v>
      </c>
      <c r="E26" s="39" t="s">
        <v>11</v>
      </c>
      <c r="F26" s="45" t="str">
        <f t="shared" si="1"/>
        <v>214.47.d</v>
      </c>
      <c r="G26" s="45"/>
      <c r="H26" s="274"/>
      <c r="I26" s="49"/>
      <c r="J26" s="274">
        <f>1046211+1808764+2584486+752861</f>
        <v>6192322</v>
      </c>
      <c r="M26" s="299">
        <v>2010</v>
      </c>
      <c r="N26" s="300">
        <f>43961</f>
        <v>43961</v>
      </c>
      <c r="O26" s="301">
        <f>+N26/2</f>
        <v>21980.5</v>
      </c>
    </row>
    <row r="27" spans="2:16" ht="13.5" thickBot="1">
      <c r="B27" s="45">
        <v>219</v>
      </c>
      <c r="C27" s="167" t="s">
        <v>478</v>
      </c>
      <c r="D27" s="50" t="s">
        <v>12</v>
      </c>
      <c r="E27" s="39" t="s">
        <v>169</v>
      </c>
      <c r="F27" s="45" t="str">
        <f>B27&amp;"."&amp;C27&amp;"."&amp;D27</f>
        <v>219.20 thru 24.c</v>
      </c>
      <c r="G27" s="45"/>
      <c r="H27" s="274"/>
      <c r="I27" s="49"/>
      <c r="J27" s="274">
        <f>1315908142+584526584+680732186</f>
        <v>2581166912</v>
      </c>
      <c r="M27" s="338" t="s">
        <v>1003</v>
      </c>
      <c r="N27" s="339"/>
      <c r="O27" s="340"/>
    </row>
    <row r="28" spans="2:16">
      <c r="B28" s="45">
        <v>219</v>
      </c>
      <c r="C28" s="45">
        <v>25</v>
      </c>
      <c r="D28" s="50" t="s">
        <v>12</v>
      </c>
      <c r="E28" s="39" t="s">
        <v>170</v>
      </c>
      <c r="F28" s="45" t="str">
        <f t="shared" si="1"/>
        <v>219.25.c</v>
      </c>
      <c r="G28" s="45"/>
      <c r="H28" s="274"/>
      <c r="I28" s="49"/>
      <c r="J28" s="274">
        <f>503368837-O26</f>
        <v>503346856.5</v>
      </c>
      <c r="M28" s="299"/>
      <c r="N28" s="297" t="s">
        <v>1001</v>
      </c>
      <c r="O28" s="298">
        <v>0.5</v>
      </c>
    </row>
    <row r="29" spans="2:16" ht="13.5" thickBot="1">
      <c r="B29" s="45">
        <v>219</v>
      </c>
      <c r="C29" s="45">
        <v>26</v>
      </c>
      <c r="D29" s="50" t="s">
        <v>12</v>
      </c>
      <c r="E29" s="39" t="s">
        <v>171</v>
      </c>
      <c r="F29" s="45" t="str">
        <f t="shared" si="1"/>
        <v>219.26.c</v>
      </c>
      <c r="G29" s="45"/>
      <c r="H29" s="274"/>
      <c r="I29" s="49"/>
      <c r="J29" s="274">
        <v>1533445494</v>
      </c>
      <c r="M29" s="302">
        <v>2010</v>
      </c>
      <c r="N29" s="303">
        <f>29032</f>
        <v>29032</v>
      </c>
      <c r="O29" s="304">
        <f>N29/2</f>
        <v>14516</v>
      </c>
    </row>
    <row r="30" spans="2:16">
      <c r="B30" s="45">
        <v>219</v>
      </c>
      <c r="C30" s="45">
        <v>28</v>
      </c>
      <c r="D30" s="50" t="s">
        <v>12</v>
      </c>
      <c r="E30" s="39" t="s">
        <v>172</v>
      </c>
      <c r="F30" s="45" t="str">
        <f t="shared" si="1"/>
        <v>219.28.c</v>
      </c>
      <c r="G30" s="45"/>
      <c r="H30" s="274"/>
      <c r="I30" s="49"/>
      <c r="J30" s="274">
        <v>107187909</v>
      </c>
    </row>
    <row r="31" spans="2:16">
      <c r="B31" s="45">
        <v>227</v>
      </c>
      <c r="C31" s="45">
        <v>8</v>
      </c>
      <c r="D31" s="45" t="s">
        <v>276</v>
      </c>
      <c r="E31" s="39" t="s">
        <v>65</v>
      </c>
      <c r="F31" s="45" t="str">
        <f>FIXED(B31,0)&amp;"."&amp;FIXED(C31,0)&amp;"."&amp;D31</f>
        <v>227.8.b&amp;c</v>
      </c>
      <c r="G31" s="45"/>
      <c r="H31" s="274">
        <v>3214854</v>
      </c>
      <c r="I31" s="49"/>
      <c r="J31" s="274">
        <v>3738107</v>
      </c>
    </row>
    <row r="32" spans="2:16">
      <c r="B32" s="45">
        <v>227</v>
      </c>
      <c r="C32" s="45">
        <v>16</v>
      </c>
      <c r="D32" s="45" t="s">
        <v>276</v>
      </c>
      <c r="E32" s="39" t="s">
        <v>66</v>
      </c>
      <c r="F32" s="45" t="str">
        <f>FIXED(B32,0)&amp;"."&amp;FIXED(C32,0)&amp;"."&amp;D32</f>
        <v>227.16.b&amp;c</v>
      </c>
      <c r="G32" s="45"/>
      <c r="H32" s="274">
        <v>8181652</v>
      </c>
      <c r="I32" s="49"/>
      <c r="J32" s="274">
        <v>8606921</v>
      </c>
    </row>
    <row r="33" spans="2:10">
      <c r="B33" s="45" t="s">
        <v>16</v>
      </c>
      <c r="C33" s="45">
        <v>5</v>
      </c>
      <c r="D33" s="45" t="s">
        <v>13</v>
      </c>
      <c r="E33" s="39" t="s">
        <v>179</v>
      </c>
      <c r="F33" s="45" t="str">
        <f>B33&amp;"."&amp;C33&amp;"."&amp;D33</f>
        <v>230a.5.b</v>
      </c>
      <c r="G33" s="45"/>
      <c r="H33" s="274"/>
      <c r="I33" s="49"/>
      <c r="J33" s="274">
        <v>10501360</v>
      </c>
    </row>
    <row r="34" spans="2:10">
      <c r="B34" s="45" t="s">
        <v>16</v>
      </c>
      <c r="C34" s="45">
        <v>5</v>
      </c>
      <c r="D34" s="45" t="s">
        <v>17</v>
      </c>
      <c r="E34" s="39" t="s">
        <v>179</v>
      </c>
      <c r="F34" s="45" t="str">
        <f>B34&amp;"."&amp;C34&amp;"."&amp;D34</f>
        <v>230a.5.e</v>
      </c>
      <c r="G34" s="45"/>
      <c r="H34" s="274"/>
      <c r="I34" s="49"/>
      <c r="J34" s="274">
        <v>5402382</v>
      </c>
    </row>
    <row r="35" spans="2:10">
      <c r="B35" s="45" t="s">
        <v>16</v>
      </c>
      <c r="C35" s="45">
        <v>5</v>
      </c>
      <c r="D35" s="45" t="s">
        <v>35</v>
      </c>
      <c r="E35" s="39" t="s">
        <v>180</v>
      </c>
      <c r="F35" s="45" t="str">
        <f>B35&amp;"."&amp;C35&amp;"."&amp;D35</f>
        <v>230a.5.f</v>
      </c>
      <c r="G35" s="45"/>
      <c r="H35" s="274"/>
      <c r="I35" s="49"/>
      <c r="J35" s="274">
        <v>5098978</v>
      </c>
    </row>
    <row r="36" spans="2:10">
      <c r="B36" s="45">
        <v>234</v>
      </c>
      <c r="C36" s="45">
        <v>8</v>
      </c>
      <c r="D36" s="45" t="s">
        <v>276</v>
      </c>
      <c r="E36" s="39" t="s">
        <v>18</v>
      </c>
      <c r="F36" s="45" t="str">
        <f>FIXED(B36,0)&amp;"."&amp;FIXED(C36,0)&amp;"."&amp;D36</f>
        <v>234.8.b&amp;c</v>
      </c>
      <c r="G36" s="45"/>
      <c r="H36" s="274">
        <v>541048062</v>
      </c>
      <c r="I36" s="49"/>
      <c r="J36" s="274">
        <v>618811877</v>
      </c>
    </row>
    <row r="37" spans="2:10">
      <c r="B37" s="45">
        <v>263</v>
      </c>
      <c r="C37" s="45">
        <v>3</v>
      </c>
      <c r="D37" s="45" t="s">
        <v>98</v>
      </c>
      <c r="E37" s="39" t="s">
        <v>157</v>
      </c>
      <c r="F37" s="45" t="str">
        <f t="shared" ref="F37:F42" si="2">B37&amp;"."&amp;C37&amp;"."&amp;D37</f>
        <v>263.3.i</v>
      </c>
      <c r="G37" s="45"/>
      <c r="H37" s="274"/>
      <c r="I37" s="49"/>
      <c r="J37" s="274">
        <v>21105110</v>
      </c>
    </row>
    <row r="38" spans="2:10">
      <c r="B38" s="45">
        <v>263</v>
      </c>
      <c r="C38" s="45">
        <v>4</v>
      </c>
      <c r="D38" s="45" t="s">
        <v>98</v>
      </c>
      <c r="E38" s="39" t="s">
        <v>158</v>
      </c>
      <c r="F38" s="45" t="str">
        <f t="shared" si="2"/>
        <v>263.4.i</v>
      </c>
      <c r="G38" s="45"/>
      <c r="H38" s="274"/>
      <c r="I38" s="49"/>
      <c r="J38" s="274">
        <v>0</v>
      </c>
    </row>
    <row r="39" spans="2:10">
      <c r="B39" s="45">
        <v>263</v>
      </c>
      <c r="C39" s="45">
        <v>7</v>
      </c>
      <c r="D39" s="45" t="s">
        <v>98</v>
      </c>
      <c r="E39" s="39" t="s">
        <v>161</v>
      </c>
      <c r="F39" s="45" t="str">
        <f t="shared" si="2"/>
        <v>263.7.i</v>
      </c>
      <c r="G39" s="45"/>
      <c r="H39" s="274"/>
      <c r="I39" s="49"/>
      <c r="J39" s="274">
        <v>43466</v>
      </c>
    </row>
    <row r="40" spans="2:10">
      <c r="B40" s="45">
        <v>263</v>
      </c>
      <c r="C40" s="45">
        <v>15</v>
      </c>
      <c r="D40" s="45" t="s">
        <v>98</v>
      </c>
      <c r="E40" s="39" t="s">
        <v>159</v>
      </c>
      <c r="F40" s="45" t="str">
        <f t="shared" si="2"/>
        <v>263.15.i</v>
      </c>
      <c r="G40" s="45"/>
      <c r="H40" s="274"/>
      <c r="I40" s="49"/>
      <c r="J40" s="274">
        <v>0</v>
      </c>
    </row>
    <row r="41" spans="2:10">
      <c r="B41" s="45">
        <v>263</v>
      </c>
      <c r="C41" s="45">
        <v>16</v>
      </c>
      <c r="D41" s="45" t="s">
        <v>98</v>
      </c>
      <c r="E41" s="39" t="s">
        <v>160</v>
      </c>
      <c r="F41" s="45" t="str">
        <f t="shared" si="2"/>
        <v>263.16.i</v>
      </c>
      <c r="G41" s="45"/>
      <c r="H41" s="274"/>
      <c r="I41" s="49"/>
      <c r="J41" s="274">
        <v>0</v>
      </c>
    </row>
    <row r="42" spans="2:10">
      <c r="B42" s="45">
        <v>263</v>
      </c>
      <c r="C42" s="45">
        <v>22</v>
      </c>
      <c r="D42" s="45" t="s">
        <v>98</v>
      </c>
      <c r="E42" s="39" t="s">
        <v>162</v>
      </c>
      <c r="F42" s="45" t="str">
        <f t="shared" si="2"/>
        <v>263.22.i</v>
      </c>
      <c r="G42" s="45"/>
      <c r="H42" s="274"/>
      <c r="I42" s="49"/>
      <c r="J42" s="274">
        <v>110703544</v>
      </c>
    </row>
    <row r="43" spans="2:10">
      <c r="B43" s="45">
        <v>266</v>
      </c>
      <c r="C43" s="45">
        <v>8</v>
      </c>
      <c r="D43" s="45" t="s">
        <v>35</v>
      </c>
      <c r="E43" s="39" t="s">
        <v>36</v>
      </c>
      <c r="F43" s="45" t="str">
        <f t="shared" ref="F43:F61" si="3">FIXED(B43,0)&amp;"."&amp;FIXED(C43,0)&amp;"."&amp;D43</f>
        <v>266.8.f</v>
      </c>
      <c r="G43" s="45"/>
      <c r="H43" s="274"/>
      <c r="I43" s="49"/>
      <c r="J43" s="274">
        <v>-1545996</v>
      </c>
    </row>
    <row r="44" spans="2:10">
      <c r="B44" s="45">
        <v>267</v>
      </c>
      <c r="C44" s="45">
        <v>8</v>
      </c>
      <c r="D44" s="45" t="s">
        <v>274</v>
      </c>
      <c r="E44" s="39" t="s">
        <v>33</v>
      </c>
      <c r="F44" s="45" t="str">
        <f t="shared" si="3"/>
        <v>267.8.b&amp;h</v>
      </c>
      <c r="G44" s="45"/>
      <c r="H44" s="274">
        <v>-6960512</v>
      </c>
      <c r="I44" s="49"/>
      <c r="J44" s="274">
        <v>-5414516</v>
      </c>
    </row>
    <row r="45" spans="2:10">
      <c r="B45" s="45">
        <v>273</v>
      </c>
      <c r="C45" s="45">
        <v>8</v>
      </c>
      <c r="D45" s="45" t="s">
        <v>275</v>
      </c>
      <c r="E45" s="39" t="s">
        <v>19</v>
      </c>
      <c r="F45" s="45" t="str">
        <f t="shared" si="3"/>
        <v>273.8.b&amp;k</v>
      </c>
      <c r="G45" s="45"/>
      <c r="H45" s="274">
        <v>-3757590</v>
      </c>
      <c r="I45" s="49"/>
      <c r="J45" s="274">
        <v>-3757590</v>
      </c>
    </row>
    <row r="46" spans="2:10">
      <c r="B46" s="45">
        <v>275</v>
      </c>
      <c r="C46" s="45">
        <v>2</v>
      </c>
      <c r="D46" s="45" t="s">
        <v>275</v>
      </c>
      <c r="E46" s="39" t="s">
        <v>20</v>
      </c>
      <c r="F46" s="45" t="str">
        <f t="shared" si="3"/>
        <v>275.2.b&amp;k</v>
      </c>
      <c r="G46" s="45"/>
      <c r="H46" s="274">
        <v>-660183457</v>
      </c>
      <c r="I46" s="49"/>
      <c r="J46" s="274">
        <v>-964138005</v>
      </c>
    </row>
    <row r="47" spans="2:10">
      <c r="B47" s="45">
        <v>277</v>
      </c>
      <c r="C47" s="45">
        <v>9</v>
      </c>
      <c r="D47" s="45" t="s">
        <v>275</v>
      </c>
      <c r="E47" s="39" t="s">
        <v>193</v>
      </c>
      <c r="F47" s="45" t="str">
        <f>FIXED(B47,0)&amp;"."&amp;FIXED(C47,0)&amp;"."&amp;D47</f>
        <v>277.9.b&amp;k</v>
      </c>
      <c r="G47" s="45"/>
      <c r="H47" s="274">
        <v>-587646357</v>
      </c>
      <c r="I47" s="49"/>
      <c r="J47" s="274">
        <v>-697572291</v>
      </c>
    </row>
    <row r="48" spans="2:10">
      <c r="B48" s="45">
        <v>321</v>
      </c>
      <c r="C48" s="167" t="s">
        <v>479</v>
      </c>
      <c r="D48" s="167" t="s">
        <v>13</v>
      </c>
      <c r="E48" s="97" t="s">
        <v>480</v>
      </c>
      <c r="F48" s="45" t="str">
        <f>B48&amp;"."&amp;C48&amp;"."&amp;D48</f>
        <v>321.84 thru 92.b</v>
      </c>
      <c r="G48" s="45"/>
      <c r="H48" s="274"/>
      <c r="I48" s="49"/>
      <c r="J48" s="274">
        <f>45139+1349751+918444+1236898+587233+558153</f>
        <v>4695618</v>
      </c>
    </row>
    <row r="49" spans="2:17">
      <c r="B49" s="45">
        <v>321</v>
      </c>
      <c r="C49" s="45">
        <v>96</v>
      </c>
      <c r="D49" s="45" t="s">
        <v>13</v>
      </c>
      <c r="E49" s="39" t="s">
        <v>7</v>
      </c>
      <c r="F49" s="45" t="str">
        <f t="shared" si="3"/>
        <v>321.96.b</v>
      </c>
      <c r="G49" s="45"/>
      <c r="H49" s="274"/>
      <c r="I49" s="49"/>
      <c r="J49" s="274">
        <v>0</v>
      </c>
    </row>
    <row r="50" spans="2:17">
      <c r="B50" s="45">
        <v>321</v>
      </c>
      <c r="C50" s="45">
        <v>112</v>
      </c>
      <c r="D50" s="45" t="s">
        <v>13</v>
      </c>
      <c r="E50" s="39" t="s">
        <v>50</v>
      </c>
      <c r="F50" s="45" t="str">
        <f t="shared" si="3"/>
        <v>321.112.b</v>
      </c>
      <c r="G50" s="45"/>
      <c r="H50" s="274"/>
      <c r="I50" s="49"/>
      <c r="J50" s="274">
        <v>35138825</v>
      </c>
    </row>
    <row r="51" spans="2:17">
      <c r="B51" s="45">
        <v>323</v>
      </c>
      <c r="C51" s="45">
        <v>185</v>
      </c>
      <c r="D51" s="45" t="s">
        <v>13</v>
      </c>
      <c r="E51" s="39" t="s">
        <v>52</v>
      </c>
      <c r="F51" s="45" t="str">
        <f t="shared" si="3"/>
        <v>323.185.b</v>
      </c>
      <c r="G51" s="45"/>
      <c r="H51" s="274"/>
      <c r="I51" s="49"/>
      <c r="J51" s="274">
        <v>9064897</v>
      </c>
    </row>
    <row r="52" spans="2:17">
      <c r="B52" s="45">
        <v>323</v>
      </c>
      <c r="C52" s="45">
        <v>189</v>
      </c>
      <c r="D52" s="45" t="s">
        <v>13</v>
      </c>
      <c r="E52" s="39" t="s">
        <v>9</v>
      </c>
      <c r="F52" s="45" t="str">
        <f t="shared" si="3"/>
        <v>323.189.b</v>
      </c>
      <c r="G52" s="45"/>
      <c r="H52" s="274"/>
      <c r="I52" s="49"/>
      <c r="J52" s="274">
        <v>350069</v>
      </c>
    </row>
    <row r="53" spans="2:17">
      <c r="B53" s="45">
        <v>323</v>
      </c>
      <c r="C53" s="45">
        <v>191</v>
      </c>
      <c r="D53" s="45" t="s">
        <v>13</v>
      </c>
      <c r="E53" s="39" t="s">
        <v>10</v>
      </c>
      <c r="F53" s="45" t="str">
        <f t="shared" si="3"/>
        <v>323.191.b</v>
      </c>
      <c r="G53" s="45"/>
      <c r="H53" s="274"/>
      <c r="I53" s="49"/>
      <c r="J53" s="274">
        <v>1356417</v>
      </c>
    </row>
    <row r="54" spans="2:17">
      <c r="B54" s="45">
        <v>323</v>
      </c>
      <c r="C54" s="45">
        <v>197</v>
      </c>
      <c r="D54" s="45" t="s">
        <v>13</v>
      </c>
      <c r="E54" s="39" t="s">
        <v>8</v>
      </c>
      <c r="F54" s="45" t="str">
        <f t="shared" si="3"/>
        <v>323.197.b</v>
      </c>
      <c r="G54" s="45"/>
      <c r="H54" s="274"/>
      <c r="I54" s="51"/>
      <c r="J54" s="274">
        <v>301776844</v>
      </c>
    </row>
    <row r="55" spans="2:17">
      <c r="B55" s="45">
        <v>335</v>
      </c>
      <c r="C55" s="45">
        <v>1</v>
      </c>
      <c r="D55" s="45" t="s">
        <v>13</v>
      </c>
      <c r="E55" s="39" t="s">
        <v>279</v>
      </c>
      <c r="F55" s="45" t="str">
        <f t="shared" si="3"/>
        <v>335.1.b</v>
      </c>
      <c r="G55" s="45"/>
      <c r="H55" s="274"/>
      <c r="I55" s="51"/>
      <c r="J55" s="274">
        <v>4870720</v>
      </c>
    </row>
    <row r="56" spans="2:17">
      <c r="B56" s="2">
        <v>336</v>
      </c>
      <c r="C56" s="2">
        <v>1</v>
      </c>
      <c r="D56" s="2" t="s">
        <v>35</v>
      </c>
      <c r="E56" t="s">
        <v>176</v>
      </c>
      <c r="F56" s="2" t="str">
        <f t="shared" si="3"/>
        <v>336.1.f</v>
      </c>
      <c r="G56" s="2"/>
      <c r="H56" s="274"/>
      <c r="I56" s="34"/>
      <c r="J56" s="274">
        <v>2844570</v>
      </c>
    </row>
    <row r="57" spans="2:17">
      <c r="B57" s="2">
        <v>336</v>
      </c>
      <c r="C57" s="2">
        <v>7</v>
      </c>
      <c r="D57" s="2" t="s">
        <v>35</v>
      </c>
      <c r="E57" t="s">
        <v>58</v>
      </c>
      <c r="F57" s="2" t="str">
        <f t="shared" si="3"/>
        <v>336.7.f</v>
      </c>
      <c r="G57" s="2"/>
      <c r="H57" s="274"/>
      <c r="I57" s="34"/>
      <c r="J57" s="274">
        <f>38807709-O29</f>
        <v>38793193</v>
      </c>
    </row>
    <row r="58" spans="2:17">
      <c r="B58" s="2">
        <v>336</v>
      </c>
      <c r="C58" s="2">
        <v>10</v>
      </c>
      <c r="D58" s="2" t="s">
        <v>35</v>
      </c>
      <c r="E58" t="s">
        <v>59</v>
      </c>
      <c r="F58" s="2" t="str">
        <f t="shared" si="3"/>
        <v>336.10.f</v>
      </c>
      <c r="G58" s="2"/>
      <c r="H58" s="274"/>
      <c r="I58" s="34"/>
      <c r="J58" s="274">
        <v>18533598</v>
      </c>
    </row>
    <row r="59" spans="2:17">
      <c r="B59" s="2">
        <v>354</v>
      </c>
      <c r="C59" s="2">
        <v>21</v>
      </c>
      <c r="D59" s="2" t="s">
        <v>13</v>
      </c>
      <c r="E59" t="s">
        <v>6</v>
      </c>
      <c r="F59" s="2" t="str">
        <f t="shared" si="3"/>
        <v>354.21.b</v>
      </c>
      <c r="G59" s="2"/>
      <c r="H59" s="274"/>
      <c r="I59" s="34"/>
      <c r="J59" s="274">
        <v>17993073</v>
      </c>
    </row>
    <row r="60" spans="2:17">
      <c r="B60" s="2">
        <v>354</v>
      </c>
      <c r="C60" s="2">
        <v>27</v>
      </c>
      <c r="D60" s="2" t="s">
        <v>13</v>
      </c>
      <c r="E60" t="s">
        <v>163</v>
      </c>
      <c r="F60" s="2" t="str">
        <f t="shared" si="3"/>
        <v>354.27.b</v>
      </c>
      <c r="G60" s="2"/>
      <c r="H60" s="274"/>
      <c r="I60" s="34"/>
      <c r="J60" s="274">
        <v>62588336</v>
      </c>
    </row>
    <row r="61" spans="2:17" ht="15.75">
      <c r="B61" s="2">
        <v>354</v>
      </c>
      <c r="C61" s="27">
        <v>28</v>
      </c>
      <c r="D61" s="2" t="s">
        <v>13</v>
      </c>
      <c r="E61" t="s">
        <v>5</v>
      </c>
      <c r="F61" s="2" t="str">
        <f t="shared" si="3"/>
        <v>354.28.b</v>
      </c>
      <c r="G61" s="2"/>
      <c r="H61" s="274"/>
      <c r="I61" s="34"/>
      <c r="J61" s="274">
        <v>287819339</v>
      </c>
      <c r="O61" s="235" t="s">
        <v>977</v>
      </c>
      <c r="P61" s="232"/>
      <c r="Q61" s="232"/>
    </row>
    <row r="62" spans="2:17" ht="15">
      <c r="B62" s="2">
        <v>400</v>
      </c>
      <c r="C62" s="2">
        <v>17</v>
      </c>
      <c r="D62" s="2" t="s">
        <v>17</v>
      </c>
      <c r="E62" t="s">
        <v>102</v>
      </c>
      <c r="F62" s="2" t="str">
        <f>B62&amp;"."&amp;C62&amp;"."&amp;D62</f>
        <v>400.17.e</v>
      </c>
      <c r="G62" s="2"/>
      <c r="H62" s="274"/>
      <c r="I62" s="34"/>
      <c r="J62" s="274">
        <f>+Q66-P64</f>
        <v>97147</v>
      </c>
      <c r="O62" s="232" t="s">
        <v>978</v>
      </c>
      <c r="P62" s="277">
        <v>26</v>
      </c>
      <c r="Q62" s="278" t="s">
        <v>979</v>
      </c>
    </row>
    <row r="63" spans="2:17" ht="15">
      <c r="B63" s="2">
        <v>400</v>
      </c>
      <c r="C63" s="2">
        <v>17</v>
      </c>
      <c r="D63" s="2" t="s">
        <v>35</v>
      </c>
      <c r="E63" t="s">
        <v>99</v>
      </c>
      <c r="F63" s="2" t="str">
        <f>B63&amp;"."&amp;C63&amp;"."&amp;D63</f>
        <v>400.17.f</v>
      </c>
      <c r="G63" s="2"/>
      <c r="H63" s="49"/>
      <c r="I63" s="34"/>
      <c r="J63" s="274">
        <v>28448</v>
      </c>
      <c r="O63" s="279" t="s">
        <v>980</v>
      </c>
      <c r="P63" s="280">
        <v>67</v>
      </c>
      <c r="Q63" s="278" t="s">
        <v>981</v>
      </c>
    </row>
    <row r="64" spans="2:17" ht="15">
      <c r="B64" s="2">
        <v>400</v>
      </c>
      <c r="C64" s="2">
        <v>17</v>
      </c>
      <c r="D64" s="2" t="s">
        <v>14</v>
      </c>
      <c r="E64" t="s">
        <v>101</v>
      </c>
      <c r="F64" s="2" t="str">
        <f>B64&amp;"."&amp;C64&amp;"."&amp;D64</f>
        <v>400.17.g</v>
      </c>
      <c r="G64" s="2"/>
      <c r="H64" s="49"/>
      <c r="I64" s="34"/>
      <c r="J64" s="274">
        <v>5113</v>
      </c>
      <c r="O64" s="232" t="s">
        <v>22</v>
      </c>
      <c r="P64" s="232">
        <f>+P63+P62</f>
        <v>93</v>
      </c>
      <c r="Q64" s="232"/>
    </row>
    <row r="65" spans="2:17" ht="15">
      <c r="B65" s="2">
        <v>400</v>
      </c>
      <c r="C65" s="2">
        <v>17</v>
      </c>
      <c r="D65" s="2" t="s">
        <v>34</v>
      </c>
      <c r="E65" t="s">
        <v>156</v>
      </c>
      <c r="F65" s="2" t="str">
        <f>B65&amp;"."&amp;C65&amp;"."&amp;D65</f>
        <v>400.17.h</v>
      </c>
      <c r="G65" s="2"/>
      <c r="H65" s="49"/>
      <c r="I65" s="34"/>
      <c r="J65" s="274">
        <f>Q67+P64</f>
        <v>7170</v>
      </c>
      <c r="O65" s="232"/>
      <c r="P65" s="232"/>
      <c r="Q65" s="232"/>
    </row>
    <row r="66" spans="2:17" ht="15.75">
      <c r="B66" s="2">
        <v>400</v>
      </c>
      <c r="C66" s="2">
        <v>17</v>
      </c>
      <c r="D66" s="2" t="s">
        <v>98</v>
      </c>
      <c r="E66" t="s">
        <v>100</v>
      </c>
      <c r="F66" s="2" t="str">
        <f>B66&amp;"."&amp;C66&amp;"."&amp;D66</f>
        <v>400.17.i</v>
      </c>
      <c r="G66" s="2"/>
      <c r="H66" s="49"/>
      <c r="I66" s="34"/>
      <c r="J66" s="274">
        <v>0</v>
      </c>
      <c r="O66" s="234" t="str">
        <f>E62</f>
        <v>Firm Network Service for Self</v>
      </c>
      <c r="P66" s="234" t="str">
        <f>F62</f>
        <v>400.17.e</v>
      </c>
      <c r="Q66" s="281">
        <v>97240</v>
      </c>
    </row>
    <row r="67" spans="2:17" ht="15">
      <c r="B67" s="2"/>
      <c r="D67" s="2"/>
      <c r="O67" s="232" t="str">
        <f>E65</f>
        <v>Other Long-Term Firm Service</v>
      </c>
      <c r="P67" s="232" t="str">
        <f>F65</f>
        <v>400.17.h</v>
      </c>
      <c r="Q67" s="281">
        <v>7077</v>
      </c>
    </row>
    <row r="68" spans="2:17">
      <c r="B68" s="3" t="s">
        <v>269</v>
      </c>
    </row>
    <row r="70" spans="2:17">
      <c r="B70" s="45">
        <v>200</v>
      </c>
      <c r="C70" s="45">
        <v>21</v>
      </c>
      <c r="D70" s="45" t="s">
        <v>12</v>
      </c>
      <c r="E70" s="39" t="s">
        <v>168</v>
      </c>
      <c r="F70" s="45" t="str">
        <f t="shared" ref="F70:F75" si="4">FIXED(B70,0)&amp;"."&amp;FIXED(C70,0)&amp;"."&amp;D70</f>
        <v>200.21.c</v>
      </c>
      <c r="G70" s="45"/>
      <c r="H70" s="274"/>
      <c r="I70" s="49"/>
      <c r="J70" s="274">
        <v>125244007</v>
      </c>
    </row>
    <row r="71" spans="2:17">
      <c r="B71" s="45">
        <v>214</v>
      </c>
      <c r="C71" s="45">
        <v>47</v>
      </c>
      <c r="D71" s="45" t="s">
        <v>15</v>
      </c>
      <c r="E71" s="39" t="s">
        <v>273</v>
      </c>
      <c r="F71" s="45" t="str">
        <f t="shared" si="4"/>
        <v>214.47.d</v>
      </c>
      <c r="G71" s="45"/>
      <c r="H71" s="274"/>
      <c r="I71" s="49"/>
      <c r="J71" s="274">
        <v>6192322</v>
      </c>
    </row>
    <row r="72" spans="2:17">
      <c r="B72" s="45">
        <v>219</v>
      </c>
      <c r="C72" s="167" t="s">
        <v>478</v>
      </c>
      <c r="D72" s="50" t="s">
        <v>12</v>
      </c>
      <c r="E72" s="39" t="s">
        <v>169</v>
      </c>
      <c r="F72" s="45" t="str">
        <f>B72&amp;"."&amp;C72&amp;"."&amp;D72</f>
        <v>219.20 thru 24.c</v>
      </c>
      <c r="G72" s="45"/>
      <c r="H72" s="274"/>
      <c r="I72" s="49"/>
      <c r="J72" s="274">
        <v>2526507234</v>
      </c>
    </row>
    <row r="73" spans="2:17">
      <c r="B73" s="45">
        <v>219</v>
      </c>
      <c r="C73" s="45">
        <v>25</v>
      </c>
      <c r="D73" s="50" t="s">
        <v>12</v>
      </c>
      <c r="E73" s="39" t="s">
        <v>170</v>
      </c>
      <c r="F73" s="45" t="str">
        <f t="shared" si="4"/>
        <v>219.25.c</v>
      </c>
      <c r="G73" s="45"/>
      <c r="H73" s="274"/>
      <c r="I73" s="49"/>
      <c r="J73" s="274">
        <f>487291520-O25</f>
        <v>487284055.5</v>
      </c>
    </row>
    <row r="74" spans="2:17">
      <c r="B74" s="45">
        <v>219</v>
      </c>
      <c r="C74" s="45">
        <v>26</v>
      </c>
      <c r="D74" s="50" t="s">
        <v>12</v>
      </c>
      <c r="E74" s="39" t="s">
        <v>171</v>
      </c>
      <c r="F74" s="45" t="str">
        <f t="shared" si="4"/>
        <v>219.26.c</v>
      </c>
      <c r="G74" s="45"/>
      <c r="H74" s="274"/>
      <c r="I74" s="49"/>
      <c r="J74" s="274">
        <v>1509513184</v>
      </c>
    </row>
    <row r="75" spans="2:17">
      <c r="B75" s="45">
        <v>219</v>
      </c>
      <c r="C75" s="45">
        <v>28</v>
      </c>
      <c r="D75" s="50" t="s">
        <v>12</v>
      </c>
      <c r="E75" s="39" t="s">
        <v>172</v>
      </c>
      <c r="F75" s="45" t="str">
        <f t="shared" si="4"/>
        <v>219.28.c</v>
      </c>
      <c r="G75" s="45"/>
      <c r="H75" s="274"/>
      <c r="I75" s="49"/>
      <c r="J75" s="274">
        <v>111452527</v>
      </c>
    </row>
    <row r="76" spans="2:17">
      <c r="B76" s="45" t="s">
        <v>16</v>
      </c>
      <c r="C76" s="45">
        <v>5</v>
      </c>
      <c r="D76" s="45" t="s">
        <v>35</v>
      </c>
      <c r="E76" s="39" t="s">
        <v>180</v>
      </c>
      <c r="F76" s="45" t="str">
        <f>B76&amp;"."&amp;C76&amp;"."&amp;D76</f>
        <v>230a.5.f</v>
      </c>
      <c r="G76" s="45"/>
      <c r="H76" s="274"/>
      <c r="I76" s="49"/>
      <c r="J76" s="274">
        <v>10501360</v>
      </c>
    </row>
  </sheetData>
  <mergeCells count="5">
    <mergeCell ref="K3:L3"/>
    <mergeCell ref="A5:L5"/>
    <mergeCell ref="A6:L6"/>
    <mergeCell ref="M23:O23"/>
    <mergeCell ref="M27:O27"/>
  </mergeCells>
  <phoneticPr fontId="0" type="noConversion"/>
  <printOptions horizontalCentered="1"/>
  <pageMargins left="0.5" right="0.5" top="0.75" bottom="0.75" header="0.5" footer="0.5"/>
  <pageSetup scale="69"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L72"/>
  <sheetViews>
    <sheetView workbookViewId="0"/>
  </sheetViews>
  <sheetFormatPr defaultRowHeight="12.75"/>
  <cols>
    <col min="1" max="1" width="5.7109375" style="132" customWidth="1"/>
    <col min="2" max="2" width="3.7109375" style="132" customWidth="1"/>
    <col min="3" max="3" width="9.140625" style="132"/>
    <col min="4" max="4" width="14.5703125" style="132" customWidth="1"/>
    <col min="5" max="5" width="25.28515625" style="132" customWidth="1"/>
    <col min="6" max="10" width="12.7109375" style="132" customWidth="1"/>
    <col min="11" max="11" width="11.7109375" style="132" customWidth="1"/>
    <col min="12" max="12" width="13.42578125" style="132" customWidth="1"/>
    <col min="13" max="16384" width="9.140625" style="132"/>
  </cols>
  <sheetData>
    <row r="1" spans="1:12" ht="15">
      <c r="A1" s="132" t="s">
        <v>425</v>
      </c>
      <c r="K1" s="133" t="s">
        <v>209</v>
      </c>
    </row>
    <row r="2" spans="1:12" ht="15">
      <c r="K2" s="133" t="s">
        <v>392</v>
      </c>
    </row>
    <row r="3" spans="1:12">
      <c r="K3" s="341"/>
      <c r="L3" s="341"/>
    </row>
    <row r="5" spans="1:12">
      <c r="A5" s="342" t="s">
        <v>135</v>
      </c>
      <c r="B5" s="343"/>
      <c r="C5" s="343"/>
      <c r="D5" s="343"/>
      <c r="E5" s="343"/>
      <c r="F5" s="343"/>
      <c r="G5" s="343"/>
      <c r="H5" s="343"/>
      <c r="I5" s="343"/>
      <c r="J5" s="343"/>
      <c r="K5" s="343"/>
    </row>
    <row r="6" spans="1:12" ht="6" customHeight="1"/>
    <row r="7" spans="1:12">
      <c r="A7" s="343" t="s">
        <v>424</v>
      </c>
      <c r="B7" s="343"/>
      <c r="C7" s="343"/>
      <c r="D7" s="343"/>
      <c r="E7" s="343"/>
      <c r="F7" s="343"/>
      <c r="G7" s="343"/>
      <c r="H7" s="343"/>
      <c r="I7" s="343"/>
      <c r="J7" s="343"/>
      <c r="K7" s="343"/>
    </row>
    <row r="10" spans="1:12">
      <c r="A10" s="136" t="s">
        <v>308</v>
      </c>
      <c r="B10" s="138"/>
      <c r="C10" s="138"/>
      <c r="D10" s="138"/>
      <c r="E10" s="138"/>
      <c r="F10" s="139"/>
      <c r="G10" s="139"/>
      <c r="H10" s="139"/>
      <c r="I10" s="139"/>
      <c r="J10" s="139"/>
    </row>
    <row r="11" spans="1:12" ht="13.5" thickBot="1"/>
    <row r="12" spans="1:12" ht="13.5" thickBot="1">
      <c r="A12" s="135">
        <v>1</v>
      </c>
      <c r="B12" s="140" t="s">
        <v>440</v>
      </c>
      <c r="C12" s="140"/>
      <c r="D12" s="140"/>
      <c r="E12" s="140"/>
      <c r="F12" s="140"/>
      <c r="H12" s="141"/>
      <c r="I12" s="141"/>
      <c r="J12" s="141"/>
    </row>
    <row r="13" spans="1:12">
      <c r="A13" s="135">
        <f t="shared" ref="A13:A44" si="0">A12+1</f>
        <v>2</v>
      </c>
      <c r="H13" s="142"/>
      <c r="I13" s="142"/>
      <c r="J13" s="142"/>
    </row>
    <row r="14" spans="1:12">
      <c r="A14" s="135">
        <f t="shared" si="0"/>
        <v>3</v>
      </c>
      <c r="C14" s="143" t="s">
        <v>441</v>
      </c>
      <c r="E14" s="142"/>
      <c r="F14" s="142"/>
      <c r="H14" s="142"/>
      <c r="I14" s="142"/>
      <c r="J14" s="142"/>
    </row>
    <row r="15" spans="1:12">
      <c r="A15" s="135">
        <f t="shared" si="0"/>
        <v>4</v>
      </c>
      <c r="C15" s="144"/>
      <c r="E15" s="142"/>
      <c r="F15" s="142"/>
      <c r="H15" s="142"/>
      <c r="I15" s="142"/>
      <c r="J15" s="142"/>
    </row>
    <row r="16" spans="1:12">
      <c r="A16" s="135">
        <f t="shared" si="0"/>
        <v>5</v>
      </c>
      <c r="C16" s="134" t="s">
        <v>441</v>
      </c>
      <c r="E16" s="142"/>
      <c r="F16" s="142"/>
      <c r="H16" s="142"/>
      <c r="I16" s="142"/>
      <c r="J16" s="142"/>
    </row>
    <row r="17" spans="1:11">
      <c r="A17" s="135">
        <f t="shared" si="0"/>
        <v>6</v>
      </c>
      <c r="C17" s="144" t="s">
        <v>309</v>
      </c>
      <c r="E17" s="142" t="s">
        <v>435</v>
      </c>
      <c r="F17" s="177">
        <f>'PEF - 2 - Page 5 Storm, Notes'!$K$19</f>
        <v>13307907.028750595</v>
      </c>
      <c r="H17" s="142"/>
      <c r="I17" s="142"/>
      <c r="J17" s="142"/>
    </row>
    <row r="18" spans="1:11">
      <c r="A18" s="135">
        <f t="shared" si="0"/>
        <v>7</v>
      </c>
      <c r="C18" s="144" t="s">
        <v>310</v>
      </c>
      <c r="E18" s="142" t="s">
        <v>436</v>
      </c>
      <c r="F18" s="179">
        <f>'PEF - 2 - Page 5 Storm, Notes'!$K$24</f>
        <v>8614773.8050481882</v>
      </c>
      <c r="H18" s="142"/>
      <c r="I18" s="142"/>
      <c r="J18" s="142"/>
    </row>
    <row r="19" spans="1:11">
      <c r="A19" s="135">
        <f t="shared" si="0"/>
        <v>8</v>
      </c>
      <c r="C19" s="132" t="s">
        <v>414</v>
      </c>
      <c r="F19" s="145">
        <f>F17+F18</f>
        <v>21922680.833798781</v>
      </c>
      <c r="G19" s="142"/>
      <c r="H19" s="147"/>
      <c r="I19" s="147"/>
      <c r="J19" s="147"/>
    </row>
    <row r="20" spans="1:11">
      <c r="A20" s="135">
        <f t="shared" si="0"/>
        <v>9</v>
      </c>
      <c r="C20" s="148" t="s">
        <v>442</v>
      </c>
      <c r="F20" s="142"/>
      <c r="G20" s="142"/>
      <c r="H20" s="147"/>
      <c r="I20" s="147"/>
      <c r="J20" s="178"/>
    </row>
    <row r="21" spans="1:11">
      <c r="A21" s="135">
        <f t="shared" si="0"/>
        <v>10</v>
      </c>
      <c r="B21" s="149"/>
      <c r="C21" s="144" t="s">
        <v>443</v>
      </c>
      <c r="F21" s="142"/>
      <c r="G21" s="142"/>
      <c r="H21" s="147"/>
      <c r="I21" s="147"/>
      <c r="J21" s="147"/>
    </row>
    <row r="22" spans="1:11">
      <c r="A22" s="135">
        <f t="shared" si="0"/>
        <v>11</v>
      </c>
      <c r="C22" s="150" t="s">
        <v>444</v>
      </c>
      <c r="E22" s="142" t="s">
        <v>437</v>
      </c>
      <c r="F22" s="177">
        <f>'PEF - 2 - Page 5 Storm, Notes'!$K$26</f>
        <v>368844.85383767809</v>
      </c>
      <c r="H22" s="147"/>
      <c r="I22" s="147"/>
      <c r="J22" s="147"/>
    </row>
    <row r="23" spans="1:11">
      <c r="A23" s="135">
        <f t="shared" si="0"/>
        <v>12</v>
      </c>
      <c r="C23" s="150" t="s">
        <v>445</v>
      </c>
      <c r="E23" s="142" t="s">
        <v>446</v>
      </c>
      <c r="F23" s="145">
        <f>F22*5</f>
        <v>1844224.2691883906</v>
      </c>
      <c r="H23" s="147"/>
      <c r="I23" s="147"/>
      <c r="J23" s="147"/>
    </row>
    <row r="24" spans="1:11">
      <c r="A24" s="135">
        <f t="shared" si="0"/>
        <v>13</v>
      </c>
      <c r="F24" s="142"/>
      <c r="G24" s="142"/>
      <c r="H24" s="147"/>
      <c r="I24" s="147"/>
      <c r="J24" s="147"/>
    </row>
    <row r="25" spans="1:11">
      <c r="A25" s="135">
        <f t="shared" si="0"/>
        <v>14</v>
      </c>
      <c r="C25" s="148" t="s">
        <v>447</v>
      </c>
      <c r="E25" s="142" t="s">
        <v>448</v>
      </c>
      <c r="F25" s="145">
        <f>F19-F23</f>
        <v>20078456.564610392</v>
      </c>
      <c r="H25" s="147"/>
      <c r="I25" s="147"/>
      <c r="J25" s="147"/>
    </row>
    <row r="26" spans="1:11">
      <c r="A26" s="135">
        <f t="shared" si="0"/>
        <v>15</v>
      </c>
      <c r="F26" s="142"/>
      <c r="G26" s="142"/>
      <c r="H26" s="147"/>
      <c r="I26" s="147"/>
      <c r="J26" s="147"/>
    </row>
    <row r="27" spans="1:11">
      <c r="A27" s="135">
        <f t="shared" si="0"/>
        <v>16</v>
      </c>
      <c r="C27" s="151" t="s">
        <v>449</v>
      </c>
      <c r="F27" s="139">
        <v>2008</v>
      </c>
      <c r="G27" s="139">
        <v>2009</v>
      </c>
      <c r="H27" s="139">
        <v>2010</v>
      </c>
      <c r="I27" s="139">
        <v>2011</v>
      </c>
      <c r="J27" s="139">
        <v>2012</v>
      </c>
      <c r="K27" s="139" t="s">
        <v>22</v>
      </c>
    </row>
    <row r="28" spans="1:11">
      <c r="A28" s="135">
        <f t="shared" si="0"/>
        <v>17</v>
      </c>
      <c r="F28" s="142"/>
    </row>
    <row r="29" spans="1:11">
      <c r="A29" s="135">
        <f t="shared" si="0"/>
        <v>18</v>
      </c>
      <c r="C29" s="132" t="s">
        <v>450</v>
      </c>
      <c r="F29" s="142"/>
      <c r="G29" s="142"/>
      <c r="H29" s="142"/>
      <c r="I29" s="142"/>
      <c r="J29" s="142"/>
    </row>
    <row r="30" spans="1:11">
      <c r="A30" s="135">
        <f t="shared" si="0"/>
        <v>19</v>
      </c>
      <c r="C30" s="144" t="s">
        <v>420</v>
      </c>
      <c r="E30" s="144" t="s">
        <v>451</v>
      </c>
      <c r="F30" s="171">
        <v>6593.3859762747506</v>
      </c>
      <c r="G30" s="171">
        <v>13904.176834689111</v>
      </c>
      <c r="H30" s="171">
        <v>30194.461167706668</v>
      </c>
      <c r="I30" s="171">
        <v>37330.800746542569</v>
      </c>
      <c r="J30" s="171">
        <v>39888.800701937114</v>
      </c>
      <c r="K30" s="171">
        <f>SUM(F30:J30)</f>
        <v>127911.62542715023</v>
      </c>
    </row>
    <row r="31" spans="1:11">
      <c r="A31" s="135">
        <f t="shared" si="0"/>
        <v>20</v>
      </c>
      <c r="C31" s="144" t="s">
        <v>415</v>
      </c>
      <c r="E31" s="144" t="s">
        <v>451</v>
      </c>
      <c r="F31" s="172">
        <v>3000</v>
      </c>
      <c r="G31" s="172">
        <v>3000</v>
      </c>
      <c r="H31" s="172">
        <v>3000</v>
      </c>
      <c r="I31" s="172">
        <v>3000</v>
      </c>
      <c r="J31" s="172">
        <v>3000</v>
      </c>
      <c r="K31" s="172">
        <f>SUM(F31:J31)</f>
        <v>15000</v>
      </c>
    </row>
    <row r="32" spans="1:11">
      <c r="A32" s="135">
        <f t="shared" si="0"/>
        <v>21</v>
      </c>
      <c r="C32" s="132" t="s">
        <v>452</v>
      </c>
      <c r="F32" s="142">
        <f t="shared" ref="F32:K32" si="1">SUM(F30:F31)</f>
        <v>9593.3859762747506</v>
      </c>
      <c r="G32" s="142">
        <f t="shared" si="1"/>
        <v>16904.176834689111</v>
      </c>
      <c r="H32" s="142">
        <f t="shared" si="1"/>
        <v>33194.461167706671</v>
      </c>
      <c r="I32" s="142">
        <f t="shared" si="1"/>
        <v>40330.800746542569</v>
      </c>
      <c r="J32" s="142">
        <f t="shared" si="1"/>
        <v>42888.800701937114</v>
      </c>
      <c r="K32" s="142">
        <f t="shared" si="1"/>
        <v>142911.62542715023</v>
      </c>
    </row>
    <row r="33" spans="1:11">
      <c r="A33" s="135">
        <f t="shared" si="0"/>
        <v>22</v>
      </c>
      <c r="F33" s="142"/>
    </row>
    <row r="34" spans="1:11">
      <c r="A34" s="135">
        <f t="shared" si="0"/>
        <v>23</v>
      </c>
      <c r="C34" s="132" t="s">
        <v>453</v>
      </c>
      <c r="E34" s="163" t="s">
        <v>475</v>
      </c>
      <c r="F34" s="153">
        <f>F32/$K$32</f>
        <v>6.7128100653819925E-2</v>
      </c>
      <c r="G34" s="153">
        <f>G32/$K$32</f>
        <v>0.11828412688025917</v>
      </c>
      <c r="H34" s="153">
        <f>H32/$K$32</f>
        <v>0.23227264449964347</v>
      </c>
      <c r="I34" s="153">
        <f>I32/$K$32</f>
        <v>0.28220797731463321</v>
      </c>
      <c r="J34" s="153">
        <f>J32/$K$32</f>
        <v>0.30010715065164417</v>
      </c>
      <c r="K34" s="154">
        <f>SUM(F34:J34)</f>
        <v>1</v>
      </c>
    </row>
    <row r="35" spans="1:11" ht="12" customHeight="1">
      <c r="A35" s="135">
        <f t="shared" si="0"/>
        <v>24</v>
      </c>
      <c r="F35" s="142"/>
    </row>
    <row r="36" spans="1:11" ht="12" customHeight="1">
      <c r="A36" s="135">
        <f t="shared" si="0"/>
        <v>25</v>
      </c>
      <c r="C36" s="132" t="s">
        <v>449</v>
      </c>
      <c r="F36" s="142"/>
    </row>
    <row r="37" spans="1:11">
      <c r="A37" s="135">
        <f t="shared" si="0"/>
        <v>26</v>
      </c>
      <c r="C37" s="144" t="s">
        <v>309</v>
      </c>
      <c r="E37" s="132" t="s">
        <v>454</v>
      </c>
      <c r="F37" s="145">
        <f>F$34*$F$25*($F$17/$F$19)</f>
        <v>818183.62197674019</v>
      </c>
      <c r="G37" s="145">
        <f>G$34*$F$25*($F$17/$F$19)</f>
        <v>1441693.3357362852</v>
      </c>
      <c r="H37" s="145">
        <f>H$34*$F$25*($F$17/$F$19)</f>
        <v>2831030.1008348246</v>
      </c>
      <c r="I37" s="145">
        <f>I$34*$F$25*($F$17/$F$19)</f>
        <v>3439661.5244748043</v>
      </c>
      <c r="J37" s="145">
        <f>J$34*$F$25*($F$17/$F$19)</f>
        <v>3657823.6701131635</v>
      </c>
      <c r="K37" s="145">
        <f>SUM(F37:J37)</f>
        <v>12188392.253135817</v>
      </c>
    </row>
    <row r="38" spans="1:11">
      <c r="A38" s="135">
        <f t="shared" si="0"/>
        <v>27</v>
      </c>
      <c r="C38" s="144" t="s">
        <v>310</v>
      </c>
      <c r="E38" s="132" t="s">
        <v>455</v>
      </c>
      <c r="F38" s="146">
        <f>F$34*$F$25*($F$18/$F$19)</f>
        <v>529645.03126577765</v>
      </c>
      <c r="G38" s="146">
        <f>G$34*$F$25*($F$18/$F$19)</f>
        <v>933269.36811186338</v>
      </c>
      <c r="H38" s="146">
        <f>H$34*$F$25*($F$18/$F$19)</f>
        <v>1832646.1028984583</v>
      </c>
      <c r="I38" s="146">
        <f>I$34*$F$25*($F$18/$F$19)</f>
        <v>2226639.0902236141</v>
      </c>
      <c r="J38" s="146">
        <f>J$34*$F$25*($F$18/$F$19)</f>
        <v>2367864.7189748613</v>
      </c>
      <c r="K38" s="152">
        <f>SUM(F38:J38)</f>
        <v>7890064.3114745747</v>
      </c>
    </row>
    <row r="39" spans="1:11">
      <c r="A39" s="135">
        <f t="shared" si="0"/>
        <v>28</v>
      </c>
      <c r="C39" s="132" t="s">
        <v>311</v>
      </c>
      <c r="F39" s="145">
        <f t="shared" ref="F39:K39" si="2">SUM(F37:F38)</f>
        <v>1347828.6532425177</v>
      </c>
      <c r="G39" s="145">
        <f t="shared" si="2"/>
        <v>2374962.7038481487</v>
      </c>
      <c r="H39" s="145">
        <f t="shared" si="2"/>
        <v>4663676.2037332831</v>
      </c>
      <c r="I39" s="145">
        <f t="shared" si="2"/>
        <v>5666300.6146984184</v>
      </c>
      <c r="J39" s="145">
        <f t="shared" si="2"/>
        <v>6025688.3890880253</v>
      </c>
      <c r="K39" s="145">
        <f t="shared" si="2"/>
        <v>20078456.564610392</v>
      </c>
    </row>
    <row r="40" spans="1:11">
      <c r="A40" s="135">
        <f t="shared" si="0"/>
        <v>29</v>
      </c>
      <c r="F40" s="142"/>
    </row>
    <row r="41" spans="1:11" ht="13.5" thickBot="1">
      <c r="A41" s="135">
        <f t="shared" si="0"/>
        <v>30</v>
      </c>
      <c r="C41" s="149" t="s">
        <v>456</v>
      </c>
      <c r="D41" s="149"/>
      <c r="E41" s="149"/>
    </row>
    <row r="42" spans="1:11" ht="13.5" thickBot="1">
      <c r="A42" s="135">
        <f t="shared" si="0"/>
        <v>31</v>
      </c>
      <c r="C42" s="155" t="s">
        <v>457</v>
      </c>
      <c r="E42" s="142" t="s">
        <v>458</v>
      </c>
      <c r="F42" s="156">
        <f t="shared" ref="F42:K42" si="3">F39/F32</f>
        <v>140.49561401738774</v>
      </c>
      <c r="G42" s="156">
        <f t="shared" si="3"/>
        <v>140.49561401738774</v>
      </c>
      <c r="H42" s="156">
        <f t="shared" si="3"/>
        <v>140.49561401738777</v>
      </c>
      <c r="I42" s="156">
        <f t="shared" si="3"/>
        <v>140.49561401738774</v>
      </c>
      <c r="J42" s="156">
        <f t="shared" si="3"/>
        <v>140.49561401738774</v>
      </c>
      <c r="K42" s="156">
        <f t="shared" si="3"/>
        <v>140.49561401738774</v>
      </c>
    </row>
    <row r="43" spans="1:11" ht="13.5" thickBot="1">
      <c r="A43" s="135">
        <f t="shared" si="0"/>
        <v>32</v>
      </c>
    </row>
    <row r="44" spans="1:11" ht="13.5" thickBot="1">
      <c r="A44" s="135">
        <f t="shared" si="0"/>
        <v>33</v>
      </c>
      <c r="B44" s="157" t="s">
        <v>459</v>
      </c>
      <c r="C44" s="157"/>
      <c r="D44" s="157"/>
      <c r="E44" s="157"/>
      <c r="F44" s="157"/>
    </row>
    <row r="45" spans="1:11">
      <c r="A45" s="135">
        <f t="shared" ref="A45:A72" si="4">A44+1</f>
        <v>34</v>
      </c>
    </row>
    <row r="46" spans="1:11">
      <c r="A46" s="135">
        <f t="shared" si="4"/>
        <v>35</v>
      </c>
      <c r="C46" s="164" t="s">
        <v>476</v>
      </c>
      <c r="F46" s="142"/>
      <c r="G46" s="142"/>
      <c r="H46" s="142"/>
      <c r="I46" s="142"/>
      <c r="J46" s="142"/>
    </row>
    <row r="47" spans="1:11">
      <c r="A47" s="135">
        <f t="shared" si="4"/>
        <v>36</v>
      </c>
      <c r="C47" s="144" t="s">
        <v>420</v>
      </c>
      <c r="E47" s="144" t="s">
        <v>460</v>
      </c>
      <c r="F47" s="142">
        <f t="shared" ref="F47:J48" si="5">F30*1.05</f>
        <v>6923.0552750884881</v>
      </c>
      <c r="G47" s="142">
        <f t="shared" si="5"/>
        <v>14599.385676423568</v>
      </c>
      <c r="H47" s="142">
        <f t="shared" si="5"/>
        <v>31704.184226092002</v>
      </c>
      <c r="I47" s="142">
        <f t="shared" si="5"/>
        <v>39197.340783869702</v>
      </c>
      <c r="J47" s="142">
        <f t="shared" si="5"/>
        <v>41883.240737033972</v>
      </c>
      <c r="K47" s="142">
        <f>SUM(F47:J47)</f>
        <v>134307.20669850774</v>
      </c>
    </row>
    <row r="48" spans="1:11">
      <c r="A48" s="135">
        <f t="shared" si="4"/>
        <v>37</v>
      </c>
      <c r="C48" s="144" t="s">
        <v>415</v>
      </c>
      <c r="E48" s="144" t="s">
        <v>461</v>
      </c>
      <c r="F48" s="152">
        <f t="shared" si="5"/>
        <v>3150</v>
      </c>
      <c r="G48" s="152">
        <f t="shared" si="5"/>
        <v>3150</v>
      </c>
      <c r="H48" s="152">
        <f t="shared" si="5"/>
        <v>3150</v>
      </c>
      <c r="I48" s="152">
        <f t="shared" si="5"/>
        <v>3150</v>
      </c>
      <c r="J48" s="152">
        <f t="shared" si="5"/>
        <v>3150</v>
      </c>
      <c r="K48" s="152">
        <f>SUM(F48:J48)</f>
        <v>15750</v>
      </c>
    </row>
    <row r="49" spans="1:12">
      <c r="A49" s="135">
        <f t="shared" si="4"/>
        <v>38</v>
      </c>
      <c r="C49" s="132" t="s">
        <v>462</v>
      </c>
      <c r="E49" s="144" t="s">
        <v>463</v>
      </c>
      <c r="F49" s="142">
        <f t="shared" ref="F49:K49" si="6">SUM(F47:F48)</f>
        <v>10073.055275088489</v>
      </c>
      <c r="G49" s="142">
        <f t="shared" si="6"/>
        <v>17749.385676423568</v>
      </c>
      <c r="H49" s="142">
        <f t="shared" si="6"/>
        <v>34854.184226092002</v>
      </c>
      <c r="I49" s="142">
        <f t="shared" si="6"/>
        <v>42347.340783869702</v>
      </c>
      <c r="J49" s="142">
        <f t="shared" si="6"/>
        <v>45033.240737033972</v>
      </c>
      <c r="K49" s="142">
        <f t="shared" si="6"/>
        <v>150057.20669850774</v>
      </c>
    </row>
    <row r="50" spans="1:12">
      <c r="A50" s="135">
        <f t="shared" si="4"/>
        <v>39</v>
      </c>
    </row>
    <row r="51" spans="1:12">
      <c r="A51" s="135">
        <f t="shared" si="4"/>
        <v>40</v>
      </c>
      <c r="C51" s="132" t="s">
        <v>464</v>
      </c>
    </row>
    <row r="52" spans="1:12">
      <c r="A52" s="135">
        <f t="shared" si="4"/>
        <v>41</v>
      </c>
      <c r="C52" s="144" t="s">
        <v>420</v>
      </c>
      <c r="E52" s="144" t="s">
        <v>465</v>
      </c>
      <c r="F52" s="145">
        <f t="shared" ref="F52:J53" si="7">F$42*F47</f>
        <v>972658.90174987225</v>
      </c>
      <c r="G52" s="145">
        <f t="shared" si="7"/>
        <v>2051149.6548857847</v>
      </c>
      <c r="H52" s="145">
        <f t="shared" si="7"/>
        <v>4454298.8297651755</v>
      </c>
      <c r="I52" s="145">
        <f t="shared" si="7"/>
        <v>5507054.461278568</v>
      </c>
      <c r="J52" s="145">
        <f t="shared" si="7"/>
        <v>5884411.6243876554</v>
      </c>
      <c r="K52" s="145">
        <f>SUM(F52:J52)</f>
        <v>18869573.472067054</v>
      </c>
    </row>
    <row r="53" spans="1:12">
      <c r="A53" s="135">
        <f t="shared" si="4"/>
        <v>42</v>
      </c>
      <c r="C53" s="144" t="s">
        <v>415</v>
      </c>
      <c r="E53" s="144" t="s">
        <v>466</v>
      </c>
      <c r="F53" s="146">
        <f t="shared" si="7"/>
        <v>442561.18415477138</v>
      </c>
      <c r="G53" s="146">
        <f t="shared" si="7"/>
        <v>442561.18415477138</v>
      </c>
      <c r="H53" s="146">
        <f t="shared" si="7"/>
        <v>442561.18415477144</v>
      </c>
      <c r="I53" s="146">
        <f t="shared" si="7"/>
        <v>442561.18415477138</v>
      </c>
      <c r="J53" s="146">
        <f t="shared" si="7"/>
        <v>442561.18415477138</v>
      </c>
      <c r="K53" s="152">
        <f>SUM(F53:J53)</f>
        <v>2212805.9207738568</v>
      </c>
    </row>
    <row r="54" spans="1:12">
      <c r="A54" s="135">
        <f t="shared" si="4"/>
        <v>43</v>
      </c>
      <c r="C54" s="102" t="s">
        <v>467</v>
      </c>
      <c r="D54" s="101"/>
      <c r="E54" s="144" t="s">
        <v>468</v>
      </c>
      <c r="F54" s="145">
        <f t="shared" ref="F54:K54" si="8">SUM(F52:F53)</f>
        <v>1415220.0859046436</v>
      </c>
      <c r="G54" s="145">
        <f t="shared" si="8"/>
        <v>2493710.839040556</v>
      </c>
      <c r="H54" s="145">
        <f t="shared" si="8"/>
        <v>4896860.0139199467</v>
      </c>
      <c r="I54" s="145">
        <f t="shared" si="8"/>
        <v>5949615.6454333393</v>
      </c>
      <c r="J54" s="145">
        <f t="shared" si="8"/>
        <v>6326972.8085424267</v>
      </c>
      <c r="K54" s="145">
        <f t="shared" si="8"/>
        <v>21082379.392840911</v>
      </c>
    </row>
    <row r="55" spans="1:12">
      <c r="A55" s="135">
        <f t="shared" si="4"/>
        <v>44</v>
      </c>
    </row>
    <row r="56" spans="1:12" ht="13.5" thickBot="1">
      <c r="A56" s="135">
        <f t="shared" si="4"/>
        <v>45</v>
      </c>
      <c r="C56" s="149" t="s">
        <v>469</v>
      </c>
      <c r="D56" s="149"/>
      <c r="E56" s="149"/>
    </row>
    <row r="57" spans="1:12" ht="13.5" thickBot="1">
      <c r="A57" s="135">
        <f t="shared" si="4"/>
        <v>46</v>
      </c>
      <c r="C57" s="155" t="s">
        <v>470</v>
      </c>
      <c r="E57" s="144" t="s">
        <v>471</v>
      </c>
      <c r="F57" s="158">
        <f>F54-F39</f>
        <v>67391.43266212591</v>
      </c>
      <c r="G57" s="159">
        <f>G54-G39</f>
        <v>118748.1351924073</v>
      </c>
      <c r="H57" s="159">
        <f>H54-H39</f>
        <v>233183.81018666364</v>
      </c>
      <c r="I57" s="159">
        <f>I54-I39</f>
        <v>283315.03073492087</v>
      </c>
      <c r="J57" s="159">
        <f>J54-J39</f>
        <v>301284.41945440136</v>
      </c>
      <c r="K57" s="160">
        <f>SUM(F57:J57)</f>
        <v>1003922.8282305191</v>
      </c>
    </row>
    <row r="58" spans="1:12">
      <c r="A58" s="135">
        <f t="shared" si="4"/>
        <v>47</v>
      </c>
    </row>
    <row r="59" spans="1:12" ht="3" customHeight="1">
      <c r="A59" s="135">
        <f t="shared" si="4"/>
        <v>48</v>
      </c>
      <c r="B59" s="161"/>
      <c r="C59" s="161"/>
      <c r="D59" s="161"/>
      <c r="E59" s="161"/>
      <c r="F59" s="161"/>
      <c r="G59" s="161"/>
      <c r="H59" s="161"/>
      <c r="I59" s="161"/>
      <c r="J59" s="161"/>
      <c r="K59" s="161"/>
      <c r="L59" s="161"/>
    </row>
    <row r="60" spans="1:12">
      <c r="A60" s="135">
        <f t="shared" si="4"/>
        <v>49</v>
      </c>
      <c r="H60" s="141"/>
      <c r="I60" s="141"/>
      <c r="J60" s="141"/>
    </row>
    <row r="61" spans="1:12">
      <c r="A61" s="135">
        <f t="shared" si="4"/>
        <v>50</v>
      </c>
      <c r="B61" s="149" t="s">
        <v>416</v>
      </c>
      <c r="K61" s="149" t="s">
        <v>418</v>
      </c>
    </row>
    <row r="62" spans="1:12">
      <c r="A62" s="135">
        <f t="shared" si="4"/>
        <v>51</v>
      </c>
      <c r="K62" s="149"/>
    </row>
    <row r="63" spans="1:12">
      <c r="A63" s="135">
        <f t="shared" si="4"/>
        <v>52</v>
      </c>
      <c r="C63" s="132" t="s">
        <v>265</v>
      </c>
      <c r="F63" s="170">
        <v>-13307907</v>
      </c>
      <c r="G63" s="142">
        <f>F68</f>
        <v>-11591233.492919805</v>
      </c>
      <c r="H63" s="142">
        <f>G68</f>
        <v>-8847425.9352339786</v>
      </c>
      <c r="I63" s="142">
        <f>H68</f>
        <v>-3814904.8776630173</v>
      </c>
      <c r="J63" s="142">
        <f>I68</f>
        <v>2220240.5908730794</v>
      </c>
      <c r="K63" s="162">
        <f>J68</f>
        <v>8614773.8337987829</v>
      </c>
    </row>
    <row r="64" spans="1:12">
      <c r="A64" s="135">
        <f t="shared" si="4"/>
        <v>53</v>
      </c>
      <c r="F64" s="142"/>
      <c r="K64" s="149"/>
    </row>
    <row r="65" spans="1:11">
      <c r="A65" s="135">
        <f t="shared" si="4"/>
        <v>54</v>
      </c>
      <c r="C65" s="132" t="s">
        <v>472</v>
      </c>
      <c r="E65" s="132" t="s">
        <v>473</v>
      </c>
      <c r="F65" s="142">
        <f>F39</f>
        <v>1347828.6532425177</v>
      </c>
      <c r="G65" s="142">
        <f>G39</f>
        <v>2374962.7038481487</v>
      </c>
      <c r="H65" s="142">
        <f>H39</f>
        <v>4663676.2037332831</v>
      </c>
      <c r="I65" s="142">
        <f>I39</f>
        <v>5666300.6146984184</v>
      </c>
      <c r="J65" s="142">
        <f>J39</f>
        <v>6025688.3890880253</v>
      </c>
      <c r="K65" s="162"/>
    </row>
    <row r="66" spans="1:11">
      <c r="A66" s="135">
        <f t="shared" si="4"/>
        <v>55</v>
      </c>
      <c r="C66" s="132" t="s">
        <v>438</v>
      </c>
      <c r="E66" s="132" t="s">
        <v>474</v>
      </c>
      <c r="F66" s="142">
        <f>$F$22</f>
        <v>368844.85383767809</v>
      </c>
      <c r="G66" s="142">
        <f>$F$22</f>
        <v>368844.85383767809</v>
      </c>
      <c r="H66" s="142">
        <f>$F$22</f>
        <v>368844.85383767809</v>
      </c>
      <c r="I66" s="142">
        <f>$F$22</f>
        <v>368844.85383767809</v>
      </c>
      <c r="J66" s="142">
        <f>$F$22</f>
        <v>368844.85383767809</v>
      </c>
      <c r="K66" s="162"/>
    </row>
    <row r="67" spans="1:11">
      <c r="A67" s="135">
        <f t="shared" si="4"/>
        <v>56</v>
      </c>
    </row>
    <row r="68" spans="1:11">
      <c r="A68" s="135">
        <f t="shared" si="4"/>
        <v>57</v>
      </c>
      <c r="C68" s="132" t="s">
        <v>266</v>
      </c>
      <c r="F68" s="142">
        <f>SUM(F63:F66)</f>
        <v>-11591233.492919805</v>
      </c>
      <c r="G68" s="142">
        <f>SUM(G63:G66)</f>
        <v>-8847425.9352339786</v>
      </c>
      <c r="H68" s="142">
        <f>SUM(H63:H66)</f>
        <v>-3814904.8776630173</v>
      </c>
      <c r="I68" s="142">
        <f>SUM(I63:I66)</f>
        <v>2220240.5908730794</v>
      </c>
      <c r="J68" s="142">
        <f>SUM(J63:J66)</f>
        <v>8614773.8337987829</v>
      </c>
      <c r="K68" s="162">
        <f>J68</f>
        <v>8614773.8337987829</v>
      </c>
    </row>
    <row r="69" spans="1:11">
      <c r="A69" s="135">
        <f t="shared" si="4"/>
        <v>58</v>
      </c>
    </row>
    <row r="70" spans="1:11">
      <c r="A70" s="135">
        <f t="shared" si="4"/>
        <v>59</v>
      </c>
      <c r="C70" s="132" t="s">
        <v>419</v>
      </c>
      <c r="F70" s="142">
        <f t="shared" ref="F70:K70" si="9">$F$18</f>
        <v>8614773.8050481882</v>
      </c>
      <c r="G70" s="142">
        <f t="shared" si="9"/>
        <v>8614773.8050481882</v>
      </c>
      <c r="H70" s="142">
        <f t="shared" si="9"/>
        <v>8614773.8050481882</v>
      </c>
      <c r="I70" s="142">
        <f t="shared" si="9"/>
        <v>8614773.8050481882</v>
      </c>
      <c r="J70" s="142">
        <f t="shared" si="9"/>
        <v>8614773.8050481882</v>
      </c>
      <c r="K70" s="142">
        <f t="shared" si="9"/>
        <v>8614773.8050481882</v>
      </c>
    </row>
    <row r="71" spans="1:11">
      <c r="A71" s="135">
        <f t="shared" si="4"/>
        <v>60</v>
      </c>
    </row>
    <row r="72" spans="1:11">
      <c r="A72" s="135">
        <f t="shared" si="4"/>
        <v>61</v>
      </c>
      <c r="C72" s="132" t="s">
        <v>417</v>
      </c>
      <c r="F72" s="142">
        <f t="shared" ref="F72:K72" si="10">MIN(F70-F68,0)</f>
        <v>0</v>
      </c>
      <c r="G72" s="142">
        <f t="shared" si="10"/>
        <v>0</v>
      </c>
      <c r="H72" s="142">
        <f t="shared" si="10"/>
        <v>0</v>
      </c>
      <c r="I72" s="142">
        <f t="shared" si="10"/>
        <v>0</v>
      </c>
      <c r="J72" s="142">
        <f t="shared" si="10"/>
        <v>-2.8750594705343246E-2</v>
      </c>
      <c r="K72" s="142">
        <f t="shared" si="10"/>
        <v>-2.8750594705343246E-2</v>
      </c>
    </row>
  </sheetData>
  <mergeCells count="3">
    <mergeCell ref="K3:L3"/>
    <mergeCell ref="A5:K5"/>
    <mergeCell ref="A7:K7"/>
  </mergeCells>
  <phoneticPr fontId="21" type="noConversion"/>
  <printOptions horizontalCentered="1"/>
  <pageMargins left="0.75" right="0.75" top="1" bottom="1" header="0.5" footer="0.5"/>
  <pageSetup scale="61" orientation="portrait"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I80"/>
  <sheetViews>
    <sheetView workbookViewId="0">
      <selection activeCell="A67" sqref="A67:XFD67"/>
    </sheetView>
  </sheetViews>
  <sheetFormatPr defaultRowHeight="12.75"/>
  <cols>
    <col min="1" max="1" width="34.85546875" customWidth="1"/>
    <col min="2" max="2" width="11.85546875" bestFit="1" customWidth="1"/>
    <col min="3" max="4" width="14" bestFit="1" customWidth="1"/>
    <col min="5" max="5" width="13.5703125" customWidth="1"/>
    <col min="6" max="6" width="36.85546875" customWidth="1"/>
    <col min="7" max="7" width="15.42578125" customWidth="1"/>
    <col min="8" max="8" width="17.42578125" customWidth="1"/>
    <col min="9" max="9" width="15.5703125" customWidth="1"/>
  </cols>
  <sheetData>
    <row r="1" spans="1:9" ht="15">
      <c r="I1" s="35" t="s">
        <v>209</v>
      </c>
    </row>
    <row r="2" spans="1:9" ht="14.25" customHeight="1">
      <c r="I2" s="35" t="s">
        <v>393</v>
      </c>
    </row>
    <row r="3" spans="1:9" ht="9" customHeight="1"/>
    <row r="4" spans="1:9">
      <c r="A4" s="3" t="s">
        <v>316</v>
      </c>
    </row>
    <row r="5" spans="1:9">
      <c r="A5" t="s">
        <v>317</v>
      </c>
    </row>
    <row r="6" spans="1:9" ht="5.25" customHeight="1"/>
    <row r="7" spans="1:9" ht="6" customHeight="1"/>
    <row r="8" spans="1:9">
      <c r="A8" s="100" t="s">
        <v>318</v>
      </c>
    </row>
    <row r="9" spans="1:9">
      <c r="A9" s="103" t="s">
        <v>319</v>
      </c>
    </row>
    <row r="10" spans="1:9">
      <c r="A10" t="s">
        <v>320</v>
      </c>
    </row>
    <row r="11" spans="1:9">
      <c r="A11" t="s">
        <v>321</v>
      </c>
    </row>
    <row r="12" spans="1:9">
      <c r="A12" t="s">
        <v>322</v>
      </c>
    </row>
    <row r="13" spans="1:9">
      <c r="A13" t="s">
        <v>323</v>
      </c>
    </row>
    <row r="14" spans="1:9" ht="8.25" customHeight="1"/>
    <row r="15" spans="1:9">
      <c r="A15" s="3" t="s">
        <v>324</v>
      </c>
    </row>
    <row r="16" spans="1:9" ht="8.25" customHeight="1"/>
    <row r="17" spans="1:9">
      <c r="A17" t="s">
        <v>325</v>
      </c>
      <c r="C17" s="175">
        <v>1000000</v>
      </c>
    </row>
    <row r="18" spans="1:9">
      <c r="A18" t="s">
        <v>326</v>
      </c>
      <c r="C18" s="174" t="s">
        <v>327</v>
      </c>
    </row>
    <row r="19" spans="1:9">
      <c r="A19" t="s">
        <v>328</v>
      </c>
      <c r="B19" s="2" t="s">
        <v>329</v>
      </c>
      <c r="C19" s="173">
        <v>0.06</v>
      </c>
    </row>
    <row r="20" spans="1:9">
      <c r="A20" t="s">
        <v>330</v>
      </c>
      <c r="B20" s="2" t="s">
        <v>329</v>
      </c>
      <c r="C20" s="101">
        <f>+C17/5</f>
        <v>200000</v>
      </c>
      <c r="E20" s="104"/>
    </row>
    <row r="21" spans="1:9" ht="6" customHeight="1">
      <c r="E21" s="104"/>
    </row>
    <row r="22" spans="1:9">
      <c r="A22" s="105" t="s">
        <v>331</v>
      </c>
      <c r="B22" s="106"/>
      <c r="C22" s="106"/>
      <c r="D22" s="106"/>
      <c r="E22" s="104"/>
      <c r="F22" s="105" t="s">
        <v>332</v>
      </c>
      <c r="G22" s="106"/>
      <c r="H22" s="106"/>
      <c r="I22" s="106"/>
    </row>
    <row r="23" spans="1:9">
      <c r="F23" s="107" t="s">
        <v>333</v>
      </c>
      <c r="G23" s="39"/>
      <c r="H23" s="39"/>
      <c r="I23" s="39"/>
    </row>
    <row r="24" spans="1:9">
      <c r="A24" s="3" t="s">
        <v>334</v>
      </c>
      <c r="F24" s="107" t="s">
        <v>335</v>
      </c>
      <c r="G24" s="39"/>
      <c r="H24" s="39"/>
      <c r="I24" s="39"/>
    </row>
    <row r="25" spans="1:9">
      <c r="A25" s="108" t="s">
        <v>336</v>
      </c>
      <c r="B25" s="108" t="s">
        <v>337</v>
      </c>
      <c r="C25" s="108" t="s">
        <v>338</v>
      </c>
      <c r="D25" s="108" t="s">
        <v>339</v>
      </c>
      <c r="F25" s="107" t="s">
        <v>340</v>
      </c>
      <c r="G25" s="39"/>
      <c r="H25" s="39"/>
      <c r="I25" s="39"/>
    </row>
    <row r="26" spans="1:9">
      <c r="A26" t="s">
        <v>341</v>
      </c>
      <c r="B26" s="2">
        <v>101</v>
      </c>
      <c r="C26" s="101">
        <f>+C17</f>
        <v>1000000</v>
      </c>
      <c r="F26" s="107" t="s">
        <v>342</v>
      </c>
      <c r="G26" s="39"/>
      <c r="H26" s="39"/>
      <c r="I26" s="39"/>
    </row>
    <row r="27" spans="1:9">
      <c r="A27" t="s">
        <v>343</v>
      </c>
      <c r="B27" s="2">
        <v>252</v>
      </c>
      <c r="D27" s="101">
        <f>+C17</f>
        <v>1000000</v>
      </c>
      <c r="F27" s="39"/>
      <c r="G27" s="39"/>
      <c r="H27" s="39"/>
      <c r="I27" s="39"/>
    </row>
    <row r="28" spans="1:9">
      <c r="F28" s="3" t="s">
        <v>334</v>
      </c>
    </row>
    <row r="29" spans="1:9">
      <c r="F29" s="108" t="s">
        <v>336</v>
      </c>
      <c r="G29" s="108" t="s">
        <v>337</v>
      </c>
      <c r="H29" s="108" t="s">
        <v>338</v>
      </c>
      <c r="I29" s="108" t="s">
        <v>339</v>
      </c>
    </row>
    <row r="30" spans="1:9">
      <c r="F30" t="s">
        <v>341</v>
      </c>
      <c r="G30" s="2">
        <v>101</v>
      </c>
      <c r="H30" s="101">
        <f>-+G50</f>
        <v>1000000</v>
      </c>
    </row>
    <row r="31" spans="1:9">
      <c r="A31" s="3" t="s">
        <v>344</v>
      </c>
      <c r="F31" t="s">
        <v>343</v>
      </c>
      <c r="G31" s="2">
        <v>252</v>
      </c>
      <c r="I31" s="101">
        <f>+H30</f>
        <v>1000000</v>
      </c>
    </row>
    <row r="32" spans="1:9">
      <c r="A32" s="108" t="s">
        <v>336</v>
      </c>
      <c r="B32" s="108" t="s">
        <v>337</v>
      </c>
      <c r="C32" s="108" t="s">
        <v>338</v>
      </c>
      <c r="D32" s="108" t="s">
        <v>339</v>
      </c>
    </row>
    <row r="33" spans="1:9">
      <c r="A33" t="s">
        <v>345</v>
      </c>
      <c r="B33" s="2">
        <v>130</v>
      </c>
      <c r="C33" s="101"/>
      <c r="D33" s="109">
        <f>+C34+C35</f>
        <v>260000</v>
      </c>
      <c r="F33" s="3" t="s">
        <v>346</v>
      </c>
    </row>
    <row r="34" spans="1:9">
      <c r="A34" t="s">
        <v>343</v>
      </c>
      <c r="B34" s="2">
        <v>252</v>
      </c>
      <c r="C34" s="109">
        <f>+C20</f>
        <v>200000</v>
      </c>
      <c r="D34" s="101"/>
      <c r="F34" s="108" t="s">
        <v>336</v>
      </c>
      <c r="G34" s="108" t="s">
        <v>337</v>
      </c>
      <c r="H34" s="108" t="s">
        <v>338</v>
      </c>
      <c r="I34" s="108" t="s">
        <v>339</v>
      </c>
    </row>
    <row r="35" spans="1:9">
      <c r="A35" t="s">
        <v>347</v>
      </c>
      <c r="B35" s="2">
        <v>431</v>
      </c>
      <c r="C35" s="101">
        <f>+C26*0.06</f>
        <v>60000</v>
      </c>
      <c r="F35" t="s">
        <v>343</v>
      </c>
      <c r="G35" s="2">
        <v>252</v>
      </c>
      <c r="H35" s="109"/>
      <c r="I35" s="101">
        <f>+H36</f>
        <v>60000</v>
      </c>
    </row>
    <row r="36" spans="1:9">
      <c r="D36" s="109"/>
      <c r="F36" t="s">
        <v>348</v>
      </c>
      <c r="G36" s="2">
        <v>431</v>
      </c>
      <c r="H36" s="101">
        <f>+H30*0.06</f>
        <v>60000</v>
      </c>
    </row>
    <row r="37" spans="1:9">
      <c r="F37" t="s">
        <v>349</v>
      </c>
      <c r="G37" s="2">
        <v>182.3</v>
      </c>
      <c r="H37" s="109">
        <f>+H36</f>
        <v>60000</v>
      </c>
    </row>
    <row r="38" spans="1:9" ht="13.5" thickBot="1">
      <c r="A38" s="110"/>
      <c r="B38" s="111" t="s">
        <v>350</v>
      </c>
      <c r="C38" s="111"/>
      <c r="D38" s="111" t="s">
        <v>351</v>
      </c>
      <c r="F38" s="39" t="s">
        <v>352</v>
      </c>
      <c r="G38" s="45">
        <v>407.4</v>
      </c>
      <c r="H38" s="39"/>
      <c r="I38" s="112">
        <f>+H37</f>
        <v>60000</v>
      </c>
    </row>
    <row r="39" spans="1:9">
      <c r="B39" s="113"/>
      <c r="C39" s="113"/>
      <c r="D39" s="113"/>
      <c r="F39" s="39"/>
      <c r="G39" s="39"/>
      <c r="H39" s="39"/>
      <c r="I39" s="39"/>
    </row>
    <row r="40" spans="1:9">
      <c r="A40" s="114"/>
      <c r="B40" s="113"/>
      <c r="C40" s="113"/>
      <c r="D40" s="113"/>
      <c r="F40" s="3" t="s">
        <v>353</v>
      </c>
    </row>
    <row r="41" spans="1:9" ht="14.25">
      <c r="A41" s="3" t="s">
        <v>354</v>
      </c>
      <c r="B41" s="115">
        <f>+C26</f>
        <v>1000000</v>
      </c>
      <c r="C41" s="113"/>
      <c r="D41" s="113"/>
      <c r="F41" s="108" t="s">
        <v>336</v>
      </c>
      <c r="G41" s="108" t="s">
        <v>337</v>
      </c>
      <c r="H41" s="108" t="s">
        <v>338</v>
      </c>
      <c r="I41" s="108" t="s">
        <v>339</v>
      </c>
    </row>
    <row r="42" spans="1:9">
      <c r="A42" s="114"/>
      <c r="B42" s="113"/>
      <c r="C42" s="113"/>
      <c r="D42" s="113"/>
      <c r="F42" t="s">
        <v>343</v>
      </c>
      <c r="G42" s="2">
        <v>252</v>
      </c>
      <c r="H42" s="109">
        <f>+G65+I65</f>
        <v>1338225.5776</v>
      </c>
      <c r="I42" s="101"/>
    </row>
    <row r="43" spans="1:9">
      <c r="A43" t="s">
        <v>355</v>
      </c>
      <c r="B43" s="109">
        <f>-D27</f>
        <v>-1000000</v>
      </c>
      <c r="F43" t="s">
        <v>345</v>
      </c>
      <c r="G43" s="2">
        <v>131</v>
      </c>
      <c r="H43" s="101"/>
      <c r="I43" s="109">
        <f>+H42</f>
        <v>1338225.5776</v>
      </c>
    </row>
    <row r="44" spans="1:9" ht="15.75">
      <c r="A44" t="s">
        <v>364</v>
      </c>
      <c r="B44" s="109">
        <f>-C35</f>
        <v>-60000</v>
      </c>
      <c r="D44" s="109">
        <f>-B44</f>
        <v>60000</v>
      </c>
      <c r="F44" t="s">
        <v>349</v>
      </c>
      <c r="G44" s="2">
        <v>182.3</v>
      </c>
      <c r="H44" s="109"/>
      <c r="I44" s="109">
        <f>+I65</f>
        <v>338225.57759999996</v>
      </c>
    </row>
    <row r="45" spans="1:9" ht="15.75">
      <c r="A45" t="s">
        <v>365</v>
      </c>
      <c r="B45" s="109">
        <f>+D33</f>
        <v>260000</v>
      </c>
      <c r="F45" s="39" t="s">
        <v>352</v>
      </c>
      <c r="G45" s="45">
        <v>407.3</v>
      </c>
      <c r="H45" s="112">
        <f>+I44</f>
        <v>338225.57759999996</v>
      </c>
      <c r="I45" s="112"/>
    </row>
    <row r="46" spans="1:9" ht="15" thickBot="1">
      <c r="A46" s="3" t="s">
        <v>356</v>
      </c>
      <c r="B46" s="116">
        <f>SUM(B43:B45)</f>
        <v>-800000</v>
      </c>
      <c r="C46" s="3"/>
      <c r="D46" s="116">
        <f>+-B44</f>
        <v>60000</v>
      </c>
      <c r="F46" s="39"/>
      <c r="G46" s="45"/>
      <c r="H46" s="112"/>
      <c r="I46" s="112"/>
    </row>
    <row r="47" spans="1:9" ht="14.25" thickTop="1" thickBot="1">
      <c r="F47" s="110"/>
      <c r="G47" s="111" t="s">
        <v>350</v>
      </c>
      <c r="H47" s="111"/>
      <c r="I47" s="111" t="s">
        <v>351</v>
      </c>
    </row>
    <row r="48" spans="1:9" ht="14.25">
      <c r="A48" s="3" t="s">
        <v>357</v>
      </c>
      <c r="B48" s="115">
        <f>+B41</f>
        <v>1000000</v>
      </c>
    </row>
    <row r="49" spans="1:9" ht="15" thickBot="1">
      <c r="A49" s="3" t="s">
        <v>358</v>
      </c>
      <c r="B49" s="117">
        <f>+-B48/40</f>
        <v>-25000</v>
      </c>
      <c r="F49" s="118" t="s">
        <v>359</v>
      </c>
      <c r="G49" s="110"/>
    </row>
    <row r="50" spans="1:9">
      <c r="F50" t="str">
        <f>+A51</f>
        <v>BEGINNING BAL.</v>
      </c>
      <c r="G50" s="109">
        <f>+B43</f>
        <v>-1000000</v>
      </c>
    </row>
    <row r="51" spans="1:9" ht="15.75">
      <c r="A51" t="s">
        <v>355</v>
      </c>
      <c r="B51" s="109">
        <f>+B46</f>
        <v>-800000</v>
      </c>
      <c r="F51" t="s">
        <v>366</v>
      </c>
      <c r="G51" s="101">
        <f>+G50*0.06</f>
        <v>-60000</v>
      </c>
      <c r="I51" s="109">
        <f>+G51</f>
        <v>-60000</v>
      </c>
    </row>
    <row r="52" spans="1:9" ht="15.75">
      <c r="A52" t="s">
        <v>367</v>
      </c>
      <c r="B52" s="176">
        <f>+B51*0.06</f>
        <v>-48000</v>
      </c>
      <c r="D52" s="109">
        <f>-B52</f>
        <v>48000</v>
      </c>
      <c r="F52" t="s">
        <v>368</v>
      </c>
      <c r="G52" s="101">
        <f>-G51</f>
        <v>60000</v>
      </c>
      <c r="I52" s="109">
        <f>+G52</f>
        <v>60000</v>
      </c>
    </row>
    <row r="53" spans="1:9" ht="16.5" thickBot="1">
      <c r="A53" t="s">
        <v>369</v>
      </c>
      <c r="B53" s="180" t="s">
        <v>263</v>
      </c>
      <c r="F53" s="3" t="s">
        <v>356</v>
      </c>
      <c r="G53" s="116">
        <f>SUM(G50:G52)</f>
        <v>-1000000</v>
      </c>
      <c r="H53" s="3"/>
      <c r="I53" s="116">
        <f>SUM(I51:I52)</f>
        <v>0</v>
      </c>
    </row>
    <row r="54" spans="1:9" ht="17.25" thickTop="1" thickBot="1">
      <c r="A54" s="3" t="s">
        <v>360</v>
      </c>
      <c r="B54" s="116">
        <f>SUM(B51:B53)</f>
        <v>-848000</v>
      </c>
      <c r="C54" s="3"/>
      <c r="D54" s="116">
        <f>+-B52</f>
        <v>48000</v>
      </c>
      <c r="F54" t="s">
        <v>370</v>
      </c>
      <c r="G54" s="101">
        <f>(+G53+G51)*0.06</f>
        <v>-63600</v>
      </c>
      <c r="I54" s="109">
        <f>+G54</f>
        <v>-63600</v>
      </c>
    </row>
    <row r="55" spans="1:9" ht="16.5" thickTop="1">
      <c r="A55" s="106"/>
      <c r="B55" s="106"/>
      <c r="C55" s="106"/>
      <c r="D55" s="106"/>
      <c r="F55" t="s">
        <v>371</v>
      </c>
      <c r="G55" s="101">
        <f>-G54</f>
        <v>63600</v>
      </c>
      <c r="I55" s="109">
        <f>+G55</f>
        <v>63600</v>
      </c>
    </row>
    <row r="56" spans="1:9" s="39" customFormat="1" ht="15" thickBot="1">
      <c r="F56" s="3" t="s">
        <v>360</v>
      </c>
      <c r="G56" s="116">
        <f>SUM(G53:G55)</f>
        <v>-1000000</v>
      </c>
      <c r="H56" s="3"/>
      <c r="I56" s="116">
        <f>SUM(I54:I55)</f>
        <v>0</v>
      </c>
    </row>
    <row r="57" spans="1:9" s="39" customFormat="1" ht="16.5" thickTop="1">
      <c r="F57" t="s">
        <v>372</v>
      </c>
      <c r="G57" s="101">
        <f>(+G56+G54+G51)*0.06</f>
        <v>-67416</v>
      </c>
      <c r="H57"/>
      <c r="I57" s="109">
        <f>+G57</f>
        <v>-67416</v>
      </c>
    </row>
    <row r="58" spans="1:9" s="39" customFormat="1" ht="15.75">
      <c r="F58" t="s">
        <v>373</v>
      </c>
      <c r="G58" s="101">
        <f>-G57</f>
        <v>67416</v>
      </c>
      <c r="H58"/>
      <c r="I58" s="109">
        <f>+G58</f>
        <v>67416</v>
      </c>
    </row>
    <row r="59" spans="1:9" s="39" customFormat="1" ht="15" thickBot="1">
      <c r="F59" s="3" t="s">
        <v>361</v>
      </c>
      <c r="G59" s="116">
        <f>SUM(G56:G58)</f>
        <v>-1000000</v>
      </c>
      <c r="H59" s="3"/>
      <c r="I59" s="116">
        <f>SUM(I57:I58)</f>
        <v>0</v>
      </c>
    </row>
    <row r="60" spans="1:9" s="39" customFormat="1" ht="16.5" thickTop="1">
      <c r="F60" t="s">
        <v>374</v>
      </c>
      <c r="G60" s="101">
        <f>(+G59+G57+G54+G51)*0.06</f>
        <v>-71460.959999999992</v>
      </c>
      <c r="H60"/>
      <c r="I60" s="109">
        <f>+G60</f>
        <v>-71460.959999999992</v>
      </c>
    </row>
    <row r="61" spans="1:9" ht="15.75">
      <c r="F61" t="s">
        <v>375</v>
      </c>
      <c r="G61" s="101">
        <f>-G60</f>
        <v>71460.959999999992</v>
      </c>
      <c r="I61" s="109">
        <f>+G61</f>
        <v>71460.959999999992</v>
      </c>
    </row>
    <row r="62" spans="1:9" ht="15" thickBot="1">
      <c r="F62" s="3" t="s">
        <v>362</v>
      </c>
      <c r="G62" s="116">
        <f>SUM(G59:G61)</f>
        <v>-1000000</v>
      </c>
      <c r="H62" s="3"/>
      <c r="I62" s="116">
        <f>SUM(I60:I61)</f>
        <v>0</v>
      </c>
    </row>
    <row r="63" spans="1:9" ht="16.5" thickTop="1">
      <c r="F63" t="s">
        <v>376</v>
      </c>
      <c r="G63" s="101">
        <f>(+G62+G60+G57+G54+G51)*0.06</f>
        <v>-75748.617599999998</v>
      </c>
      <c r="I63" s="109">
        <f>+G63</f>
        <v>-75748.617599999998</v>
      </c>
    </row>
    <row r="64" spans="1:9" ht="15.75">
      <c r="F64" t="s">
        <v>377</v>
      </c>
      <c r="G64" s="101">
        <f>-G63</f>
        <v>75748.617599999998</v>
      </c>
      <c r="I64" s="109">
        <f>+G64</f>
        <v>75748.617599999998</v>
      </c>
    </row>
    <row r="65" spans="6:9" ht="15.75">
      <c r="F65" t="s">
        <v>378</v>
      </c>
      <c r="G65" s="101">
        <f>+-G62</f>
        <v>1000000</v>
      </c>
      <c r="I65" s="109">
        <f>+I52+I55+I58+I61+I64</f>
        <v>338225.57759999996</v>
      </c>
    </row>
    <row r="66" spans="6:9" ht="15" thickBot="1">
      <c r="F66" s="3" t="s">
        <v>363</v>
      </c>
      <c r="G66" s="116">
        <f>SUM(G62:G65)</f>
        <v>0</v>
      </c>
      <c r="H66" s="3"/>
      <c r="I66" s="116">
        <f>SUM(I63:I65)</f>
        <v>338225.57759999996</v>
      </c>
    </row>
    <row r="67" spans="6:9" ht="8.25" customHeight="1" thickTop="1">
      <c r="F67" s="106"/>
      <c r="G67" s="106"/>
      <c r="H67" s="106"/>
      <c r="I67" s="106"/>
    </row>
    <row r="71" spans="6:9" s="39" customFormat="1"/>
    <row r="72" spans="6:9" s="39" customFormat="1"/>
    <row r="78" spans="6:9" s="39" customFormat="1"/>
    <row r="79" spans="6:9" s="39" customFormat="1"/>
    <row r="80" spans="6:9" s="39" customFormat="1"/>
  </sheetData>
  <phoneticPr fontId="15" type="noConversion"/>
  <printOptions horizontalCentered="1"/>
  <pageMargins left="0.5" right="0.5" top="0.2" bottom="0.18" header="0.17" footer="0.17"/>
  <pageSetup scale="66"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P105"/>
  <sheetViews>
    <sheetView topLeftCell="A70" workbookViewId="0">
      <selection activeCell="J102" sqref="J102"/>
    </sheetView>
  </sheetViews>
  <sheetFormatPr defaultRowHeight="12.75"/>
  <cols>
    <col min="1" max="1" width="5" bestFit="1" customWidth="1"/>
    <col min="2" max="2" width="2.7109375" customWidth="1"/>
    <col min="3" max="3" width="35.140625" customWidth="1"/>
    <col min="4" max="4" width="14.5703125" bestFit="1" customWidth="1"/>
    <col min="5" max="5" width="2.7109375" customWidth="1"/>
    <col min="6" max="6" width="13.42578125" customWidth="1"/>
    <col min="7" max="7" width="2.7109375" customWidth="1"/>
    <col min="8" max="8" width="13.42578125" customWidth="1"/>
    <col min="9" max="9" width="2.7109375" customWidth="1"/>
    <col min="10" max="10" width="14.42578125" bestFit="1" customWidth="1"/>
    <col min="11" max="11" width="2.7109375" customWidth="1"/>
    <col min="12" max="12" width="12.5703125" bestFit="1" customWidth="1"/>
    <col min="13" max="13" width="8.7109375" bestFit="1" customWidth="1"/>
    <col min="14" max="14" width="2.7109375" customWidth="1"/>
    <col min="15" max="15" width="13.42578125" bestFit="1" customWidth="1"/>
    <col min="16" max="16" width="5" customWidth="1"/>
  </cols>
  <sheetData>
    <row r="1" spans="1:16" ht="15">
      <c r="N1" s="305" t="s">
        <v>187</v>
      </c>
      <c r="O1" s="305"/>
      <c r="P1" s="305"/>
    </row>
    <row r="2" spans="1:16" ht="15">
      <c r="N2" s="306" t="s">
        <v>232</v>
      </c>
      <c r="O2" s="306"/>
      <c r="P2" s="307"/>
    </row>
    <row r="3" spans="1:16">
      <c r="N3" s="308" t="str">
        <f>FF1_Year</f>
        <v>Year Ending 12/31/2010</v>
      </c>
      <c r="O3" s="309"/>
      <c r="P3" s="309"/>
    </row>
    <row r="5" spans="1:16">
      <c r="A5" s="315" t="s">
        <v>135</v>
      </c>
      <c r="B5" s="315"/>
      <c r="C5" s="315"/>
      <c r="D5" s="315"/>
      <c r="E5" s="315"/>
      <c r="F5" s="315"/>
      <c r="G5" s="315"/>
      <c r="H5" s="315"/>
      <c r="I5" s="315"/>
      <c r="J5" s="315"/>
      <c r="K5" s="315"/>
      <c r="L5" s="315"/>
      <c r="M5" s="315"/>
      <c r="N5" s="315"/>
      <c r="O5" s="315"/>
      <c r="P5" s="315"/>
    </row>
    <row r="6" spans="1:16">
      <c r="A6" s="315" t="s">
        <v>137</v>
      </c>
      <c r="B6" s="315"/>
      <c r="C6" s="315"/>
      <c r="D6" s="315"/>
      <c r="E6" s="315"/>
      <c r="F6" s="315"/>
      <c r="G6" s="315"/>
      <c r="H6" s="315"/>
      <c r="I6" s="315"/>
      <c r="J6" s="315"/>
      <c r="K6" s="315"/>
      <c r="L6" s="315"/>
      <c r="M6" s="315"/>
      <c r="N6" s="315"/>
      <c r="O6" s="315"/>
      <c r="P6" s="315"/>
    </row>
    <row r="7" spans="1:16">
      <c r="A7" s="11"/>
      <c r="B7" s="11"/>
      <c r="C7" s="11"/>
      <c r="D7" s="11"/>
      <c r="E7" s="11"/>
      <c r="F7" s="11"/>
      <c r="G7" s="11"/>
      <c r="H7" s="11"/>
      <c r="I7" s="11"/>
      <c r="J7" s="11"/>
      <c r="K7" s="11"/>
      <c r="L7" s="11"/>
      <c r="M7" s="11"/>
      <c r="N7" s="11"/>
      <c r="O7" s="11"/>
      <c r="P7" s="11"/>
    </row>
    <row r="8" spans="1:16">
      <c r="A8" s="315" t="s">
        <v>278</v>
      </c>
      <c r="B8" s="315"/>
      <c r="C8" s="315"/>
      <c r="D8" s="315"/>
      <c r="E8" s="315"/>
      <c r="F8" s="315"/>
      <c r="G8" s="315"/>
      <c r="H8" s="315"/>
      <c r="I8" s="315"/>
      <c r="J8" s="315"/>
      <c r="K8" s="315"/>
      <c r="L8" s="315"/>
      <c r="M8" s="315"/>
      <c r="N8" s="315"/>
      <c r="O8" s="315"/>
      <c r="P8" s="315"/>
    </row>
    <row r="10" spans="1:16">
      <c r="A10" s="2"/>
    </row>
    <row r="11" spans="1:16" ht="25.5">
      <c r="A11" s="11" t="s">
        <v>21</v>
      </c>
      <c r="B11" s="12" t="s">
        <v>25</v>
      </c>
      <c r="C11" s="13"/>
      <c r="D11" s="11" t="s">
        <v>4</v>
      </c>
      <c r="E11" s="11"/>
      <c r="F11" s="14" t="s">
        <v>265</v>
      </c>
      <c r="G11" s="11"/>
      <c r="H11" s="14" t="s">
        <v>266</v>
      </c>
      <c r="I11" s="11"/>
      <c r="J11" s="11" t="s">
        <v>271</v>
      </c>
      <c r="K11" s="11"/>
      <c r="L11" s="315" t="s">
        <v>23</v>
      </c>
      <c r="M11" s="315"/>
      <c r="N11" s="11"/>
      <c r="O11" s="14" t="s">
        <v>24</v>
      </c>
      <c r="P11" s="4"/>
    </row>
    <row r="12" spans="1:16">
      <c r="A12" s="2"/>
    </row>
    <row r="13" spans="1:16">
      <c r="A13" s="2"/>
      <c r="B13" s="3" t="s">
        <v>300</v>
      </c>
    </row>
    <row r="14" spans="1:16">
      <c r="A14" s="8">
        <v>1</v>
      </c>
      <c r="B14" s="3"/>
      <c r="C14" t="str">
        <f>'PEF - 6  p1, FF1 Inputs '!E22</f>
        <v xml:space="preserve">Production Plant </v>
      </c>
      <c r="D14" s="2" t="str">
        <f>'PEF - 6  p1, FF1 Inputs '!F22</f>
        <v>205.46.b&amp;g</v>
      </c>
      <c r="E14" s="2"/>
      <c r="F14" s="9">
        <f>'PEF - 6  p1, FF1 Inputs '!H22</f>
        <v>6062620307</v>
      </c>
      <c r="G14" s="9"/>
      <c r="H14" s="9">
        <f>'PEF - 6  p1, FF1 Inputs '!J22</f>
        <v>6509294072</v>
      </c>
      <c r="I14" s="2"/>
      <c r="J14" s="1">
        <f>(F14+H14)/2</f>
        <v>6285957189.5</v>
      </c>
      <c r="L14" s="2" t="s">
        <v>26</v>
      </c>
      <c r="O14" t="str">
        <f>IF(ISNUMBER(M14),J14*M14,"")</f>
        <v/>
      </c>
    </row>
    <row r="15" spans="1:16" ht="6" customHeight="1">
      <c r="A15" s="8"/>
      <c r="B15" s="3"/>
      <c r="D15" s="2"/>
      <c r="E15" s="2"/>
      <c r="F15" s="9"/>
      <c r="G15" s="9"/>
      <c r="H15" s="9"/>
      <c r="I15" s="2"/>
      <c r="J15" s="1"/>
      <c r="L15" s="2"/>
    </row>
    <row r="16" spans="1:16">
      <c r="A16" s="2">
        <f>A14+1</f>
        <v>2</v>
      </c>
      <c r="B16" s="3"/>
      <c r="C16" t="str">
        <f>'PEF - 6  p1, FF1 Inputs '!E23&amp;" (Note V)"</f>
        <v>Transmission Plant (Note V)</v>
      </c>
      <c r="D16" s="2" t="str">
        <f>'PEF - 6  p1, FF1 Inputs '!F23</f>
        <v>207.58.b&amp;g</v>
      </c>
      <c r="E16" s="2"/>
      <c r="F16" s="9">
        <f>'PEF - 6  p1, FF1 Inputs '!H23</f>
        <v>1729186642.4100001</v>
      </c>
      <c r="G16" s="9"/>
      <c r="H16" s="9">
        <f>'PEF - 6  p1, FF1 Inputs '!J23</f>
        <v>1892500268.5450001</v>
      </c>
      <c r="I16" s="2"/>
      <c r="J16" s="1">
        <f>(F16+H16)/2</f>
        <v>1810843455.4775</v>
      </c>
      <c r="L16" s="190"/>
      <c r="M16" s="230"/>
      <c r="N16" s="230"/>
      <c r="O16" s="34"/>
    </row>
    <row r="17" spans="1:15">
      <c r="A17" s="66" t="s">
        <v>497</v>
      </c>
      <c r="B17" s="199"/>
      <c r="C17" s="192" t="s">
        <v>499</v>
      </c>
      <c r="D17" s="66" t="s">
        <v>500</v>
      </c>
      <c r="E17" s="57"/>
      <c r="F17" s="200">
        <f>'PEF - 7, Retail Radials'!L14</f>
        <v>0</v>
      </c>
      <c r="G17" s="200"/>
      <c r="H17" s="200">
        <f>'PEF - 7, Retail Radials'!L18</f>
        <v>0</v>
      </c>
      <c r="I17" s="57"/>
      <c r="J17" s="228">
        <f>(F17+H17)/2</f>
        <v>0</v>
      </c>
      <c r="K17" s="56"/>
      <c r="L17" s="57"/>
      <c r="M17" s="201"/>
      <c r="N17" s="201"/>
      <c r="O17" s="198"/>
    </row>
    <row r="18" spans="1:15">
      <c r="A18" s="66" t="s">
        <v>498</v>
      </c>
      <c r="B18" s="199"/>
      <c r="C18" s="192" t="s">
        <v>501</v>
      </c>
      <c r="D18" s="66"/>
      <c r="E18" s="57"/>
      <c r="F18" s="200"/>
      <c r="G18" s="200"/>
      <c r="H18" s="200"/>
      <c r="I18" s="57"/>
      <c r="J18" s="49">
        <f>J16-J17</f>
        <v>1810843455.4775</v>
      </c>
      <c r="K18" s="56"/>
      <c r="L18" s="66" t="s">
        <v>51</v>
      </c>
      <c r="M18" s="229">
        <f>'PEF - 2 - Page 4 Support'!I$20</f>
        <v>0.93104563809074581</v>
      </c>
      <c r="N18" s="229"/>
      <c r="O18" s="49">
        <f>J18*M18</f>
        <v>1685977900.4875</v>
      </c>
    </row>
    <row r="19" spans="1:15" ht="6" customHeight="1">
      <c r="A19" s="2"/>
      <c r="B19" s="3"/>
      <c r="D19" s="2"/>
      <c r="E19" s="2"/>
      <c r="F19" s="9"/>
      <c r="G19" s="9"/>
      <c r="H19" s="9"/>
      <c r="I19" s="2"/>
      <c r="J19" s="1"/>
      <c r="L19" s="2"/>
      <c r="M19" s="7"/>
      <c r="N19" s="7"/>
      <c r="O19" s="1"/>
    </row>
    <row r="20" spans="1:15">
      <c r="A20" s="2">
        <f>A16+1</f>
        <v>3</v>
      </c>
      <c r="B20" s="3"/>
      <c r="C20" t="str">
        <f>'PEF - 6  p1, FF1 Inputs '!E24</f>
        <v>Distribution Plant</v>
      </c>
      <c r="D20" s="2" t="str">
        <f>'PEF - 6  p1, FF1 Inputs '!F24</f>
        <v>207.75.b&amp;g</v>
      </c>
      <c r="E20" s="2"/>
      <c r="F20" s="9">
        <f>'PEF - 6  p1, FF1 Inputs '!H24</f>
        <v>3885359784</v>
      </c>
      <c r="G20" s="9"/>
      <c r="H20" s="9">
        <f>'PEF - 6  p1, FF1 Inputs '!J24</f>
        <v>4017601528</v>
      </c>
      <c r="I20" s="2"/>
      <c r="J20" s="1">
        <f>(F20+H20)/2</f>
        <v>3951480656</v>
      </c>
      <c r="L20" s="2" t="s">
        <v>26</v>
      </c>
      <c r="M20" s="7"/>
      <c r="N20" s="7"/>
      <c r="O20" s="1" t="str">
        <f>IF(ISNUMBER(M20),J20*M20,"")</f>
        <v/>
      </c>
    </row>
    <row r="21" spans="1:15">
      <c r="A21" s="2">
        <f>A20+1</f>
        <v>4</v>
      </c>
      <c r="B21" s="3"/>
      <c r="C21" t="str">
        <f>'PEF - 6  p1, FF1 Inputs '!E25</f>
        <v>General Plant</v>
      </c>
      <c r="D21" s="2" t="str">
        <f>'PEF - 6  p1, FF1 Inputs '!F25</f>
        <v>207.99.b&amp;g</v>
      </c>
      <c r="E21" s="45"/>
      <c r="F21" s="53">
        <f>'PEF - 6  p1, FF1 Inputs '!H25</f>
        <v>353871726</v>
      </c>
      <c r="G21" s="53"/>
      <c r="H21" s="53">
        <f>'PEF - 6  p1, FF1 Inputs '!J25</f>
        <v>350595223</v>
      </c>
      <c r="I21" s="45"/>
      <c r="J21" s="1">
        <f>(F21+H21)/2</f>
        <v>352233474.5</v>
      </c>
      <c r="L21" s="2" t="s">
        <v>195</v>
      </c>
      <c r="M21" s="7">
        <f>'PEF - 2 - Page 4 Support'!I$37</f>
        <v>7.4044416484916623E-2</v>
      </c>
      <c r="N21" s="7"/>
      <c r="O21" s="1">
        <f>IF(ISNUMBER(M21),J21*M21,"")</f>
        <v>26080922.08580726</v>
      </c>
    </row>
    <row r="22" spans="1:15" ht="13.5" thickBot="1">
      <c r="A22" s="2">
        <f>A21+1</f>
        <v>5</v>
      </c>
      <c r="B22" s="3"/>
      <c r="C22" t="str">
        <f>'PEF - 6  p1, FF1 Inputs '!E21</f>
        <v>Intangible Plant</v>
      </c>
      <c r="D22" s="2" t="str">
        <f>'PEF - 6  p1, FF1 Inputs '!F21</f>
        <v>205.5.b&amp;g</v>
      </c>
      <c r="E22" s="2"/>
      <c r="F22" s="53">
        <f>'PEF - 6  p1, FF1 Inputs '!H21</f>
        <v>136998392</v>
      </c>
      <c r="G22" s="53"/>
      <c r="H22" s="53">
        <f>'PEF - 6  p1, FF1 Inputs '!J21</f>
        <v>139296383</v>
      </c>
      <c r="I22" s="2"/>
      <c r="J22" s="1">
        <f>(F22+H22)/2</f>
        <v>138147387.5</v>
      </c>
      <c r="L22" s="2" t="s">
        <v>195</v>
      </c>
      <c r="M22" s="7">
        <f>M21</f>
        <v>7.4044416484916623E-2</v>
      </c>
      <c r="N22" s="7"/>
      <c r="O22" s="1">
        <f>IF(ISNUMBER(M22),J22*M22,"")</f>
        <v>10229042.696353165</v>
      </c>
    </row>
    <row r="23" spans="1:15" ht="15" customHeight="1" thickTop="1">
      <c r="A23" s="2">
        <f>A22+1</f>
        <v>6</v>
      </c>
      <c r="B23" s="3" t="s">
        <v>28</v>
      </c>
      <c r="D23" s="2"/>
      <c r="E23" s="2"/>
      <c r="F23" s="9"/>
      <c r="G23" s="9"/>
      <c r="H23" s="9"/>
      <c r="I23" s="2"/>
      <c r="J23" s="5">
        <f>J14+J16+SUM(J20:J22)</f>
        <v>12538662162.977501</v>
      </c>
      <c r="L23" s="2" t="s">
        <v>27</v>
      </c>
      <c r="M23" s="7">
        <f>IF(J23&lt;&gt;0,O23/J23,0)</f>
        <v>0.13735818406169389</v>
      </c>
      <c r="N23" s="7"/>
      <c r="O23" s="5">
        <f>SUM(O14:O22)</f>
        <v>1722287865.2696605</v>
      </c>
    </row>
    <row r="24" spans="1:15">
      <c r="A24" s="2"/>
      <c r="B24" s="3"/>
      <c r="D24" s="2"/>
      <c r="E24" s="2"/>
      <c r="F24" s="9"/>
      <c r="G24" s="9"/>
      <c r="H24" s="9"/>
      <c r="I24" s="2"/>
      <c r="L24" s="2"/>
    </row>
    <row r="25" spans="1:15">
      <c r="A25" s="2"/>
      <c r="B25" s="3" t="s">
        <v>301</v>
      </c>
      <c r="D25" s="2"/>
      <c r="E25" s="2"/>
      <c r="F25" s="9"/>
      <c r="G25" s="9"/>
      <c r="H25" s="9"/>
      <c r="I25" s="2"/>
      <c r="L25" s="2"/>
    </row>
    <row r="26" spans="1:15">
      <c r="A26" s="2">
        <f>A23+1</f>
        <v>7</v>
      </c>
      <c r="B26" s="3"/>
      <c r="C26" t="str">
        <f>'PEF - 6  p1, FF1 Inputs '!E27</f>
        <v>Production Depr. Reserve</v>
      </c>
      <c r="D26" s="2" t="str">
        <f>'PEF - 6  p1, FF1 Inputs '!F27</f>
        <v>219.20 thru 24.c</v>
      </c>
      <c r="E26" s="2"/>
      <c r="F26" s="9">
        <f>'PEF - 6  p1, FF1 Inputs '!J72</f>
        <v>2526507234</v>
      </c>
      <c r="G26" s="9"/>
      <c r="H26" s="1">
        <f>'PEF - 6  p1, FF1 Inputs '!J27</f>
        <v>2581166912</v>
      </c>
      <c r="I26" s="2"/>
      <c r="J26" s="1">
        <f>(F26+H26)/2</f>
        <v>2553837073</v>
      </c>
      <c r="L26" s="2" t="s">
        <v>26</v>
      </c>
      <c r="O26" t="str">
        <f>IF(ISNUMBER(M26),J26*M26,"")</f>
        <v/>
      </c>
    </row>
    <row r="27" spans="1:15" ht="6" customHeight="1">
      <c r="A27" s="2"/>
      <c r="B27" s="3"/>
      <c r="D27" s="2"/>
      <c r="E27" s="2"/>
      <c r="F27" s="9"/>
      <c r="G27" s="9"/>
      <c r="H27" s="1"/>
      <c r="I27" s="2"/>
      <c r="J27" s="1"/>
      <c r="L27" s="2"/>
    </row>
    <row r="28" spans="1:15">
      <c r="A28" s="2">
        <f>A26+1</f>
        <v>8</v>
      </c>
      <c r="B28" s="46"/>
      <c r="C28" t="str">
        <f>'PEF - 6  p1, FF1 Inputs '!E28&amp;" (Note V)"</f>
        <v>Transmission Depr. Reserve (Note V)</v>
      </c>
      <c r="D28" s="2" t="str">
        <f>'PEF - 6  p1, FF1 Inputs '!F28</f>
        <v>219.25.c</v>
      </c>
      <c r="E28" s="2"/>
      <c r="F28" s="9">
        <f>'PEF - 6  p1, FF1 Inputs '!J73</f>
        <v>487284055.5</v>
      </c>
      <c r="G28" s="9"/>
      <c r="H28" s="1">
        <f>'PEF - 6  p1, FF1 Inputs '!J28</f>
        <v>503346856.5</v>
      </c>
      <c r="I28" s="2"/>
      <c r="J28" s="1">
        <f>(F28+H28)/2</f>
        <v>495315456</v>
      </c>
      <c r="K28" s="39"/>
      <c r="L28" s="190"/>
      <c r="M28" s="230"/>
      <c r="N28" s="230"/>
      <c r="O28" s="34"/>
    </row>
    <row r="29" spans="1:15">
      <c r="A29" s="66" t="s">
        <v>502</v>
      </c>
      <c r="B29" s="46"/>
      <c r="C29" s="192" t="s">
        <v>499</v>
      </c>
      <c r="D29" s="66" t="s">
        <v>504</v>
      </c>
      <c r="E29" s="57"/>
      <c r="F29" s="200">
        <f>'PEF - 7, Retail Radials'!L25</f>
        <v>0</v>
      </c>
      <c r="G29" s="200"/>
      <c r="H29" s="198">
        <f>'PEF - 7, Retail Radials'!L28</f>
        <v>0</v>
      </c>
      <c r="I29" s="57"/>
      <c r="J29" s="228">
        <f>(F29+H29)/2</f>
        <v>0</v>
      </c>
      <c r="K29" s="56"/>
      <c r="L29" s="57"/>
      <c r="M29" s="201"/>
      <c r="N29" s="201"/>
      <c r="O29" s="198"/>
    </row>
    <row r="30" spans="1:15">
      <c r="A30" s="66" t="s">
        <v>503</v>
      </c>
      <c r="B30" s="46"/>
      <c r="C30" s="192" t="s">
        <v>508</v>
      </c>
      <c r="D30" s="66"/>
      <c r="E30" s="57"/>
      <c r="F30" s="200"/>
      <c r="G30" s="200"/>
      <c r="H30" s="198"/>
      <c r="I30" s="57"/>
      <c r="J30" s="49">
        <f>J28-J29</f>
        <v>495315456</v>
      </c>
      <c r="K30" s="56"/>
      <c r="L30" s="66" t="s">
        <v>51</v>
      </c>
      <c r="M30" s="229">
        <f>'PEF - 2 - Page 4 Support'!I$20</f>
        <v>0.93104563809074581</v>
      </c>
      <c r="N30" s="229"/>
      <c r="O30" s="49">
        <f>IF(ISNUMBER(M30),J30*M30,"")</f>
        <v>461161294.78772873</v>
      </c>
    </row>
    <row r="31" spans="1:15" ht="6" customHeight="1">
      <c r="A31" s="2"/>
      <c r="B31" s="46"/>
      <c r="D31" s="2"/>
      <c r="E31" s="2"/>
      <c r="F31" s="9"/>
      <c r="G31" s="9"/>
      <c r="H31" s="1"/>
      <c r="I31" s="2"/>
      <c r="J31" s="1"/>
      <c r="K31" s="39"/>
      <c r="L31" s="45"/>
      <c r="M31" s="42"/>
      <c r="N31" s="42"/>
      <c r="O31" s="41"/>
    </row>
    <row r="32" spans="1:15">
      <c r="A32" s="2">
        <f>A28+1</f>
        <v>9</v>
      </c>
      <c r="B32" s="3"/>
      <c r="C32" t="str">
        <f>'PEF - 6  p1, FF1 Inputs '!E29</f>
        <v>Distribution Depr. Reserve</v>
      </c>
      <c r="D32" s="2" t="str">
        <f>'PEF - 6  p1, FF1 Inputs '!F29</f>
        <v>219.26.c</v>
      </c>
      <c r="E32" s="2"/>
      <c r="F32" s="9">
        <f>'PEF - 6  p1, FF1 Inputs '!J74</f>
        <v>1509513184</v>
      </c>
      <c r="G32" s="9"/>
      <c r="H32" s="1">
        <f>'PEF - 6  p1, FF1 Inputs '!J29</f>
        <v>1533445494</v>
      </c>
      <c r="I32" s="2"/>
      <c r="J32" s="1">
        <f>(F32+H32)/2</f>
        <v>1521479339</v>
      </c>
      <c r="L32" s="2" t="s">
        <v>26</v>
      </c>
      <c r="M32" s="7"/>
      <c r="N32" s="7"/>
      <c r="O32" s="1" t="str">
        <f>IF(ISNUMBER(M32),J32*M32,"")</f>
        <v/>
      </c>
    </row>
    <row r="33" spans="1:15">
      <c r="A33" s="2">
        <f>A32+1</f>
        <v>10</v>
      </c>
      <c r="B33" s="3"/>
      <c r="C33" t="str">
        <f>'PEF - 6  p1, FF1 Inputs '!E30</f>
        <v>General Depr. Reserve</v>
      </c>
      <c r="D33" s="2" t="str">
        <f>'PEF - 6  p1, FF1 Inputs '!F30</f>
        <v>219.28.c</v>
      </c>
      <c r="E33" s="2"/>
      <c r="F33" s="9">
        <f>'PEF - 6  p1, FF1 Inputs '!J75</f>
        <v>111452527</v>
      </c>
      <c r="G33" s="9"/>
      <c r="H33" s="1">
        <f>'PEF - 6  p1, FF1 Inputs '!J30</f>
        <v>107187909</v>
      </c>
      <c r="I33" s="2"/>
      <c r="J33" s="1">
        <f>(F33+H33)/2</f>
        <v>109320218</v>
      </c>
      <c r="L33" s="2" t="s">
        <v>195</v>
      </c>
      <c r="M33" s="7">
        <f>'PEF - 2 - Page 4 Support'!I$37</f>
        <v>7.4044416484916623E-2</v>
      </c>
      <c r="N33" s="7"/>
      <c r="O33" s="1">
        <f>IF(ISNUMBER(M33),J33*M33,"")</f>
        <v>8094551.7518138792</v>
      </c>
    </row>
    <row r="34" spans="1:15" ht="13.5" thickBot="1">
      <c r="A34" s="2">
        <f>A33+1</f>
        <v>11</v>
      </c>
      <c r="B34" s="3"/>
      <c r="C34" t="str">
        <f>'PEF - 6  p1, FF1 Inputs '!E20</f>
        <v>Intangible Amort. Reserve</v>
      </c>
      <c r="D34" s="2" t="str">
        <f>'PEF - 6  p1, FF1 Inputs '!F20</f>
        <v>200.21.c</v>
      </c>
      <c r="E34" s="2"/>
      <c r="F34" s="9">
        <f>'PEF - 6  p1, FF1 Inputs '!J70</f>
        <v>125244007</v>
      </c>
      <c r="G34" s="9"/>
      <c r="H34" s="1">
        <f>'PEF - 6  p1, FF1 Inputs '!J20</f>
        <v>128354364</v>
      </c>
      <c r="I34" s="2"/>
      <c r="J34" s="1">
        <f>(F34+H34)/2</f>
        <v>126799185.5</v>
      </c>
      <c r="L34" s="2" t="s">
        <v>195</v>
      </c>
      <c r="M34" s="7">
        <f>M33</f>
        <v>7.4044416484916623E-2</v>
      </c>
      <c r="N34" s="7"/>
      <c r="O34" s="1">
        <f>IF(ISNUMBER(M34),J34*M34,"")</f>
        <v>9388771.701110201</v>
      </c>
    </row>
    <row r="35" spans="1:15" ht="13.5" thickTop="1">
      <c r="A35" s="2">
        <f>A34+1</f>
        <v>12</v>
      </c>
      <c r="B35" s="3" t="s">
        <v>29</v>
      </c>
      <c r="D35" s="2"/>
      <c r="E35" s="2"/>
      <c r="F35" s="9"/>
      <c r="G35" s="9"/>
      <c r="H35" s="9"/>
      <c r="I35" s="2"/>
      <c r="J35" s="5">
        <f>J26+J28+SUM(J32:J34)</f>
        <v>4806751271.5</v>
      </c>
      <c r="L35" s="2"/>
      <c r="M35" s="7"/>
      <c r="N35" s="7"/>
      <c r="O35" s="5">
        <f>SUM(O26:O34)</f>
        <v>478644618.2406528</v>
      </c>
    </row>
    <row r="36" spans="1:15">
      <c r="A36" s="2"/>
      <c r="B36" s="3"/>
      <c r="D36" s="2"/>
      <c r="E36" s="2"/>
      <c r="F36" s="9"/>
      <c r="G36" s="9"/>
      <c r="H36" s="9"/>
      <c r="I36" s="2"/>
      <c r="L36" s="2"/>
    </row>
    <row r="37" spans="1:15">
      <c r="A37" s="2"/>
      <c r="B37" s="3" t="s">
        <v>30</v>
      </c>
      <c r="D37" s="2"/>
      <c r="E37" s="2"/>
      <c r="F37" s="9"/>
      <c r="G37" s="9"/>
      <c r="H37" s="9"/>
      <c r="I37" s="2"/>
      <c r="L37" s="2"/>
      <c r="O37" s="1"/>
    </row>
    <row r="38" spans="1:15">
      <c r="A38" s="2">
        <f>A35+1</f>
        <v>13</v>
      </c>
      <c r="B38" s="3"/>
      <c r="C38" t="s">
        <v>188</v>
      </c>
      <c r="D38" s="2" t="s">
        <v>42</v>
      </c>
      <c r="E38" s="2"/>
      <c r="F38" s="9"/>
      <c r="G38" s="9"/>
      <c r="H38" s="9"/>
      <c r="I38" s="2"/>
      <c r="J38" s="1">
        <f>J14-J26</f>
        <v>3732120116.5</v>
      </c>
      <c r="L38" s="2"/>
      <c r="O38" s="1" t="str">
        <f>IF(ISNUMBER(O14),O14-O26,"")</f>
        <v/>
      </c>
    </row>
    <row r="39" spans="1:15">
      <c r="A39" s="2">
        <f>A38+1</f>
        <v>14</v>
      </c>
      <c r="B39" s="3"/>
      <c r="C39" t="s">
        <v>189</v>
      </c>
      <c r="D39" s="190" t="s">
        <v>540</v>
      </c>
      <c r="E39" s="2"/>
      <c r="F39" s="9"/>
      <c r="G39" s="9"/>
      <c r="H39" s="9"/>
      <c r="I39" s="2"/>
      <c r="J39" s="1">
        <f>J18-J30</f>
        <v>1315527999.4775</v>
      </c>
      <c r="L39" s="2"/>
      <c r="O39" s="1">
        <f>IF(ISNUMBER(O18),O18-O30,"")</f>
        <v>1224816605.6997712</v>
      </c>
    </row>
    <row r="40" spans="1:15">
      <c r="A40" s="2">
        <f>A39+1</f>
        <v>15</v>
      </c>
      <c r="B40" s="3"/>
      <c r="C40" t="s">
        <v>190</v>
      </c>
      <c r="D40" s="2" t="s">
        <v>43</v>
      </c>
      <c r="E40" s="2"/>
      <c r="F40" s="9"/>
      <c r="G40" s="9"/>
      <c r="H40" s="9"/>
      <c r="I40" s="2"/>
      <c r="J40" s="1">
        <f>J20-J32</f>
        <v>2430001317</v>
      </c>
      <c r="L40" s="2"/>
      <c r="O40" s="1" t="str">
        <f>IF(ISNUMBER(O20),O20-O32,"")</f>
        <v/>
      </c>
    </row>
    <row r="41" spans="1:15">
      <c r="A41" s="2">
        <f>A40+1</f>
        <v>16</v>
      </c>
      <c r="B41" s="3"/>
      <c r="C41" t="s">
        <v>191</v>
      </c>
      <c r="D41" s="2" t="s">
        <v>44</v>
      </c>
      <c r="E41" s="2"/>
      <c r="F41" s="9"/>
      <c r="G41" s="9"/>
      <c r="H41" s="9"/>
      <c r="I41" s="2"/>
      <c r="J41" s="1">
        <f>J21-J33</f>
        <v>242913256.5</v>
      </c>
      <c r="L41" s="2"/>
      <c r="O41" s="1">
        <f>IF(ISNUMBER(O21),O21-O33,"")</f>
        <v>17986370.333993383</v>
      </c>
    </row>
    <row r="42" spans="1:15" ht="13.5" thickBot="1">
      <c r="A42" s="2">
        <f>A41+1</f>
        <v>17</v>
      </c>
      <c r="B42" s="3"/>
      <c r="C42" t="s">
        <v>192</v>
      </c>
      <c r="D42" s="2" t="s">
        <v>45</v>
      </c>
      <c r="E42" s="2"/>
      <c r="F42" s="9"/>
      <c r="G42" s="9"/>
      <c r="H42" s="9"/>
      <c r="I42" s="2"/>
      <c r="J42" s="1">
        <f>J22-J34</f>
        <v>11348202</v>
      </c>
      <c r="L42" s="2"/>
      <c r="O42" s="1">
        <f>IF(ISNUMBER(O22),O22-O34,"")</f>
        <v>840270.99524296448</v>
      </c>
    </row>
    <row r="43" spans="1:15" ht="13.5" thickTop="1">
      <c r="A43" s="2">
        <f>A42+1</f>
        <v>18</v>
      </c>
      <c r="B43" s="3" t="s">
        <v>31</v>
      </c>
      <c r="D43" s="2"/>
      <c r="E43" s="2"/>
      <c r="F43" s="9"/>
      <c r="G43" s="9"/>
      <c r="H43" s="9"/>
      <c r="I43" s="2"/>
      <c r="J43" s="5">
        <f>SUM(J38:J42)</f>
        <v>7731910891.4775</v>
      </c>
      <c r="L43" s="2" t="s">
        <v>32</v>
      </c>
      <c r="M43" s="7">
        <f>IF(J43&lt;&gt;0,O43/J43,0)</f>
        <v>0.16084552246971878</v>
      </c>
      <c r="N43" s="7"/>
      <c r="O43" s="5">
        <f>SUM(O38:O42)</f>
        <v>1243643247.0290077</v>
      </c>
    </row>
    <row r="44" spans="1:15">
      <c r="A44" s="2"/>
      <c r="B44" s="3"/>
      <c r="D44" s="2"/>
      <c r="E44" s="2"/>
      <c r="F44" s="9"/>
      <c r="G44" s="9"/>
      <c r="H44" s="9"/>
      <c r="I44" s="2"/>
      <c r="L44" s="2"/>
    </row>
    <row r="45" spans="1:15">
      <c r="A45" s="2"/>
      <c r="B45" s="3" t="s">
        <v>283</v>
      </c>
      <c r="D45" s="2"/>
      <c r="E45" s="2"/>
      <c r="F45" s="9"/>
      <c r="G45" s="9"/>
      <c r="H45" s="9"/>
      <c r="I45" s="2"/>
      <c r="L45" s="2"/>
    </row>
    <row r="46" spans="1:15">
      <c r="A46" s="2">
        <f>A43+1</f>
        <v>19</v>
      </c>
      <c r="B46" s="3"/>
      <c r="C46" t="s">
        <v>18</v>
      </c>
      <c r="D46" s="6" t="str">
        <f>'PEF - 6  p1, FF1 Inputs '!F36</f>
        <v>234.8.b&amp;c</v>
      </c>
      <c r="E46" s="2"/>
      <c r="F46" s="9">
        <f>'PEF - 6  p1, FF1 Inputs '!H36</f>
        <v>541048062</v>
      </c>
      <c r="G46" s="9"/>
      <c r="H46" s="9">
        <f>'PEF - 6  p1, FF1 Inputs '!J36</f>
        <v>618811877</v>
      </c>
      <c r="I46" s="2"/>
      <c r="J46" s="1">
        <f>(F46+H46)/2</f>
        <v>579929969.5</v>
      </c>
      <c r="L46" s="313" t="s">
        <v>196</v>
      </c>
      <c r="M46" s="314"/>
      <c r="N46" s="39"/>
      <c r="O46" s="92">
        <f>('PEF -5 p1 PY ADIT 190'!I78+'PEF - 5 p3 CY ADIT 190'!I82)/2</f>
        <v>16901641.664663166</v>
      </c>
    </row>
    <row r="47" spans="1:15">
      <c r="A47" s="2">
        <f>A46+1</f>
        <v>20</v>
      </c>
      <c r="B47" s="3"/>
      <c r="C47" t="s">
        <v>19</v>
      </c>
      <c r="D47" s="6" t="str">
        <f>'PEF - 6  p1, FF1 Inputs '!F45</f>
        <v>273.8.b&amp;k</v>
      </c>
      <c r="E47" s="2"/>
      <c r="F47" s="9">
        <f>'PEF - 6  p1, FF1 Inputs '!H45</f>
        <v>-3757590</v>
      </c>
      <c r="G47" s="9"/>
      <c r="H47" s="9">
        <f>'PEF - 6  p1, FF1 Inputs '!J45</f>
        <v>-3757590</v>
      </c>
      <c r="I47" s="2"/>
      <c r="J47" s="1">
        <f>(F47+H47)/2</f>
        <v>-3757590</v>
      </c>
      <c r="L47" s="313" t="s">
        <v>196</v>
      </c>
      <c r="M47" s="314"/>
      <c r="N47" s="39"/>
      <c r="O47" s="92">
        <f>('PEF -5 p2 PY ADIT 28x'!I13+'PEF - 5 p4 CY ADIT 28x'!I13)/2</f>
        <v>0</v>
      </c>
    </row>
    <row r="48" spans="1:15">
      <c r="A48" s="2">
        <f>A47+1</f>
        <v>21</v>
      </c>
      <c r="B48" s="3"/>
      <c r="C48" t="s">
        <v>20</v>
      </c>
      <c r="D48" s="6" t="str">
        <f>'PEF - 6  p1, FF1 Inputs '!F46</f>
        <v>275.2.b&amp;k</v>
      </c>
      <c r="E48" s="2"/>
      <c r="F48" s="9">
        <f>'PEF - 6  p1, FF1 Inputs '!H46</f>
        <v>-660183457</v>
      </c>
      <c r="G48" s="9"/>
      <c r="H48" s="9">
        <f>'PEF - 6  p1, FF1 Inputs '!J46</f>
        <v>-964138005</v>
      </c>
      <c r="I48" s="2"/>
      <c r="J48" s="1">
        <f>(F48+H48)/2</f>
        <v>-812160731</v>
      </c>
      <c r="L48" s="313" t="s">
        <v>196</v>
      </c>
      <c r="M48" s="314"/>
      <c r="N48" s="39"/>
      <c r="O48" s="1">
        <f>('PEF -5 p2 PY ADIT 28x'!I19+'PEF - 5 p4 CY ADIT 28x'!I19)/2</f>
        <v>-157916665.64246804</v>
      </c>
    </row>
    <row r="49" spans="1:15" ht="13.5" thickBot="1">
      <c r="A49" s="2">
        <f>A48+1</f>
        <v>22</v>
      </c>
      <c r="B49" s="3"/>
      <c r="C49" t="s">
        <v>405</v>
      </c>
      <c r="D49" s="6" t="str">
        <f>'PEF - 6  p1, FF1 Inputs '!F47</f>
        <v>277.9.b&amp;k</v>
      </c>
      <c r="E49" s="2"/>
      <c r="F49" s="9">
        <f>'PEF - 6  p1, FF1 Inputs '!H47</f>
        <v>-587646357</v>
      </c>
      <c r="G49" s="9"/>
      <c r="H49" s="9">
        <f>'PEF - 6  p1, FF1 Inputs '!J47</f>
        <v>-697572291</v>
      </c>
      <c r="I49" s="2"/>
      <c r="J49" s="1">
        <f>(F49+H49)/2</f>
        <v>-642609324</v>
      </c>
      <c r="L49" s="313" t="s">
        <v>196</v>
      </c>
      <c r="M49" s="314"/>
      <c r="N49" s="39"/>
      <c r="O49" s="1">
        <f>('PEF -5 p2 PY ADIT 28x'!I45+'PEF - 5 p4 CY ADIT 28x'!I43)/2</f>
        <v>-10363609.297862424</v>
      </c>
    </row>
    <row r="50" spans="1:15" ht="13.5" thickTop="1">
      <c r="A50" s="2">
        <f>A49+1</f>
        <v>23</v>
      </c>
      <c r="B50" s="3" t="s">
        <v>284</v>
      </c>
      <c r="D50" s="2"/>
      <c r="E50" s="2"/>
      <c r="F50" s="9"/>
      <c r="G50" s="9"/>
      <c r="H50" s="9"/>
      <c r="I50" s="2"/>
      <c r="J50" s="5">
        <f>SUM(J46:J49)</f>
        <v>-878597675.5</v>
      </c>
      <c r="L50" s="2"/>
      <c r="M50" s="7"/>
      <c r="N50" s="7"/>
      <c r="O50" s="5">
        <f>SUM(O46:O49)</f>
        <v>-151378633.27566728</v>
      </c>
    </row>
    <row r="51" spans="1:15">
      <c r="A51" s="2"/>
      <c r="B51" s="3"/>
      <c r="D51" s="2"/>
      <c r="E51" s="2"/>
      <c r="F51" s="9"/>
      <c r="G51" s="9"/>
      <c r="H51" s="9"/>
      <c r="I51" s="2"/>
      <c r="L51" s="2"/>
    </row>
    <row r="52" spans="1:15" ht="25.5" customHeight="1">
      <c r="A52" s="16">
        <f>A50+1</f>
        <v>24</v>
      </c>
      <c r="B52" s="316" t="s">
        <v>557</v>
      </c>
      <c r="C52" s="318"/>
      <c r="D52" s="193" t="s">
        <v>552</v>
      </c>
      <c r="E52" s="193"/>
      <c r="F52" s="194">
        <f>-'PEF - 5A Unfunded Reserves'!E31</f>
        <v>-254480994.09999999</v>
      </c>
      <c r="G52" s="194"/>
      <c r="H52" s="194">
        <f>-'PEF - 5A Unfunded Reserves'!G31</f>
        <v>-338083777.56</v>
      </c>
      <c r="I52" s="193"/>
      <c r="J52" s="195">
        <f>(F52+H52)/2</f>
        <v>-296282385.82999998</v>
      </c>
      <c r="K52" s="196"/>
      <c r="L52" s="319" t="s">
        <v>541</v>
      </c>
      <c r="M52" s="320"/>
      <c r="N52" s="197"/>
      <c r="O52" s="195">
        <f>-'PEF - 5A Unfunded Reserves'!N31</f>
        <v>-21938056.373541281</v>
      </c>
    </row>
    <row r="53" spans="1:15">
      <c r="A53" s="2"/>
      <c r="B53" s="3"/>
      <c r="D53" s="2"/>
      <c r="E53" s="2"/>
      <c r="F53" s="9"/>
      <c r="G53" s="9"/>
      <c r="H53" s="9"/>
      <c r="I53" s="2"/>
      <c r="L53" s="2"/>
    </row>
    <row r="54" spans="1:15" ht="25.5" customHeight="1">
      <c r="A54" s="16">
        <f>A52+1</f>
        <v>25</v>
      </c>
      <c r="B54" s="316" t="s">
        <v>303</v>
      </c>
      <c r="C54" s="317"/>
      <c r="D54" s="16" t="str">
        <f>'PEF - 6  p1, FF1 Inputs '!F35</f>
        <v>230a.5.f</v>
      </c>
      <c r="E54" s="16"/>
      <c r="F54" s="32">
        <f>'PEF - 6  p1, FF1 Inputs '!J76</f>
        <v>10501360</v>
      </c>
      <c r="G54" s="32"/>
      <c r="H54" s="32">
        <f>'PEF - 6  p1, FF1 Inputs '!J35</f>
        <v>5098978</v>
      </c>
      <c r="I54" s="16"/>
      <c r="J54" s="17">
        <f>(F54+H54)/2</f>
        <v>7800169</v>
      </c>
      <c r="K54" s="13"/>
      <c r="L54" s="16" t="str">
        <f>"p. 5, l. "&amp;'PEF - 2 - Page 5 Storm, Notes'!B38</f>
        <v>p. 5, l. 16</v>
      </c>
      <c r="M54" s="18">
        <f>'PEF - 2 - Page 5 Storm, Notes'!K38</f>
        <v>2.8768942708766523</v>
      </c>
      <c r="N54" s="13"/>
      <c r="O54" s="17">
        <f>J54*M54</f>
        <v>22440261.507969666</v>
      </c>
    </row>
    <row r="55" spans="1:15">
      <c r="A55" s="2"/>
      <c r="B55" s="3"/>
      <c r="D55" s="2"/>
      <c r="E55" s="2"/>
      <c r="F55" s="9"/>
      <c r="G55" s="9"/>
      <c r="H55" s="9"/>
      <c r="I55" s="2"/>
      <c r="L55" s="2"/>
    </row>
    <row r="56" spans="1:15">
      <c r="A56" s="16">
        <f>A54+1</f>
        <v>26</v>
      </c>
      <c r="B56" s="3" t="s">
        <v>38</v>
      </c>
      <c r="D56" s="2" t="str">
        <f>'PEF - 6  p1, FF1 Inputs '!F26</f>
        <v>214.47.d</v>
      </c>
      <c r="E56" s="2"/>
      <c r="F56" s="9">
        <f>'PEF - 6  p1, FF1 Inputs '!J71</f>
        <v>6192322</v>
      </c>
      <c r="G56" s="9"/>
      <c r="H56" s="9">
        <f>'PEF - 6  p1, FF1 Inputs '!J26</f>
        <v>6192322</v>
      </c>
      <c r="I56" s="2"/>
      <c r="J56" s="1">
        <f>(F56+H56)/2</f>
        <v>6192322</v>
      </c>
      <c r="L56" s="2" t="s">
        <v>304</v>
      </c>
      <c r="O56" s="1">
        <f>J56</f>
        <v>6192322</v>
      </c>
    </row>
    <row r="57" spans="1:15">
      <c r="A57" s="2"/>
      <c r="B57" s="3"/>
      <c r="F57" s="1"/>
      <c r="G57" s="1"/>
      <c r="H57" s="1"/>
      <c r="L57" s="2"/>
    </row>
    <row r="58" spans="1:15">
      <c r="A58" s="16">
        <f>A56+1</f>
        <v>27</v>
      </c>
      <c r="B58" s="3" t="s">
        <v>543</v>
      </c>
      <c r="F58" s="282">
        <f>87366747+1055375</f>
        <v>88422122</v>
      </c>
      <c r="G58" s="49"/>
      <c r="H58" s="282">
        <v>58705035</v>
      </c>
      <c r="J58" s="1">
        <f>(F58+H58)/2</f>
        <v>73563578.5</v>
      </c>
      <c r="L58" s="2"/>
      <c r="M58" s="65">
        <v>0.5</v>
      </c>
      <c r="O58" s="1">
        <f>J58*M58</f>
        <v>36781789.25</v>
      </c>
    </row>
    <row r="59" spans="1:15" ht="12.75" customHeight="1">
      <c r="A59" s="2"/>
      <c r="C59" s="37"/>
      <c r="D59" s="16"/>
      <c r="E59" s="16"/>
      <c r="F59" s="52"/>
      <c r="G59" s="52"/>
      <c r="H59" s="52"/>
      <c r="I59" s="16"/>
      <c r="J59" s="17"/>
      <c r="K59" s="13"/>
      <c r="L59" s="16"/>
      <c r="M59" s="18"/>
      <c r="N59" s="13"/>
      <c r="O59" s="17"/>
    </row>
    <row r="60" spans="1:15" ht="12.75" customHeight="1">
      <c r="A60" s="45"/>
      <c r="B60" s="46" t="s">
        <v>408</v>
      </c>
      <c r="C60" s="40"/>
      <c r="D60" s="61"/>
      <c r="E60" s="61"/>
      <c r="F60" s="62"/>
      <c r="G60" s="62"/>
      <c r="H60" s="62"/>
      <c r="I60" s="61"/>
      <c r="J60" s="63"/>
      <c r="K60" s="64"/>
      <c r="L60" s="61"/>
      <c r="M60" s="65"/>
      <c r="N60" s="64"/>
      <c r="O60" s="63"/>
    </row>
    <row r="61" spans="1:15" ht="12.75" customHeight="1">
      <c r="A61" s="2">
        <f>A58+1</f>
        <v>28</v>
      </c>
      <c r="B61" s="39"/>
      <c r="C61" s="68" t="s">
        <v>544</v>
      </c>
      <c r="D61" s="61"/>
      <c r="E61" s="61"/>
      <c r="F61" s="53">
        <v>0</v>
      </c>
      <c r="G61" s="53"/>
      <c r="H61" s="53">
        <v>0</v>
      </c>
      <c r="I61" s="2"/>
      <c r="J61" s="1">
        <f>(F61+H61)/2</f>
        <v>0</v>
      </c>
      <c r="K61" s="64"/>
      <c r="L61" s="61" t="s">
        <v>55</v>
      </c>
      <c r="M61" s="65">
        <v>-1</v>
      </c>
      <c r="N61" s="64"/>
      <c r="O61" s="63">
        <f>J61*M61</f>
        <v>0</v>
      </c>
    </row>
    <row r="62" spans="1:15" ht="12.75" customHeight="1" thickBot="1">
      <c r="A62" s="2">
        <f>A61+1</f>
        <v>29</v>
      </c>
      <c r="B62" s="39"/>
      <c r="C62" s="40" t="s">
        <v>281</v>
      </c>
      <c r="D62" s="61"/>
      <c r="E62" s="61"/>
      <c r="F62" s="53">
        <v>0</v>
      </c>
      <c r="G62" s="53"/>
      <c r="H62" s="53">
        <v>0</v>
      </c>
      <c r="I62" s="2"/>
      <c r="J62" s="1">
        <f>(F62+H62)/2</f>
        <v>0</v>
      </c>
      <c r="K62" s="64"/>
      <c r="L62" s="61" t="s">
        <v>55</v>
      </c>
      <c r="M62" s="65">
        <v>1</v>
      </c>
      <c r="N62" s="64"/>
      <c r="O62" s="63">
        <f>J62*M62</f>
        <v>0</v>
      </c>
    </row>
    <row r="63" spans="1:15" ht="12.75" customHeight="1" thickTop="1">
      <c r="A63" s="2">
        <f>A62+1</f>
        <v>30</v>
      </c>
      <c r="B63" s="3" t="s">
        <v>285</v>
      </c>
      <c r="C63" s="68"/>
      <c r="D63" s="69"/>
      <c r="E63" s="69"/>
      <c r="F63" s="9"/>
      <c r="G63" s="9"/>
      <c r="H63" s="9"/>
      <c r="I63" s="2"/>
      <c r="J63" s="1"/>
      <c r="K63" s="64"/>
      <c r="L63" s="61"/>
      <c r="M63" s="65"/>
      <c r="N63" s="64"/>
      <c r="O63" s="5">
        <f>SUM(O61:O62)</f>
        <v>0</v>
      </c>
    </row>
    <row r="64" spans="1:15" ht="12.75" customHeight="1">
      <c r="A64" s="66"/>
      <c r="B64" s="67"/>
      <c r="C64" s="68"/>
      <c r="D64" s="69"/>
      <c r="E64" s="69"/>
      <c r="F64" s="9"/>
      <c r="G64" s="9"/>
      <c r="H64" s="9"/>
      <c r="I64" s="2"/>
      <c r="J64" s="1"/>
      <c r="K64" s="64"/>
      <c r="L64" s="61"/>
      <c r="M64" s="65"/>
      <c r="N64" s="64"/>
      <c r="O64" s="63"/>
    </row>
    <row r="65" spans="1:15">
      <c r="A65" s="2"/>
      <c r="B65" s="3" t="s">
        <v>39</v>
      </c>
      <c r="D65" s="2"/>
      <c r="E65" s="2"/>
      <c r="F65" s="6"/>
      <c r="G65" s="6"/>
      <c r="H65" s="6"/>
      <c r="I65" s="2"/>
      <c r="L65" s="2"/>
    </row>
    <row r="66" spans="1:15">
      <c r="A66" s="2">
        <f>A63+1</f>
        <v>31</v>
      </c>
      <c r="B66" s="3"/>
      <c r="C66" t="s">
        <v>64</v>
      </c>
      <c r="D66" s="2" t="str">
        <f>"Page 3, line "&amp;'PEF - 2 - Page 3 Rev Reqt'!A34</f>
        <v>Page 3, line 17</v>
      </c>
      <c r="E66" s="2"/>
      <c r="F66" s="6"/>
      <c r="G66" s="6"/>
      <c r="H66" s="6"/>
      <c r="I66" s="2"/>
      <c r="L66" s="2"/>
      <c r="O66" s="1">
        <f>'PEF - 2 - Page 3 Rev Reqt'!K34/8</f>
        <v>6178875.2409568178</v>
      </c>
    </row>
    <row r="67" spans="1:15">
      <c r="A67" s="2">
        <f>A66+1</f>
        <v>32</v>
      </c>
      <c r="B67" s="3"/>
      <c r="C67" s="39" t="s">
        <v>65</v>
      </c>
      <c r="D67" s="2" t="str">
        <f>'PEF - 6  p1, FF1 Inputs '!F31</f>
        <v>227.8.b&amp;c</v>
      </c>
      <c r="E67" s="2"/>
      <c r="F67" s="9">
        <f>'PEF - 6  p1, FF1 Inputs '!H31</f>
        <v>3214854</v>
      </c>
      <c r="G67" s="6"/>
      <c r="H67" s="9">
        <f>'PEF - 6  p1, FF1 Inputs '!J31</f>
        <v>3738107</v>
      </c>
      <c r="I67" s="2"/>
      <c r="J67" s="1">
        <f>(F67+H67)/2</f>
        <v>3476480.5</v>
      </c>
      <c r="L67" s="190" t="s">
        <v>242</v>
      </c>
      <c r="M67" s="7">
        <f>'PEF - 2 - Page 4 Support'!I20</f>
        <v>0.93104563809074581</v>
      </c>
      <c r="N67" s="7"/>
      <c r="O67" s="1">
        <f>J67*M67</f>
        <v>3236762.005432535</v>
      </c>
    </row>
    <row r="68" spans="1:15">
      <c r="A68" s="2">
        <f>A67+1</f>
        <v>33</v>
      </c>
      <c r="B68" s="3"/>
      <c r="C68" s="39" t="s">
        <v>66</v>
      </c>
      <c r="D68" s="2" t="str">
        <f>'PEF - 6  p1, FF1 Inputs '!F32</f>
        <v>227.16.b&amp;c</v>
      </c>
      <c r="E68" s="2"/>
      <c r="F68" s="9">
        <f>'PEF - 6  p1, FF1 Inputs '!H32</f>
        <v>8181652</v>
      </c>
      <c r="G68" s="6"/>
      <c r="H68" s="9">
        <f>'PEF - 6  p1, FF1 Inputs '!J32</f>
        <v>8606921</v>
      </c>
      <c r="I68" s="2"/>
      <c r="J68" s="1">
        <f>(F68+H68)/2</f>
        <v>8394286.5</v>
      </c>
      <c r="L68" s="2" t="s">
        <v>195</v>
      </c>
      <c r="M68" s="7">
        <f>'PEF - 2 - Page 4 Support'!I37</f>
        <v>7.4044416484916623E-2</v>
      </c>
      <c r="N68" s="7"/>
      <c r="O68" s="1">
        <f>J68*M68</f>
        <v>621550.04569971305</v>
      </c>
    </row>
    <row r="69" spans="1:15" ht="13.5" thickBot="1">
      <c r="A69" s="2">
        <f>A68+1</f>
        <v>34</v>
      </c>
      <c r="B69" s="3"/>
      <c r="C69" s="39" t="s">
        <v>235</v>
      </c>
      <c r="D69" s="2" t="str">
        <f>'PEF - 6  p1, FF1 Inputs '!F11</f>
        <v>111.57.c&amp;d</v>
      </c>
      <c r="E69" s="2"/>
      <c r="F69" s="53">
        <f>'PEF - 6  p1, FF1 Inputs '!H11</f>
        <v>7883109</v>
      </c>
      <c r="G69" s="6"/>
      <c r="H69" s="53">
        <f>'PEF - 6  p1, FF1 Inputs '!$J$11</f>
        <v>19619801</v>
      </c>
      <c r="I69" s="2"/>
      <c r="J69" s="1">
        <f>(F69+H69)/2</f>
        <v>13751455</v>
      </c>
      <c r="L69" s="2" t="s">
        <v>41</v>
      </c>
      <c r="M69" s="7">
        <f>M23</f>
        <v>0.13735818406169389</v>
      </c>
      <c r="N69" s="7"/>
      <c r="O69" s="1">
        <f>J69*M69</f>
        <v>1888874.8870061007</v>
      </c>
    </row>
    <row r="70" spans="1:15" ht="13.5" thickTop="1">
      <c r="A70" s="2">
        <f>A69+1</f>
        <v>35</v>
      </c>
      <c r="B70" s="3" t="s">
        <v>46</v>
      </c>
      <c r="D70" s="2"/>
      <c r="E70" s="2"/>
      <c r="F70" s="6"/>
      <c r="G70" s="6"/>
      <c r="H70" s="6"/>
      <c r="I70" s="2"/>
      <c r="O70" s="5">
        <f>SUM(O66:O69)</f>
        <v>11926062.179095166</v>
      </c>
    </row>
    <row r="71" spans="1:15">
      <c r="A71" s="2"/>
      <c r="B71" s="3"/>
      <c r="D71" s="2"/>
      <c r="E71" s="2"/>
      <c r="F71" s="6"/>
      <c r="G71" s="6"/>
      <c r="H71" s="6"/>
      <c r="I71" s="2"/>
    </row>
    <row r="72" spans="1:15">
      <c r="A72" s="2">
        <f>A70+1</f>
        <v>36</v>
      </c>
      <c r="B72" s="3" t="str">
        <f>"Rate Base (Sum of Lines "&amp;A43&amp;", "&amp;A50&amp;" thru "&amp;A58&amp;", "&amp;A63&amp;", and "&amp;A70&amp;")"</f>
        <v>Rate Base (Sum of Lines 18, 23 thru 27, 30, and 35)</v>
      </c>
      <c r="D72" s="2"/>
      <c r="E72" s="2"/>
      <c r="F72" s="2"/>
      <c r="G72" s="2"/>
      <c r="H72" s="2"/>
      <c r="I72" s="2"/>
      <c r="O72" s="1">
        <f>O43+O50+O52+O54+O56+O58+O63+O70</f>
        <v>1147666992.3168643</v>
      </c>
    </row>
    <row r="73" spans="1:15">
      <c r="B73" s="3"/>
    </row>
    <row r="74" spans="1:15">
      <c r="B74" s="3" t="s">
        <v>277</v>
      </c>
    </row>
    <row r="75" spans="1:15">
      <c r="B75" s="3"/>
    </row>
    <row r="76" spans="1:15">
      <c r="A76" s="45">
        <f>A72+1</f>
        <v>37</v>
      </c>
      <c r="B76" s="39"/>
      <c r="C76" s="39" t="str">
        <f>'PEF - 6  p1, FF1 Inputs '!E16</f>
        <v>Long Term Debt</v>
      </c>
      <c r="D76" s="45" t="str">
        <f>'PEF - 6  p1, FF1 Inputs '!F16</f>
        <v>112.24.c&amp;d</v>
      </c>
      <c r="E76" s="39"/>
      <c r="F76" s="41">
        <f>'PEF - 6  p1, FF1 Inputs '!H16</f>
        <v>4182644297</v>
      </c>
      <c r="G76" s="41"/>
      <c r="H76" s="41">
        <f>'PEF - 6  p1, FF1 Inputs '!J16</f>
        <v>4481805066</v>
      </c>
      <c r="I76" s="1"/>
      <c r="J76" s="1">
        <f>(F76+H76)/2</f>
        <v>4332224681.5</v>
      </c>
    </row>
    <row r="77" spans="1:15">
      <c r="A77" s="2">
        <f>A76+1</f>
        <v>38</v>
      </c>
      <c r="B77" s="39"/>
      <c r="C77" s="39" t="s">
        <v>73</v>
      </c>
      <c r="D77" s="2" t="str">
        <f>'PEF - 6  p1, FF1 Inputs '!F12</f>
        <v>111.81.c&amp;d</v>
      </c>
      <c r="F77" s="9">
        <f>'PEF - 6  p1, FF1 Inputs '!H12</f>
        <v>19606719</v>
      </c>
      <c r="G77" s="1"/>
      <c r="H77" s="9">
        <f>'PEF - 6  p1, FF1 Inputs '!J12</f>
        <v>18243610</v>
      </c>
      <c r="I77" s="1"/>
      <c r="J77" s="1">
        <f>(F77+H77)/2</f>
        <v>18925164.5</v>
      </c>
    </row>
    <row r="78" spans="1:15">
      <c r="A78" s="2">
        <f>A77+1</f>
        <v>39</v>
      </c>
      <c r="B78" s="39"/>
      <c r="C78" s="39" t="s">
        <v>74</v>
      </c>
      <c r="D78" s="2" t="str">
        <f>'PEF - 6  p1, FF1 Inputs '!F17</f>
        <v>113.61.c&amp;d</v>
      </c>
      <c r="F78" s="9">
        <f>'PEF - 6  p1, FF1 Inputs '!H17</f>
        <v>0</v>
      </c>
      <c r="G78" s="1"/>
      <c r="H78" s="9">
        <f>'PEF - 6  p1, FF1 Inputs '!J17</f>
        <v>0</v>
      </c>
      <c r="I78" s="1"/>
      <c r="J78" s="1">
        <f>(F78+H78)/2</f>
        <v>0</v>
      </c>
    </row>
    <row r="79" spans="1:15" ht="13.5" thickBot="1">
      <c r="A79" s="2">
        <f>A78+1</f>
        <v>40</v>
      </c>
      <c r="B79" s="39"/>
      <c r="C79" s="39" t="s">
        <v>77</v>
      </c>
      <c r="D79" s="45" t="s">
        <v>199</v>
      </c>
      <c r="F79" s="41">
        <v>0</v>
      </c>
      <c r="G79" s="41"/>
      <c r="H79" s="41">
        <v>0</v>
      </c>
      <c r="I79" s="1"/>
      <c r="J79" s="1">
        <f>(F79+H79)/2</f>
        <v>0</v>
      </c>
    </row>
    <row r="80" spans="1:15" ht="13.5" thickTop="1">
      <c r="A80" s="2">
        <f>A79+1</f>
        <v>41</v>
      </c>
      <c r="B80" s="39"/>
      <c r="C80" s="39" t="s">
        <v>78</v>
      </c>
      <c r="F80" s="1"/>
      <c r="G80" s="1"/>
      <c r="H80" s="1"/>
      <c r="I80" s="1"/>
      <c r="J80" s="5">
        <f>J76-J77+J78-J79</f>
        <v>4313299517</v>
      </c>
    </row>
    <row r="81" spans="1:10" ht="6" customHeight="1">
      <c r="A81" s="39"/>
      <c r="B81" s="39"/>
      <c r="C81" s="39"/>
      <c r="F81" s="1"/>
      <c r="G81" s="1"/>
      <c r="H81" s="1"/>
      <c r="I81" s="1"/>
      <c r="J81" s="1"/>
    </row>
    <row r="82" spans="1:10">
      <c r="A82" s="45">
        <f>A80+1</f>
        <v>42</v>
      </c>
      <c r="B82" s="39"/>
      <c r="C82" s="39" t="s">
        <v>79</v>
      </c>
      <c r="D82" s="2" t="str">
        <f>'PEF - 6  p1, FF1 Inputs '!F13</f>
        <v>112.3.c&amp;d</v>
      </c>
      <c r="F82" s="9">
        <f>'PEF - 6  p1, FF1 Inputs '!H13</f>
        <v>33496700</v>
      </c>
      <c r="G82" s="1"/>
      <c r="H82" s="9">
        <f>'PEF - 6  p1, FF1 Inputs '!J13</f>
        <v>33496700</v>
      </c>
      <c r="I82" s="1"/>
      <c r="J82" s="1">
        <f>(F82+H82)/2</f>
        <v>33496700</v>
      </c>
    </row>
    <row r="83" spans="1:10" ht="6" customHeight="1">
      <c r="A83" s="45"/>
      <c r="B83" s="39"/>
      <c r="C83" s="39"/>
      <c r="F83" s="1"/>
      <c r="G83" s="1"/>
      <c r="H83" s="1"/>
      <c r="I83" s="1"/>
      <c r="J83" s="1"/>
    </row>
    <row r="84" spans="1:10">
      <c r="A84" s="45"/>
      <c r="B84" s="39"/>
      <c r="C84" s="39" t="s">
        <v>83</v>
      </c>
      <c r="F84" s="1"/>
      <c r="G84" s="1"/>
      <c r="H84" s="1"/>
      <c r="I84" s="1"/>
      <c r="J84" s="1"/>
    </row>
    <row r="85" spans="1:10">
      <c r="A85" s="45">
        <f>A82+1</f>
        <v>43</v>
      </c>
      <c r="B85" s="39"/>
      <c r="C85" s="39" t="s">
        <v>82</v>
      </c>
      <c r="D85" s="2" t="str">
        <f>'PEF - 6  p1, FF1 Inputs '!F15</f>
        <v>112.16.c&amp;d</v>
      </c>
      <c r="F85" s="9">
        <f>'PEF - 6  p1, FF1 Inputs '!H15</f>
        <v>4524026195</v>
      </c>
      <c r="G85" s="1"/>
      <c r="H85" s="9">
        <f>'PEF - 6  p1, FF1 Inputs '!J15</f>
        <v>4923726363</v>
      </c>
      <c r="I85" s="1"/>
      <c r="J85" s="1">
        <f>(F85+H85)/2</f>
        <v>4723876279</v>
      </c>
    </row>
    <row r="86" spans="1:10">
      <c r="A86" s="45">
        <f>A85+1</f>
        <v>44</v>
      </c>
      <c r="B86" s="39"/>
      <c r="C86" s="39" t="s">
        <v>80</v>
      </c>
      <c r="D86" s="2" t="str">
        <f>D82</f>
        <v>112.3.c&amp;d</v>
      </c>
      <c r="F86" s="9">
        <f>F82</f>
        <v>33496700</v>
      </c>
      <c r="G86" s="1"/>
      <c r="H86" s="9">
        <f>H82</f>
        <v>33496700</v>
      </c>
      <c r="I86" s="1"/>
      <c r="J86" s="1">
        <f>(F86+H86)/2</f>
        <v>33496700</v>
      </c>
    </row>
    <row r="87" spans="1:10" ht="13.5" thickBot="1">
      <c r="A87" s="45">
        <f>A86+1</f>
        <v>45</v>
      </c>
      <c r="B87" s="39"/>
      <c r="C87" s="39" t="s">
        <v>81</v>
      </c>
      <c r="D87" s="2" t="str">
        <f>'PEF - 6  p1, FF1 Inputs '!F14</f>
        <v>112.12.c&amp;d</v>
      </c>
      <c r="F87" s="9">
        <f>'PEF - 6  p1, FF1 Inputs '!H14</f>
        <v>143</v>
      </c>
      <c r="G87" s="1"/>
      <c r="H87" s="9">
        <f>'PEF - 6  p1, FF1 Inputs '!J14</f>
        <v>220</v>
      </c>
      <c r="I87" s="1"/>
      <c r="J87" s="1">
        <f>(F87+H87)/2</f>
        <v>181.5</v>
      </c>
    </row>
    <row r="88" spans="1:10" ht="13.5" thickTop="1">
      <c r="A88" s="45">
        <f>A87+1</f>
        <v>46</v>
      </c>
      <c r="B88" s="39"/>
      <c r="C88" s="39" t="s">
        <v>84</v>
      </c>
      <c r="F88" s="1"/>
      <c r="G88" s="1"/>
      <c r="H88" s="1"/>
      <c r="I88" s="1"/>
      <c r="J88" s="5">
        <f>J85-J86-J87</f>
        <v>4690379397.5</v>
      </c>
    </row>
    <row r="89" spans="1:10">
      <c r="A89" s="39"/>
      <c r="B89" s="39"/>
      <c r="C89" s="39"/>
      <c r="F89" s="1"/>
      <c r="G89" s="1"/>
      <c r="H89" s="1"/>
      <c r="I89" s="1"/>
      <c r="J89" s="1"/>
    </row>
    <row r="90" spans="1:10">
      <c r="A90" s="45">
        <f>A88+1</f>
        <v>47</v>
      </c>
      <c r="B90" s="39"/>
      <c r="C90" s="39" t="str">
        <f>"Total Capitalization (Sum of Lines "&amp;A80&amp;", "&amp;A82&amp;", and "&amp;A88&amp;")"</f>
        <v>Total Capitalization (Sum of Lines 41, 42, and 46)</v>
      </c>
      <c r="F90" s="1"/>
      <c r="G90" s="1"/>
      <c r="H90" s="1"/>
      <c r="I90" s="1"/>
      <c r="J90" s="1">
        <f>J80+J82+J88</f>
        <v>9037175614.5</v>
      </c>
    </row>
    <row r="91" spans="1:10">
      <c r="B91" s="3"/>
      <c r="F91" s="1"/>
      <c r="G91" s="1"/>
      <c r="H91" s="1"/>
      <c r="I91" s="1"/>
      <c r="J91" s="1"/>
    </row>
    <row r="92" spans="1:10">
      <c r="B92" s="3"/>
      <c r="F92" s="1"/>
      <c r="G92" s="1"/>
      <c r="H92" s="1"/>
      <c r="I92" s="1"/>
      <c r="J92" s="1"/>
    </row>
    <row r="93" spans="1:10">
      <c r="B93" s="3"/>
      <c r="F93" s="1"/>
      <c r="G93" s="1"/>
      <c r="H93" s="1"/>
      <c r="I93" s="1"/>
      <c r="J93" s="1"/>
    </row>
    <row r="94" spans="1:10">
      <c r="B94" s="3"/>
      <c r="F94" s="1"/>
      <c r="G94" s="1"/>
      <c r="H94" s="1"/>
      <c r="I94" s="1"/>
      <c r="J94" s="1"/>
    </row>
    <row r="95" spans="1:10">
      <c r="F95" s="1"/>
      <c r="G95" s="1"/>
      <c r="H95" s="1"/>
      <c r="I95" s="1"/>
      <c r="J95" s="1"/>
    </row>
    <row r="96" spans="1:10">
      <c r="F96" s="1"/>
      <c r="G96" s="1"/>
      <c r="H96" s="1"/>
      <c r="I96" s="1"/>
      <c r="J96" s="1"/>
    </row>
    <row r="97" spans="6:10">
      <c r="F97" s="1"/>
      <c r="G97" s="1"/>
      <c r="H97" s="1"/>
      <c r="I97" s="1"/>
      <c r="J97" s="1"/>
    </row>
    <row r="98" spans="6:10">
      <c r="F98" s="1"/>
      <c r="G98" s="1"/>
      <c r="H98" s="1"/>
      <c r="I98" s="1"/>
      <c r="J98" s="1"/>
    </row>
    <row r="99" spans="6:10">
      <c r="F99" s="1"/>
      <c r="G99" s="1"/>
      <c r="H99" s="1"/>
      <c r="I99" s="1"/>
      <c r="J99" s="1"/>
    </row>
    <row r="100" spans="6:10">
      <c r="F100" s="1"/>
      <c r="G100" s="1"/>
      <c r="H100" s="1"/>
      <c r="I100" s="1"/>
      <c r="J100" s="1"/>
    </row>
    <row r="101" spans="6:10">
      <c r="F101" s="1"/>
      <c r="G101" s="1"/>
      <c r="H101" s="1"/>
      <c r="I101" s="1"/>
      <c r="J101" s="1"/>
    </row>
    <row r="102" spans="6:10">
      <c r="F102" s="1"/>
      <c r="G102" s="1"/>
      <c r="H102" s="1"/>
      <c r="I102" s="1"/>
      <c r="J102" s="1"/>
    </row>
    <row r="103" spans="6:10">
      <c r="F103" s="1"/>
      <c r="G103" s="1"/>
      <c r="H103" s="1"/>
      <c r="I103" s="1"/>
      <c r="J103" s="1"/>
    </row>
    <row r="104" spans="6:10">
      <c r="F104" s="1"/>
      <c r="G104" s="1"/>
      <c r="H104" s="1"/>
      <c r="I104" s="1"/>
      <c r="J104" s="1"/>
    </row>
    <row r="105" spans="6:10">
      <c r="F105" s="1"/>
      <c r="G105" s="1"/>
      <c r="H105" s="1"/>
      <c r="I105" s="1"/>
      <c r="J105" s="1"/>
    </row>
  </sheetData>
  <mergeCells count="14">
    <mergeCell ref="L48:M48"/>
    <mergeCell ref="L49:M49"/>
    <mergeCell ref="N1:P1"/>
    <mergeCell ref="L11:M11"/>
    <mergeCell ref="B54:C54"/>
    <mergeCell ref="N2:P2"/>
    <mergeCell ref="N3:P3"/>
    <mergeCell ref="A5:P5"/>
    <mergeCell ref="A6:P6"/>
    <mergeCell ref="A8:P8"/>
    <mergeCell ref="L46:M46"/>
    <mergeCell ref="L47:M47"/>
    <mergeCell ref="B52:C52"/>
    <mergeCell ref="L52:M52"/>
  </mergeCells>
  <phoneticPr fontId="0" type="noConversion"/>
  <printOptions horizontalCentered="1"/>
  <pageMargins left="0.5" right="0.5" top="0.5" bottom="0.5" header="0.5" footer="0.5"/>
  <pageSetup scale="61"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N30"/>
  <sheetViews>
    <sheetView workbookViewId="0">
      <selection activeCell="H27" sqref="H27"/>
    </sheetView>
  </sheetViews>
  <sheetFormatPr defaultRowHeight="12.75"/>
  <cols>
    <col min="2" max="2" width="4.7109375" customWidth="1"/>
    <col min="3" max="3" width="25.85546875" customWidth="1"/>
    <col min="4" max="13" width="11.7109375" customWidth="1"/>
    <col min="14" max="14" width="9" customWidth="1"/>
    <col min="16" max="16" width="14.85546875" customWidth="1"/>
  </cols>
  <sheetData>
    <row r="1" spans="1:14" ht="15">
      <c r="A1" s="191"/>
      <c r="B1" s="191"/>
      <c r="C1" s="191"/>
      <c r="D1" s="191"/>
      <c r="E1" s="191"/>
      <c r="F1" s="191"/>
      <c r="G1" s="191"/>
      <c r="H1" s="191"/>
      <c r="I1" s="191"/>
      <c r="J1" s="191"/>
      <c r="K1" s="191"/>
      <c r="L1" s="191"/>
      <c r="M1" s="35" t="s">
        <v>483</v>
      </c>
      <c r="N1" s="191"/>
    </row>
    <row r="2" spans="1:14" ht="15">
      <c r="A2" s="191"/>
      <c r="B2" s="191"/>
      <c r="C2" s="191"/>
      <c r="D2" s="191"/>
      <c r="E2" s="191"/>
      <c r="F2" s="191"/>
      <c r="G2" s="191"/>
      <c r="H2" s="191"/>
      <c r="I2" s="191"/>
      <c r="J2" s="191"/>
      <c r="K2" s="191"/>
      <c r="L2" s="191"/>
      <c r="M2" s="35" t="s">
        <v>484</v>
      </c>
      <c r="N2" s="191"/>
    </row>
    <row r="3" spans="1:14">
      <c r="A3" s="191"/>
      <c r="B3" s="191"/>
      <c r="C3" s="191"/>
      <c r="D3" s="191"/>
      <c r="E3" s="191"/>
      <c r="F3" s="191"/>
      <c r="G3" s="191"/>
      <c r="H3" s="191"/>
      <c r="I3" s="191"/>
      <c r="J3" s="191"/>
      <c r="K3" s="191"/>
      <c r="L3" s="191"/>
      <c r="M3" s="330" t="str">
        <f>"Year Ending 12/31/"&amp;_YR</f>
        <v>Year Ending 12/31/2010</v>
      </c>
      <c r="N3" s="330"/>
    </row>
    <row r="4" spans="1:14">
      <c r="A4" s="191"/>
      <c r="B4" s="191"/>
      <c r="C4" s="191"/>
      <c r="D4" s="191"/>
      <c r="E4" s="191"/>
      <c r="F4" s="191"/>
      <c r="G4" s="191"/>
      <c r="H4" s="191"/>
      <c r="I4" s="191"/>
      <c r="J4" s="191"/>
      <c r="K4" s="191"/>
      <c r="L4" s="191"/>
      <c r="M4" s="191"/>
      <c r="N4" s="191"/>
    </row>
    <row r="5" spans="1:14">
      <c r="A5" s="191"/>
      <c r="B5" s="315" t="s">
        <v>135</v>
      </c>
      <c r="C5" s="315"/>
      <c r="D5" s="315"/>
      <c r="E5" s="315"/>
      <c r="F5" s="315"/>
      <c r="G5" s="315"/>
      <c r="H5" s="315"/>
      <c r="I5" s="315"/>
      <c r="J5" s="315"/>
      <c r="K5" s="315"/>
      <c r="L5" s="315"/>
      <c r="M5" s="315"/>
      <c r="N5" s="191"/>
    </row>
    <row r="6" spans="1:14">
      <c r="A6" s="191"/>
      <c r="B6" s="319" t="s">
        <v>526</v>
      </c>
      <c r="C6" s="319"/>
      <c r="D6" s="319"/>
      <c r="E6" s="319"/>
      <c r="F6" s="319"/>
      <c r="G6" s="319"/>
      <c r="H6" s="319"/>
      <c r="I6" s="319"/>
      <c r="J6" s="319"/>
      <c r="K6" s="319"/>
      <c r="L6" s="319"/>
      <c r="M6" s="319"/>
      <c r="N6" s="191"/>
    </row>
    <row r="7" spans="1:14">
      <c r="A7" s="191"/>
      <c r="B7" s="191"/>
      <c r="C7" s="191"/>
      <c r="D7" s="191"/>
      <c r="E7" s="191"/>
      <c r="F7" s="191"/>
      <c r="G7" s="191"/>
      <c r="H7" s="191"/>
      <c r="I7" s="191"/>
      <c r="J7" s="191"/>
      <c r="K7" s="191"/>
      <c r="L7" s="191"/>
      <c r="M7" s="191"/>
      <c r="N7" s="191"/>
    </row>
    <row r="8" spans="1:14">
      <c r="A8" s="191"/>
      <c r="B8" s="191"/>
      <c r="C8" s="191"/>
      <c r="D8" s="191"/>
      <c r="E8" s="191"/>
      <c r="F8" s="191"/>
      <c r="G8" s="191"/>
      <c r="H8" s="191"/>
      <c r="I8" s="191"/>
      <c r="J8" s="191"/>
      <c r="K8" s="191"/>
      <c r="L8" s="191"/>
      <c r="M8" s="191"/>
      <c r="N8" s="191"/>
    </row>
    <row r="9" spans="1:14">
      <c r="A9" s="191"/>
      <c r="B9" s="191"/>
      <c r="C9" s="191"/>
      <c r="D9" s="191"/>
      <c r="E9" s="191"/>
      <c r="F9" s="191"/>
      <c r="G9" s="191"/>
      <c r="H9" s="191"/>
      <c r="I9" s="191"/>
      <c r="J9" s="191"/>
      <c r="K9" s="191"/>
      <c r="L9" s="191"/>
      <c r="M9" s="191"/>
      <c r="N9" s="191"/>
    </row>
    <row r="10" spans="1:14">
      <c r="A10" s="190" t="s">
        <v>21</v>
      </c>
      <c r="B10" s="191" t="s">
        <v>496</v>
      </c>
      <c r="C10" s="191"/>
      <c r="D10" s="190" t="s">
        <v>487</v>
      </c>
      <c r="E10" s="190" t="s">
        <v>488</v>
      </c>
      <c r="F10" s="190" t="s">
        <v>489</v>
      </c>
      <c r="G10" s="190" t="s">
        <v>489</v>
      </c>
      <c r="H10" s="190" t="s">
        <v>489</v>
      </c>
      <c r="I10" s="190" t="s">
        <v>489</v>
      </c>
      <c r="J10" s="190" t="s">
        <v>490</v>
      </c>
      <c r="K10" s="190"/>
      <c r="L10" s="190" t="s">
        <v>491</v>
      </c>
      <c r="M10" s="191"/>
      <c r="N10" s="191"/>
    </row>
    <row r="11" spans="1:14">
      <c r="A11" s="191"/>
      <c r="B11" s="191"/>
      <c r="C11" s="191"/>
      <c r="D11" s="191"/>
      <c r="E11" s="191"/>
      <c r="F11" s="191"/>
      <c r="G11" s="191"/>
      <c r="H11" s="191"/>
      <c r="I11" s="191"/>
      <c r="J11" s="191"/>
      <c r="K11" s="191"/>
      <c r="L11" s="191"/>
      <c r="M11" s="191"/>
      <c r="N11" s="191"/>
    </row>
    <row r="12" spans="1:14">
      <c r="A12" s="191"/>
      <c r="B12" s="191" t="s">
        <v>485</v>
      </c>
      <c r="C12" s="191"/>
      <c r="D12" s="191"/>
      <c r="E12" s="191"/>
      <c r="F12" s="191"/>
      <c r="G12" s="191"/>
      <c r="H12" s="191"/>
      <c r="I12" s="191"/>
      <c r="J12" s="191"/>
      <c r="K12" s="191"/>
      <c r="L12" s="191"/>
      <c r="M12" s="191"/>
      <c r="N12" s="191"/>
    </row>
    <row r="13" spans="1:14" ht="6" customHeight="1">
      <c r="A13" s="191"/>
      <c r="B13" s="191"/>
      <c r="C13" s="191"/>
      <c r="D13" s="191"/>
      <c r="E13" s="191"/>
      <c r="F13" s="191"/>
      <c r="G13" s="191"/>
      <c r="H13" s="191"/>
      <c r="I13" s="191"/>
      <c r="J13" s="191"/>
      <c r="K13" s="191"/>
      <c r="L13" s="191"/>
      <c r="M13" s="191"/>
      <c r="N13" s="191"/>
    </row>
    <row r="14" spans="1:14">
      <c r="A14" s="190">
        <v>1</v>
      </c>
      <c r="B14" s="191"/>
      <c r="C14" s="191" t="s">
        <v>265</v>
      </c>
      <c r="D14" s="34">
        <v>0</v>
      </c>
      <c r="E14" s="34">
        <v>0</v>
      </c>
      <c r="F14" s="191"/>
      <c r="G14" s="191"/>
      <c r="H14" s="191"/>
      <c r="I14" s="191"/>
      <c r="J14" s="34">
        <v>0</v>
      </c>
      <c r="K14" s="191"/>
      <c r="L14" s="34">
        <f>SUM(D14:J14)</f>
        <v>0</v>
      </c>
      <c r="M14" s="191"/>
      <c r="N14" s="191"/>
    </row>
    <row r="15" spans="1:14">
      <c r="A15" s="190">
        <v>2</v>
      </c>
      <c r="B15" s="191"/>
      <c r="C15" s="191" t="s">
        <v>492</v>
      </c>
      <c r="D15" s="34">
        <v>0</v>
      </c>
      <c r="E15" s="34">
        <v>0</v>
      </c>
      <c r="F15" s="191"/>
      <c r="G15" s="191"/>
      <c r="H15" s="191"/>
      <c r="I15" s="191"/>
      <c r="J15" s="34">
        <v>0</v>
      </c>
      <c r="K15" s="191"/>
      <c r="L15" s="34">
        <f>SUM(D15:J15)</f>
        <v>0</v>
      </c>
      <c r="M15" s="191"/>
      <c r="N15" s="191"/>
    </row>
    <row r="16" spans="1:14">
      <c r="A16" s="190">
        <v>3</v>
      </c>
      <c r="B16" s="191"/>
      <c r="C16" s="191" t="s">
        <v>493</v>
      </c>
      <c r="D16" s="34">
        <v>0</v>
      </c>
      <c r="E16" s="34">
        <v>0</v>
      </c>
      <c r="F16" s="191"/>
      <c r="G16" s="191"/>
      <c r="H16" s="191"/>
      <c r="I16" s="191"/>
      <c r="J16" s="34">
        <v>0</v>
      </c>
      <c r="K16" s="191"/>
      <c r="L16" s="34">
        <f>SUM(D16:J16)</f>
        <v>0</v>
      </c>
      <c r="M16" s="191"/>
      <c r="N16" s="191"/>
    </row>
    <row r="17" spans="1:14">
      <c r="A17" s="190">
        <v>4</v>
      </c>
      <c r="B17" s="191"/>
      <c r="C17" s="191" t="s">
        <v>494</v>
      </c>
      <c r="D17" s="34">
        <v>0</v>
      </c>
      <c r="E17" s="34">
        <v>0</v>
      </c>
      <c r="F17" s="191"/>
      <c r="G17" s="191"/>
      <c r="H17" s="191"/>
      <c r="I17" s="191"/>
      <c r="J17" s="34">
        <v>0</v>
      </c>
      <c r="K17" s="191"/>
      <c r="L17" s="34">
        <f>SUM(D17:J17)</f>
        <v>0</v>
      </c>
      <c r="M17" s="191"/>
      <c r="N17" s="191"/>
    </row>
    <row r="18" spans="1:14">
      <c r="A18" s="190">
        <v>5</v>
      </c>
      <c r="B18" s="191"/>
      <c r="C18" s="191" t="s">
        <v>266</v>
      </c>
      <c r="D18" s="34">
        <f>SUM(D14:D17)</f>
        <v>0</v>
      </c>
      <c r="E18" s="34">
        <f>SUM(E14:E17)</f>
        <v>0</v>
      </c>
      <c r="F18" s="191"/>
      <c r="G18" s="191"/>
      <c r="H18" s="191"/>
      <c r="I18" s="191"/>
      <c r="J18" s="34">
        <f>SUM(J14:J17)</f>
        <v>0</v>
      </c>
      <c r="K18" s="191"/>
      <c r="L18" s="34">
        <f>SUM(L14:L17)</f>
        <v>0</v>
      </c>
      <c r="M18" s="191"/>
      <c r="N18" s="191"/>
    </row>
    <row r="19" spans="1:14">
      <c r="A19" s="190"/>
      <c r="B19" s="191"/>
      <c r="C19" s="191"/>
      <c r="D19" s="34"/>
      <c r="E19" s="34"/>
      <c r="F19" s="191"/>
      <c r="G19" s="191"/>
      <c r="H19" s="191"/>
      <c r="I19" s="191"/>
      <c r="J19" s="34"/>
      <c r="K19" s="191"/>
      <c r="L19" s="34"/>
      <c r="M19" s="191"/>
      <c r="N19" s="191"/>
    </row>
    <row r="20" spans="1:14">
      <c r="A20" s="190">
        <v>6</v>
      </c>
      <c r="B20" s="191"/>
      <c r="C20" s="191" t="s">
        <v>271</v>
      </c>
      <c r="D20" s="34">
        <f>(D14+D18)/2</f>
        <v>0</v>
      </c>
      <c r="E20" s="34">
        <f>(E14+E18)/2</f>
        <v>0</v>
      </c>
      <c r="F20" s="191"/>
      <c r="G20" s="191"/>
      <c r="H20" s="191"/>
      <c r="I20" s="191"/>
      <c r="J20" s="34">
        <f>(J14+J18)/2</f>
        <v>0</v>
      </c>
      <c r="K20" s="191"/>
      <c r="L20" s="34">
        <f>(L14+L18)/2</f>
        <v>0</v>
      </c>
      <c r="M20" s="191"/>
      <c r="N20" s="191"/>
    </row>
    <row r="21" spans="1:14">
      <c r="A21" s="190"/>
      <c r="B21" s="191"/>
      <c r="C21" s="191"/>
      <c r="D21" s="34"/>
      <c r="E21" s="34"/>
      <c r="F21" s="191"/>
      <c r="G21" s="191"/>
      <c r="H21" s="191"/>
      <c r="I21" s="191"/>
      <c r="J21" s="34"/>
      <c r="K21" s="191"/>
      <c r="L21" s="191"/>
      <c r="M21" s="191"/>
      <c r="N21" s="191"/>
    </row>
    <row r="22" spans="1:14">
      <c r="A22" s="190"/>
      <c r="B22" s="191"/>
      <c r="C22" s="191"/>
      <c r="D22" s="34"/>
      <c r="E22" s="34"/>
      <c r="F22" s="191"/>
      <c r="G22" s="191"/>
      <c r="H22" s="191"/>
      <c r="I22" s="191"/>
      <c r="J22" s="34"/>
      <c r="K22" s="191"/>
      <c r="L22" s="191"/>
      <c r="M22" s="191"/>
      <c r="N22" s="191"/>
    </row>
    <row r="23" spans="1:14">
      <c r="A23" s="190"/>
      <c r="B23" s="191" t="s">
        <v>301</v>
      </c>
      <c r="C23" s="191"/>
      <c r="D23" s="34"/>
      <c r="E23" s="34"/>
      <c r="F23" s="191"/>
      <c r="G23" s="191"/>
      <c r="H23" s="191"/>
      <c r="I23" s="191"/>
      <c r="J23" s="34"/>
      <c r="K23" s="191"/>
      <c r="L23" s="191"/>
      <c r="M23" s="191"/>
      <c r="N23" s="191"/>
    </row>
    <row r="24" spans="1:14" ht="6" customHeight="1">
      <c r="A24" s="190"/>
      <c r="B24" s="191"/>
      <c r="C24" s="191"/>
      <c r="D24" s="34"/>
      <c r="E24" s="34"/>
      <c r="F24" s="191"/>
      <c r="G24" s="191"/>
      <c r="H24" s="191"/>
      <c r="I24" s="191"/>
      <c r="J24" s="34"/>
      <c r="K24" s="191"/>
      <c r="L24" s="191"/>
      <c r="M24" s="191"/>
      <c r="N24" s="191"/>
    </row>
    <row r="25" spans="1:14">
      <c r="A25" s="190">
        <v>7</v>
      </c>
      <c r="B25" s="191"/>
      <c r="C25" s="191" t="s">
        <v>265</v>
      </c>
      <c r="D25" s="34">
        <v>0</v>
      </c>
      <c r="E25" s="34">
        <v>0</v>
      </c>
      <c r="F25" s="191"/>
      <c r="G25" s="191"/>
      <c r="H25" s="191"/>
      <c r="I25" s="191"/>
      <c r="J25" s="34">
        <v>0</v>
      </c>
      <c r="K25" s="191"/>
      <c r="L25" s="34">
        <f>SUM(D25:J25)</f>
        <v>0</v>
      </c>
      <c r="M25" s="191"/>
      <c r="N25" s="191"/>
    </row>
    <row r="26" spans="1:14">
      <c r="A26" s="190">
        <v>8</v>
      </c>
      <c r="B26" s="191"/>
      <c r="C26" s="191" t="s">
        <v>495</v>
      </c>
      <c r="D26" s="34">
        <v>0</v>
      </c>
      <c r="E26" s="34">
        <v>0</v>
      </c>
      <c r="F26" s="191"/>
      <c r="G26" s="191"/>
      <c r="H26" s="191"/>
      <c r="I26" s="191"/>
      <c r="J26" s="34">
        <v>0</v>
      </c>
      <c r="K26" s="191"/>
      <c r="L26" s="34">
        <f>SUM(D26:J26)</f>
        <v>0</v>
      </c>
      <c r="M26" s="191"/>
      <c r="N26" s="191"/>
    </row>
    <row r="27" spans="1:14">
      <c r="A27" s="190">
        <v>9</v>
      </c>
      <c r="B27" s="191"/>
      <c r="C27" s="191" t="s">
        <v>494</v>
      </c>
      <c r="D27" s="34">
        <v>0</v>
      </c>
      <c r="E27" s="34">
        <v>0</v>
      </c>
      <c r="F27" s="191"/>
      <c r="G27" s="191"/>
      <c r="H27" s="191"/>
      <c r="I27" s="191"/>
      <c r="J27" s="34">
        <v>0</v>
      </c>
      <c r="K27" s="191"/>
      <c r="L27" s="34">
        <f>SUM(D27:J27)</f>
        <v>0</v>
      </c>
      <c r="M27" s="191"/>
      <c r="N27" s="191"/>
    </row>
    <row r="28" spans="1:14">
      <c r="A28" s="190">
        <v>10</v>
      </c>
      <c r="B28" s="191"/>
      <c r="C28" s="191" t="s">
        <v>266</v>
      </c>
      <c r="D28" s="34">
        <f>SUM(D25:D27)</f>
        <v>0</v>
      </c>
      <c r="E28" s="34">
        <f>SUM(E25:E27)</f>
        <v>0</v>
      </c>
      <c r="F28" s="191"/>
      <c r="G28" s="191"/>
      <c r="H28" s="191"/>
      <c r="I28" s="191"/>
      <c r="J28" s="34">
        <f>SUM(J25:J27)</f>
        <v>0</v>
      </c>
      <c r="K28" s="191"/>
      <c r="L28" s="34">
        <f>SUM(L25:L27)</f>
        <v>0</v>
      </c>
      <c r="M28" s="191"/>
      <c r="N28" s="191"/>
    </row>
    <row r="29" spans="1:14">
      <c r="A29" s="190"/>
      <c r="B29" s="191"/>
      <c r="C29" s="191"/>
      <c r="D29" s="34"/>
      <c r="E29" s="34"/>
      <c r="F29" s="191"/>
      <c r="G29" s="191"/>
      <c r="H29" s="191"/>
      <c r="I29" s="191"/>
      <c r="J29" s="34"/>
      <c r="K29" s="191"/>
      <c r="L29" s="34"/>
      <c r="M29" s="191"/>
      <c r="N29" s="191"/>
    </row>
    <row r="30" spans="1:14">
      <c r="A30" s="190">
        <v>11</v>
      </c>
      <c r="B30" s="191"/>
      <c r="C30" s="191" t="s">
        <v>486</v>
      </c>
      <c r="D30" s="34">
        <f>(D25+D28)/2</f>
        <v>0</v>
      </c>
      <c r="E30" s="34">
        <f>(E25+E28)/2</f>
        <v>0</v>
      </c>
      <c r="F30" s="191"/>
      <c r="G30" s="191"/>
      <c r="H30" s="191"/>
      <c r="I30" s="191"/>
      <c r="J30" s="34">
        <f>(J25+J28)/2</f>
        <v>0</v>
      </c>
      <c r="K30" s="191"/>
      <c r="L30" s="34">
        <f>(L25+L28)/2</f>
        <v>0</v>
      </c>
      <c r="M30" s="191"/>
      <c r="N30" s="191"/>
    </row>
  </sheetData>
  <mergeCells count="3">
    <mergeCell ref="M3:N3"/>
    <mergeCell ref="B5:M5"/>
    <mergeCell ref="B6:M6"/>
  </mergeCells>
  <printOptions horizontalCentered="1"/>
  <pageMargins left="0.45" right="0.45" top="0.75" bottom="0.75" header="0.3" footer="0.3"/>
  <pageSetup scale="78"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R67"/>
  <sheetViews>
    <sheetView topLeftCell="E1" workbookViewId="0">
      <selection activeCell="P30" sqref="P30"/>
    </sheetView>
  </sheetViews>
  <sheetFormatPr defaultRowHeight="12.75"/>
  <cols>
    <col min="1" max="1" width="5" bestFit="1" customWidth="1"/>
    <col min="2" max="2" width="2.7109375" customWidth="1"/>
    <col min="3" max="3" width="40.42578125" customWidth="1"/>
    <col min="4" max="4" width="11.85546875" bestFit="1" customWidth="1"/>
    <col min="5" max="5" width="2.7109375" customWidth="1"/>
    <col min="6" max="6" width="11.7109375" bestFit="1" customWidth="1"/>
    <col min="7" max="7" width="2.7109375" customWidth="1"/>
    <col min="8" max="8" width="12.5703125" bestFit="1" customWidth="1"/>
    <col min="9" max="9" width="8.140625" bestFit="1" customWidth="1"/>
    <col min="10" max="10" width="3.7109375" customWidth="1"/>
    <col min="11" max="11" width="12.85546875" bestFit="1" customWidth="1"/>
    <col min="12" max="12" width="5.7109375" customWidth="1"/>
    <col min="15" max="15" width="55.5703125" bestFit="1" customWidth="1"/>
    <col min="16" max="16" width="14.28515625" bestFit="1" customWidth="1"/>
  </cols>
  <sheetData>
    <row r="1" spans="1:12" ht="15">
      <c r="A1" s="39"/>
      <c r="B1" s="39"/>
      <c r="C1" s="39"/>
      <c r="D1" s="39"/>
      <c r="E1" s="39"/>
      <c r="F1" s="39"/>
      <c r="G1" s="39"/>
      <c r="H1" s="39"/>
      <c r="I1" s="39"/>
      <c r="J1" s="321" t="s">
        <v>187</v>
      </c>
      <c r="K1" s="321"/>
      <c r="L1" s="321"/>
    </row>
    <row r="2" spans="1:12" ht="15">
      <c r="A2" s="39"/>
      <c r="B2" s="39"/>
      <c r="C2" s="39"/>
      <c r="D2" s="39"/>
      <c r="E2" s="39"/>
      <c r="F2" s="39"/>
      <c r="G2" s="39"/>
      <c r="H2" s="39"/>
      <c r="I2" s="39"/>
      <c r="J2" s="322" t="s">
        <v>230</v>
      </c>
      <c r="K2" s="322"/>
      <c r="L2" s="323"/>
    </row>
    <row r="3" spans="1:12">
      <c r="A3" s="39"/>
      <c r="B3" s="39"/>
      <c r="C3" s="39"/>
      <c r="D3" s="39"/>
      <c r="E3" s="39"/>
      <c r="F3" s="39"/>
      <c r="G3" s="39"/>
      <c r="H3" s="39"/>
      <c r="I3" s="39"/>
      <c r="J3" s="308" t="str">
        <f>FF1_Year</f>
        <v>Year Ending 12/31/2010</v>
      </c>
      <c r="K3" s="309"/>
      <c r="L3" s="309"/>
    </row>
    <row r="4" spans="1:12">
      <c r="A4" s="39"/>
      <c r="B4" s="39"/>
      <c r="C4" s="39"/>
      <c r="D4" s="39"/>
      <c r="E4" s="39"/>
      <c r="F4" s="39"/>
      <c r="G4" s="39"/>
      <c r="H4" s="39"/>
      <c r="I4" s="39"/>
      <c r="J4" s="39"/>
      <c r="K4" s="39"/>
      <c r="L4" s="39"/>
    </row>
    <row r="5" spans="1:12">
      <c r="A5" s="310" t="s">
        <v>135</v>
      </c>
      <c r="B5" s="310"/>
      <c r="C5" s="310"/>
      <c r="D5" s="310"/>
      <c r="E5" s="310"/>
      <c r="F5" s="310"/>
      <c r="G5" s="310"/>
      <c r="H5" s="310"/>
      <c r="I5" s="310"/>
      <c r="J5" s="310"/>
      <c r="K5" s="310"/>
      <c r="L5" s="310"/>
    </row>
    <row r="6" spans="1:12">
      <c r="A6" s="310" t="s">
        <v>137</v>
      </c>
      <c r="B6" s="310"/>
      <c r="C6" s="310"/>
      <c r="D6" s="310"/>
      <c r="E6" s="310"/>
      <c r="F6" s="310"/>
      <c r="G6" s="310"/>
      <c r="H6" s="310"/>
      <c r="I6" s="310"/>
      <c r="J6" s="310"/>
      <c r="K6" s="310"/>
      <c r="L6" s="310"/>
    </row>
    <row r="7" spans="1:12">
      <c r="A7" s="79"/>
      <c r="B7" s="79"/>
      <c r="C7" s="79"/>
      <c r="D7" s="79"/>
      <c r="E7" s="79"/>
      <c r="F7" s="79"/>
      <c r="G7" s="79"/>
      <c r="H7" s="79"/>
      <c r="I7" s="79"/>
      <c r="J7" s="79"/>
      <c r="K7" s="79"/>
      <c r="L7" s="79"/>
    </row>
    <row r="8" spans="1:12">
      <c r="A8" s="310" t="s">
        <v>138</v>
      </c>
      <c r="B8" s="310"/>
      <c r="C8" s="310"/>
      <c r="D8" s="310"/>
      <c r="E8" s="310"/>
      <c r="F8" s="310"/>
      <c r="G8" s="310"/>
      <c r="H8" s="310"/>
      <c r="I8" s="310"/>
      <c r="J8" s="310"/>
      <c r="K8" s="310"/>
      <c r="L8" s="310"/>
    </row>
    <row r="9" spans="1:12">
      <c r="A9" s="39"/>
      <c r="B9" s="39"/>
      <c r="C9" s="39"/>
      <c r="D9" s="39"/>
      <c r="E9" s="39"/>
      <c r="F9" s="39"/>
      <c r="G9" s="39"/>
      <c r="H9" s="39"/>
      <c r="I9" s="39"/>
      <c r="J9" s="39"/>
      <c r="K9" s="39"/>
      <c r="L9" s="39"/>
    </row>
    <row r="10" spans="1:12">
      <c r="A10" s="45"/>
      <c r="B10" s="39"/>
      <c r="C10" s="39"/>
      <c r="D10" s="39"/>
      <c r="E10" s="39"/>
      <c r="F10" s="39"/>
      <c r="G10" s="39"/>
      <c r="H10" s="39"/>
      <c r="I10" s="39"/>
      <c r="J10" s="39"/>
      <c r="K10" s="39"/>
      <c r="L10" s="39"/>
    </row>
    <row r="11" spans="1:12" ht="25.5">
      <c r="A11" s="79" t="s">
        <v>21</v>
      </c>
      <c r="B11" s="80" t="s">
        <v>96</v>
      </c>
      <c r="C11" s="64"/>
      <c r="D11" s="79" t="s">
        <v>4</v>
      </c>
      <c r="E11" s="79"/>
      <c r="F11" s="79" t="s">
        <v>22</v>
      </c>
      <c r="G11" s="79"/>
      <c r="H11" s="310" t="s">
        <v>23</v>
      </c>
      <c r="I11" s="310"/>
      <c r="J11" s="79"/>
      <c r="K11" s="81" t="s">
        <v>24</v>
      </c>
      <c r="L11" s="82"/>
    </row>
    <row r="12" spans="1:12">
      <c r="A12" s="45"/>
      <c r="B12" s="39"/>
      <c r="C12" s="39"/>
      <c r="D12" s="39"/>
      <c r="E12" s="39"/>
      <c r="F12" s="39"/>
      <c r="G12" s="39"/>
      <c r="H12" s="39"/>
      <c r="I12" s="39"/>
      <c r="J12" s="39"/>
      <c r="K12" s="39"/>
      <c r="L12" s="39"/>
    </row>
    <row r="13" spans="1:12">
      <c r="A13" s="45"/>
      <c r="B13" s="46" t="s">
        <v>47</v>
      </c>
      <c r="C13" s="39"/>
      <c r="D13" s="39"/>
      <c r="E13" s="39"/>
      <c r="F13" s="39"/>
      <c r="G13" s="39"/>
      <c r="H13" s="39"/>
      <c r="I13" s="39"/>
      <c r="J13" s="39"/>
      <c r="K13" s="39"/>
      <c r="L13" s="39"/>
    </row>
    <row r="14" spans="1:12">
      <c r="A14" s="83">
        <v>1</v>
      </c>
      <c r="B14" s="46"/>
      <c r="C14" s="39" t="str">
        <f>'PEF - 6  p1, FF1 Inputs '!E50</f>
        <v>TOTAL Transmission Expenses</v>
      </c>
      <c r="D14" s="45" t="str">
        <f>'PEF - 6  p1, FF1 Inputs '!F50</f>
        <v>321.112.b</v>
      </c>
      <c r="E14" s="45"/>
      <c r="F14" s="53">
        <f>'PEF - 6  p1, FF1 Inputs '!J50</f>
        <v>35138825</v>
      </c>
      <c r="G14" s="39"/>
      <c r="H14" s="45"/>
      <c r="I14" s="39"/>
      <c r="J14" s="39"/>
      <c r="K14" s="41"/>
      <c r="L14" s="39"/>
    </row>
    <row r="15" spans="1:12">
      <c r="A15" s="45">
        <f>A14+1</f>
        <v>2</v>
      </c>
      <c r="B15" s="46"/>
      <c r="C15" s="39" t="s">
        <v>239</v>
      </c>
      <c r="D15" s="45" t="s">
        <v>241</v>
      </c>
      <c r="E15" s="45"/>
      <c r="F15" s="53">
        <f>'PEF - 6  p1, FF1 Inputs '!$J$48</f>
        <v>4695618</v>
      </c>
      <c r="G15" s="39"/>
      <c r="H15" s="45"/>
      <c r="I15" s="39"/>
      <c r="J15" s="39"/>
      <c r="K15" s="41"/>
      <c r="L15" s="39"/>
    </row>
    <row r="16" spans="1:12" ht="13.5" thickBot="1">
      <c r="A16" s="45">
        <f>A15+1</f>
        <v>3</v>
      </c>
      <c r="B16" s="46"/>
      <c r="C16" s="39" t="s">
        <v>48</v>
      </c>
      <c r="D16" s="45" t="str">
        <f>'PEF - 6  p1, FF1 Inputs '!F49</f>
        <v>321.96.b</v>
      </c>
      <c r="E16" s="45"/>
      <c r="F16" s="53">
        <f>'PEF - 6  p1, FF1 Inputs '!J49</f>
        <v>0</v>
      </c>
      <c r="G16" s="39"/>
      <c r="H16" s="45"/>
      <c r="I16" s="42"/>
      <c r="J16" s="42"/>
      <c r="K16" s="41"/>
      <c r="L16" s="39"/>
    </row>
    <row r="17" spans="1:18" ht="13.5" thickTop="1">
      <c r="A17" s="45">
        <f>A16+1</f>
        <v>4</v>
      </c>
      <c r="B17" s="46"/>
      <c r="C17" s="39" t="s">
        <v>49</v>
      </c>
      <c r="D17" s="45" t="s">
        <v>173</v>
      </c>
      <c r="E17" s="45"/>
      <c r="F17" s="54">
        <f>F14-F15-F16</f>
        <v>30443207</v>
      </c>
      <c r="G17" s="39"/>
      <c r="H17" s="45" t="s">
        <v>242</v>
      </c>
      <c r="I17" s="42">
        <f>'PEF - 2 - Page 4 Support'!I25</f>
        <v>0.95109998535646456</v>
      </c>
      <c r="J17" s="42"/>
      <c r="K17" s="54">
        <f>F17*I17</f>
        <v>28954533.731903821</v>
      </c>
      <c r="L17" s="39"/>
    </row>
    <row r="18" spans="1:18">
      <c r="A18" s="45"/>
      <c r="B18" s="46"/>
      <c r="C18" s="39"/>
      <c r="D18" s="45"/>
      <c r="E18" s="45"/>
      <c r="F18" s="41"/>
      <c r="G18" s="39"/>
      <c r="H18" s="45"/>
      <c r="I18" s="42"/>
      <c r="J18" s="42"/>
      <c r="K18" s="41"/>
      <c r="L18" s="39"/>
    </row>
    <row r="19" spans="1:18">
      <c r="A19" s="45">
        <f>A17+1</f>
        <v>5</v>
      </c>
      <c r="B19" s="46"/>
      <c r="C19" s="39" t="str">
        <f>'PEF - 6  p1, FF1 Inputs '!E54&amp;" (Note S)"</f>
        <v>Total Admin &amp; General Expenses  (Note S)</v>
      </c>
      <c r="D19" s="45" t="str">
        <f>'PEF - 6  p1, FF1 Inputs '!F54</f>
        <v>323.197.b</v>
      </c>
      <c r="E19" s="45"/>
      <c r="F19" s="41">
        <f>'PEF - 6  p1, FF1 Inputs '!J54+P28</f>
        <v>298168083.12</v>
      </c>
      <c r="G19" s="39"/>
      <c r="H19" s="45"/>
      <c r="I19" s="42"/>
      <c r="J19" s="42"/>
      <c r="K19" s="41" t="str">
        <f>IF(ISNUMBER(I19),F19*I19,"")</f>
        <v/>
      </c>
      <c r="L19" s="39"/>
      <c r="O19" s="283" t="s">
        <v>997</v>
      </c>
      <c r="P19" s="192"/>
      <c r="Q19" s="192"/>
      <c r="R19" s="191"/>
    </row>
    <row r="20" spans="1:18">
      <c r="A20" s="45">
        <f>A19+1</f>
        <v>6</v>
      </c>
      <c r="B20" s="46"/>
      <c r="C20" s="39" t="str">
        <f>" Less "&amp;'PEF - 6  p1, FF1 Inputs '!E51</f>
        <v xml:space="preserve"> Less (924) Property Insurance</v>
      </c>
      <c r="D20" s="45" t="str">
        <f>'PEF - 6  p1, FF1 Inputs '!F51</f>
        <v>323.185.b</v>
      </c>
      <c r="E20" s="45"/>
      <c r="F20" s="41">
        <f>'PEF - 6  p1, FF1 Inputs '!J51</f>
        <v>9064897</v>
      </c>
      <c r="G20" s="39"/>
      <c r="H20" s="45"/>
      <c r="I20" s="42"/>
      <c r="J20" s="42"/>
      <c r="K20" s="41"/>
      <c r="L20" s="39"/>
      <c r="O20" s="237" t="s">
        <v>982</v>
      </c>
      <c r="P20" s="237" t="s">
        <v>983</v>
      </c>
      <c r="Q20" s="192"/>
      <c r="R20" s="191"/>
    </row>
    <row r="21" spans="1:18">
      <c r="A21" s="45">
        <f>A20+1</f>
        <v>7</v>
      </c>
      <c r="B21" s="46"/>
      <c r="C21" s="39" t="str">
        <f>" Less "&amp;'PEF - 6  p1, FF1 Inputs '!E52</f>
        <v xml:space="preserve"> Less (928) Regulatory Commission Expenses</v>
      </c>
      <c r="D21" s="45" t="str">
        <f>'PEF - 6  p1, FF1 Inputs '!F52</f>
        <v>323.189.b</v>
      </c>
      <c r="E21" s="45"/>
      <c r="F21" s="41">
        <f>'PEF - 6  p1, FF1 Inputs '!J52</f>
        <v>350069</v>
      </c>
      <c r="G21" s="39"/>
      <c r="H21" s="45"/>
      <c r="I21" s="42"/>
      <c r="J21" s="42"/>
      <c r="K21" s="41"/>
      <c r="L21" s="39"/>
      <c r="O21" s="283" t="s">
        <v>984</v>
      </c>
      <c r="P21" s="284">
        <v>-564142.59</v>
      </c>
      <c r="Q21" s="192"/>
      <c r="R21" s="191"/>
    </row>
    <row r="22" spans="1:18">
      <c r="A22" s="45">
        <f>A21+1</f>
        <v>8</v>
      </c>
      <c r="B22" s="46"/>
      <c r="C22" s="39" t="str">
        <f>" Less "&amp;'PEF - 6  p1, FF1 Inputs '!E53</f>
        <v xml:space="preserve"> Less (930.1) General Advertising Expenses</v>
      </c>
      <c r="D22" s="45" t="str">
        <f>'PEF - 6  p1, FF1 Inputs '!F53</f>
        <v>323.191.b</v>
      </c>
      <c r="E22" s="45"/>
      <c r="F22" s="41">
        <f>'PEF - 6  p1, FF1 Inputs '!J53</f>
        <v>1356417</v>
      </c>
      <c r="G22" s="39"/>
      <c r="H22" s="45"/>
      <c r="I22" s="42"/>
      <c r="J22" s="42"/>
      <c r="K22" s="41"/>
      <c r="L22" s="39"/>
      <c r="O22" s="283" t="s">
        <v>985</v>
      </c>
      <c r="P22" s="284">
        <v>-89896.85</v>
      </c>
      <c r="Q22" s="192"/>
      <c r="R22" s="191"/>
    </row>
    <row r="23" spans="1:18" ht="13.5" thickBot="1">
      <c r="A23" s="45">
        <f>A22+1</f>
        <v>9</v>
      </c>
      <c r="B23" s="46"/>
      <c r="C23" s="39" t="s">
        <v>237</v>
      </c>
      <c r="D23" s="83" t="s">
        <v>236</v>
      </c>
      <c r="E23" s="45"/>
      <c r="F23" s="41">
        <f>'PEF - 6  p1, FF1 Inputs '!J55</f>
        <v>4870720</v>
      </c>
      <c r="G23" s="39"/>
      <c r="H23" s="45"/>
      <c r="I23" s="42"/>
      <c r="J23" s="42"/>
      <c r="K23" s="41"/>
      <c r="L23" s="39"/>
      <c r="O23" s="283" t="s">
        <v>986</v>
      </c>
      <c r="P23" s="284">
        <v>-1880136.09</v>
      </c>
      <c r="Q23" s="192"/>
      <c r="R23" s="191"/>
    </row>
    <row r="24" spans="1:18" ht="13.5" thickTop="1">
      <c r="A24" s="45">
        <f>A23+1</f>
        <v>10</v>
      </c>
      <c r="B24" s="46"/>
      <c r="C24" s="39" t="s">
        <v>53</v>
      </c>
      <c r="D24" s="45"/>
      <c r="E24" s="45"/>
      <c r="F24" s="54">
        <f>F19-SUM(F20:F23)</f>
        <v>282525980.12</v>
      </c>
      <c r="G24" s="39"/>
      <c r="H24" s="45" t="s">
        <v>195</v>
      </c>
      <c r="I24" s="42">
        <f>'PEF - 2 - Page 4 Support'!I37</f>
        <v>7.4044416484916623E-2</v>
      </c>
      <c r="J24" s="42"/>
      <c r="K24" s="41">
        <f>F24*I24</f>
        <v>20919471.339814555</v>
      </c>
      <c r="L24" s="39"/>
      <c r="O24" s="283" t="s">
        <v>987</v>
      </c>
      <c r="P24" s="284">
        <v>-330722.57</v>
      </c>
      <c r="Q24" s="192"/>
      <c r="R24" s="191"/>
    </row>
    <row r="25" spans="1:18">
      <c r="A25" s="45"/>
      <c r="B25" s="46"/>
      <c r="C25" s="39"/>
      <c r="D25" s="45"/>
      <c r="E25" s="45"/>
      <c r="F25" s="89"/>
      <c r="G25" s="39"/>
      <c r="H25" s="45"/>
      <c r="I25" s="42"/>
      <c r="J25" s="42"/>
      <c r="K25" s="41"/>
      <c r="L25" s="39"/>
      <c r="O25" s="283" t="s">
        <v>988</v>
      </c>
      <c r="P25" s="284">
        <v>-920.78</v>
      </c>
      <c r="Q25" s="192"/>
      <c r="R25" s="191"/>
    </row>
    <row r="26" spans="1:18">
      <c r="A26" s="45">
        <f>A24+1</f>
        <v>11</v>
      </c>
      <c r="B26" s="46"/>
      <c r="C26" s="39" t="str">
        <f>'PEF - 6  p1, FF1 Inputs '!E51</f>
        <v>(924) Property Insurance</v>
      </c>
      <c r="D26" s="45" t="str">
        <f>'PEF - 6  p1, FF1 Inputs '!F51</f>
        <v>323.185.b</v>
      </c>
      <c r="E26" s="45"/>
      <c r="F26" s="41">
        <f>'PEF - 6  p1, FF1 Inputs '!J51</f>
        <v>9064897</v>
      </c>
      <c r="G26" s="39"/>
      <c r="H26" s="45"/>
      <c r="I26" s="42"/>
      <c r="J26" s="42"/>
      <c r="K26" s="41"/>
      <c r="L26" s="39"/>
      <c r="O26" s="283" t="s">
        <v>989</v>
      </c>
      <c r="P26" s="284">
        <v>-742942</v>
      </c>
      <c r="Q26" s="192"/>
      <c r="R26" s="191"/>
    </row>
    <row r="27" spans="1:18" ht="13.5" thickBot="1">
      <c r="A27" s="45">
        <f>A26+1</f>
        <v>12</v>
      </c>
      <c r="B27" s="46"/>
      <c r="C27" s="40" t="s">
        <v>258</v>
      </c>
      <c r="D27" s="45"/>
      <c r="E27" s="45"/>
      <c r="F27" s="49">
        <v>-2669.88</v>
      </c>
      <c r="G27" s="39"/>
      <c r="H27" s="45"/>
      <c r="I27" s="42"/>
      <c r="J27" s="42"/>
      <c r="K27" s="41"/>
      <c r="L27" s="39"/>
      <c r="O27" s="285" t="s">
        <v>990</v>
      </c>
      <c r="P27" s="296">
        <v>0</v>
      </c>
      <c r="Q27" s="192"/>
      <c r="R27" s="191"/>
    </row>
    <row r="28" spans="1:18" ht="13.5" thickTop="1">
      <c r="A28" s="45">
        <f>A27+1</f>
        <v>13</v>
      </c>
      <c r="B28" s="46"/>
      <c r="C28" s="40" t="s">
        <v>385</v>
      </c>
      <c r="D28" s="45"/>
      <c r="E28" s="45"/>
      <c r="F28" s="54">
        <f>F26+F27</f>
        <v>9062227.1199999992</v>
      </c>
      <c r="G28" s="39"/>
      <c r="H28" s="45" t="s">
        <v>41</v>
      </c>
      <c r="I28" s="42">
        <f>'PEF - 2 Page 2 Rate Base'!M23</f>
        <v>0.13735818406169389</v>
      </c>
      <c r="J28" s="42"/>
      <c r="K28" s="41">
        <f>F28*I28</f>
        <v>1244771.060757834</v>
      </c>
      <c r="L28" s="39"/>
      <c r="O28" s="283" t="s">
        <v>991</v>
      </c>
      <c r="P28" s="275">
        <f>SUM(P21:P27)</f>
        <v>-3608760.88</v>
      </c>
      <c r="Q28" s="192"/>
      <c r="R28" s="191"/>
    </row>
    <row r="29" spans="1:18">
      <c r="A29" s="45"/>
      <c r="B29" s="46"/>
      <c r="C29" s="39"/>
      <c r="D29" s="45"/>
      <c r="E29" s="45"/>
      <c r="F29" s="41"/>
      <c r="G29" s="39"/>
      <c r="H29" s="45"/>
      <c r="I29" s="42"/>
      <c r="J29" s="42"/>
      <c r="K29" s="41"/>
      <c r="L29" s="39"/>
    </row>
    <row r="30" spans="1:18">
      <c r="A30" s="45">
        <f>A28+1</f>
        <v>14</v>
      </c>
      <c r="B30" s="46"/>
      <c r="C30" s="39" t="s">
        <v>54</v>
      </c>
      <c r="D30" s="45" t="s">
        <v>314</v>
      </c>
      <c r="E30" s="45"/>
      <c r="F30" s="41"/>
      <c r="G30" s="39"/>
      <c r="H30" s="45" t="s">
        <v>55</v>
      </c>
      <c r="I30" s="42">
        <v>1</v>
      </c>
      <c r="J30" s="42"/>
      <c r="K30" s="41">
        <f>F30*I30</f>
        <v>0</v>
      </c>
      <c r="L30" s="39"/>
    </row>
    <row r="31" spans="1:18">
      <c r="A31" s="45">
        <f>A30+1</f>
        <v>15</v>
      </c>
      <c r="B31" s="46"/>
      <c r="C31" s="39" t="s">
        <v>56</v>
      </c>
      <c r="D31" s="45" t="s">
        <v>314</v>
      </c>
      <c r="E31" s="45"/>
      <c r="F31" s="41"/>
      <c r="G31" s="39"/>
      <c r="H31" s="45" t="s">
        <v>55</v>
      </c>
      <c r="I31" s="42">
        <v>1</v>
      </c>
      <c r="J31" s="42"/>
      <c r="K31" s="41">
        <f>F31*I31</f>
        <v>0</v>
      </c>
      <c r="L31" s="39"/>
    </row>
    <row r="32" spans="1:18">
      <c r="A32" s="45">
        <f>A31+1</f>
        <v>16</v>
      </c>
      <c r="B32" s="46"/>
      <c r="C32" s="39" t="s">
        <v>224</v>
      </c>
      <c r="D32" s="45" t="s">
        <v>223</v>
      </c>
      <c r="E32" s="45"/>
      <c r="F32" s="41">
        <f>'PEF - 2 - Page 6, PBOPs'!G50</f>
        <v>-22794078</v>
      </c>
      <c r="G32" s="39"/>
      <c r="H32" s="45" t="s">
        <v>195</v>
      </c>
      <c r="I32" s="42">
        <f>'PEF - 2 - Page 4 Support'!I37</f>
        <v>7.4044416484916623E-2</v>
      </c>
      <c r="J32" s="42"/>
      <c r="K32" s="41">
        <f>F32*I32</f>
        <v>-1687774.2048216753</v>
      </c>
      <c r="L32" s="39"/>
    </row>
    <row r="33" spans="1:12" ht="13.5" thickBot="1">
      <c r="A33" s="45"/>
      <c r="B33" s="46"/>
      <c r="C33" s="39"/>
      <c r="D33" s="45"/>
      <c r="E33" s="45"/>
      <c r="F33" s="41"/>
      <c r="G33" s="39"/>
      <c r="H33" s="45"/>
      <c r="I33" s="42"/>
      <c r="J33" s="42"/>
      <c r="K33" s="41"/>
      <c r="L33" s="39"/>
    </row>
    <row r="34" spans="1:12" ht="13.5" thickTop="1">
      <c r="A34" s="45">
        <f>A32+1</f>
        <v>17</v>
      </c>
      <c r="B34" s="46" t="str">
        <f>"Total O&amp;M (Sum of Lines "&amp;A17&amp;", "&amp;A24&amp;", and "&amp;A28&amp;" thru "&amp;A32&amp;")"</f>
        <v>Total O&amp;M (Sum of Lines 4, 10, and 13 thru 16)</v>
      </c>
      <c r="C34" s="39"/>
      <c r="D34" s="45"/>
      <c r="E34" s="45"/>
      <c r="F34" s="41"/>
      <c r="G34" s="39"/>
      <c r="H34" s="45"/>
      <c r="I34" s="42"/>
      <c r="J34" s="42"/>
      <c r="K34" s="94">
        <f>K17+K24+SUM(K26:K32)</f>
        <v>49431001.927654542</v>
      </c>
      <c r="L34" s="39"/>
    </row>
    <row r="35" spans="1:12">
      <c r="A35" s="45"/>
      <c r="B35" s="46"/>
      <c r="C35" s="39"/>
      <c r="D35" s="45"/>
      <c r="E35" s="45"/>
      <c r="F35" s="41"/>
      <c r="G35" s="39"/>
      <c r="H35" s="45"/>
      <c r="I35" s="42"/>
      <c r="J35" s="42"/>
      <c r="K35" s="41"/>
      <c r="L35" s="39"/>
    </row>
    <row r="36" spans="1:12">
      <c r="A36" s="45"/>
      <c r="B36" s="46" t="s">
        <v>57</v>
      </c>
      <c r="C36" s="39"/>
      <c r="D36" s="45"/>
      <c r="E36" s="45"/>
      <c r="F36" s="41"/>
      <c r="G36" s="39"/>
      <c r="H36" s="45"/>
      <c r="I36" s="42"/>
      <c r="J36" s="42"/>
      <c r="K36" s="41"/>
      <c r="L36" s="39"/>
    </row>
    <row r="37" spans="1:12">
      <c r="A37" s="45">
        <f>A34+1</f>
        <v>18</v>
      </c>
      <c r="B37" s="46"/>
      <c r="C37" s="47" t="str">
        <f>'PEF - 6  p1, FF1 Inputs '!E57&amp;" (Note V)"</f>
        <v>Transmission Depr. Expense (Note V)</v>
      </c>
      <c r="D37" s="45" t="str">
        <f>'PEF - 6  p1, FF1 Inputs '!F57</f>
        <v>336.7.f</v>
      </c>
      <c r="E37" s="45"/>
      <c r="F37" s="41">
        <f>'PEF - 6  p1, FF1 Inputs '!J57</f>
        <v>38793193</v>
      </c>
      <c r="G37" s="39"/>
      <c r="H37" s="202"/>
      <c r="I37" s="203"/>
      <c r="J37" s="203"/>
      <c r="K37" s="204"/>
      <c r="L37" s="39"/>
    </row>
    <row r="38" spans="1:12">
      <c r="A38" s="66" t="s">
        <v>505</v>
      </c>
      <c r="B38" s="46"/>
      <c r="C38" s="231" t="s">
        <v>507</v>
      </c>
      <c r="D38" s="66" t="s">
        <v>509</v>
      </c>
      <c r="E38" s="57"/>
      <c r="F38" s="228">
        <f>'PEF - 7, Retail Radials'!L26</f>
        <v>0</v>
      </c>
      <c r="G38" s="56"/>
      <c r="H38" s="57"/>
      <c r="I38" s="201"/>
      <c r="J38" s="201"/>
      <c r="K38" s="198"/>
      <c r="L38" s="39"/>
    </row>
    <row r="39" spans="1:12">
      <c r="A39" s="66" t="s">
        <v>506</v>
      </c>
      <c r="B39" s="46"/>
      <c r="C39" s="231" t="s">
        <v>510</v>
      </c>
      <c r="D39" s="66"/>
      <c r="E39" s="57"/>
      <c r="F39" s="49">
        <f>F37-F38</f>
        <v>38793193</v>
      </c>
      <c r="G39" s="56"/>
      <c r="H39" s="66" t="s">
        <v>51</v>
      </c>
      <c r="I39" s="229">
        <f>'PEF - 2 - Page 4 Support'!I20</f>
        <v>0.93104563809074581</v>
      </c>
      <c r="J39" s="229"/>
      <c r="K39" s="49">
        <f>F39*I39</f>
        <v>36118233.130262457</v>
      </c>
      <c r="L39" s="39"/>
    </row>
    <row r="40" spans="1:12">
      <c r="A40" s="45"/>
      <c r="B40" s="46"/>
      <c r="C40" s="47"/>
      <c r="D40" s="45"/>
      <c r="E40" s="45"/>
      <c r="F40" s="41"/>
      <c r="G40" s="39"/>
      <c r="H40" s="45"/>
      <c r="I40" s="42"/>
      <c r="J40" s="42"/>
      <c r="K40" s="41"/>
      <c r="L40" s="39"/>
    </row>
    <row r="41" spans="1:12">
      <c r="A41" s="45">
        <f>A37+1</f>
        <v>19</v>
      </c>
      <c r="B41" s="46"/>
      <c r="C41" s="47" t="str">
        <f>'PEF - 6  p1, FF1 Inputs '!E58</f>
        <v>General Depr. Expense</v>
      </c>
      <c r="D41" s="45" t="str">
        <f>'PEF - 6  p1, FF1 Inputs '!F58</f>
        <v>336.10.f</v>
      </c>
      <c r="E41" s="45"/>
      <c r="F41" s="41">
        <f>'PEF - 6  p1, FF1 Inputs '!J58</f>
        <v>18533598</v>
      </c>
      <c r="G41" s="39"/>
      <c r="H41" s="45" t="s">
        <v>195</v>
      </c>
      <c r="I41" s="42">
        <f>'PEF - 2 - Page 4 Support'!I37</f>
        <v>7.4044416484916623E-2</v>
      </c>
      <c r="J41" s="42"/>
      <c r="K41" s="41">
        <f>F41*I41</f>
        <v>1372309.4492760177</v>
      </c>
      <c r="L41" s="39"/>
    </row>
    <row r="42" spans="1:12" ht="13.5" thickBot="1">
      <c r="A42" s="45">
        <f>A41+1</f>
        <v>20</v>
      </c>
      <c r="B42" s="46"/>
      <c r="C42" s="47" t="str">
        <f>'PEF - 6  p1, FF1 Inputs '!E56&amp;" (Note E)"</f>
        <v>Intangible Amortization (Note E)</v>
      </c>
      <c r="D42" s="45" t="str">
        <f>'PEF - 6  p1, FF1 Inputs '!F56</f>
        <v>336.1.f</v>
      </c>
      <c r="E42" s="45"/>
      <c r="F42" s="41">
        <f>'PEF - 6  p1, FF1 Inputs '!J56</f>
        <v>2844570</v>
      </c>
      <c r="G42" s="39"/>
      <c r="H42" s="45" t="s">
        <v>195</v>
      </c>
      <c r="I42" s="42">
        <f>'PEF - 2 - Page 4 Support'!I37</f>
        <v>7.4044416484916623E-2</v>
      </c>
      <c r="J42" s="42"/>
      <c r="K42" s="41">
        <f>F42*I42</f>
        <v>210624.52580049928</v>
      </c>
      <c r="L42" s="39"/>
    </row>
    <row r="43" spans="1:12" ht="15" customHeight="1" thickTop="1">
      <c r="A43" s="45">
        <f>A42+1</f>
        <v>21</v>
      </c>
      <c r="B43" s="46" t="s">
        <v>60</v>
      </c>
      <c r="C43" s="39"/>
      <c r="D43" s="45"/>
      <c r="E43" s="45"/>
      <c r="F43" s="54">
        <f>SUM(F39:F42)</f>
        <v>60171361</v>
      </c>
      <c r="G43" s="39"/>
      <c r="H43" s="45"/>
      <c r="I43" s="42"/>
      <c r="J43" s="42"/>
      <c r="K43" s="94">
        <f>SUM(K39:K42)</f>
        <v>37701167.105338968</v>
      </c>
      <c r="L43" s="39"/>
    </row>
    <row r="44" spans="1:12">
      <c r="A44" s="45"/>
      <c r="B44" s="46"/>
      <c r="C44" s="39"/>
      <c r="D44" s="45"/>
      <c r="E44" s="45"/>
      <c r="F44" s="39"/>
      <c r="G44" s="39"/>
      <c r="H44" s="45"/>
      <c r="I44" s="39"/>
      <c r="J44" s="39"/>
      <c r="K44" s="39"/>
      <c r="L44" s="39"/>
    </row>
    <row r="45" spans="1:12">
      <c r="A45" s="45"/>
      <c r="B45" s="46" t="s">
        <v>131</v>
      </c>
      <c r="C45" s="39"/>
      <c r="D45" s="45"/>
      <c r="E45" s="45"/>
      <c r="F45" s="39"/>
      <c r="G45" s="39"/>
      <c r="H45" s="45"/>
      <c r="I45" s="39"/>
      <c r="J45" s="39"/>
      <c r="K45" s="39"/>
      <c r="L45" s="39"/>
    </row>
    <row r="46" spans="1:12">
      <c r="A46" s="45">
        <f>A43+1</f>
        <v>22</v>
      </c>
      <c r="B46" s="46"/>
      <c r="C46" s="39" t="s">
        <v>130</v>
      </c>
      <c r="D46" s="83" t="s">
        <v>63</v>
      </c>
      <c r="E46" s="83"/>
      <c r="F46" s="41">
        <f>'PEF - 6  p1, FF1 Inputs '!J37+'PEF - 6  p1, FF1 Inputs '!J38+'PEF - 6  p1, FF1 Inputs '!J40</f>
        <v>21105110</v>
      </c>
      <c r="G46" s="39"/>
      <c r="H46" s="45" t="s">
        <v>195</v>
      </c>
      <c r="I46" s="42">
        <f>'PEF - 2 - Page 4 Support'!I37</f>
        <v>7.4044416484916623E-2</v>
      </c>
      <c r="J46" s="42"/>
      <c r="K46" s="41">
        <f>F46*I46</f>
        <v>1562715.5547999786</v>
      </c>
      <c r="L46" s="39"/>
    </row>
    <row r="47" spans="1:12" ht="13.5" thickBot="1">
      <c r="A47" s="45">
        <f>A46+1</f>
        <v>23</v>
      </c>
      <c r="B47" s="46"/>
      <c r="C47" s="39" t="s">
        <v>61</v>
      </c>
      <c r="D47" s="45" t="s">
        <v>63</v>
      </c>
      <c r="E47" s="45"/>
      <c r="F47" s="41">
        <f>'PEF - 6  p1, FF1 Inputs '!J39+'PEF - 6  p1, FF1 Inputs '!J41+'PEF - 6  p1, FF1 Inputs '!J42</f>
        <v>110747010</v>
      </c>
      <c r="G47" s="39"/>
      <c r="H47" s="45" t="s">
        <v>41</v>
      </c>
      <c r="I47" s="42">
        <f>'PEF - 2 Page 2 Rate Base'!M23</f>
        <v>0.13735818406169389</v>
      </c>
      <c r="J47" s="42"/>
      <c r="K47" s="41">
        <f>F47*I47</f>
        <v>15212008.183862254</v>
      </c>
      <c r="L47" s="39"/>
    </row>
    <row r="48" spans="1:12" ht="13.5" thickTop="1">
      <c r="A48" s="45">
        <f>A47+1</f>
        <v>24</v>
      </c>
      <c r="B48" s="46" t="s">
        <v>62</v>
      </c>
      <c r="C48" s="39"/>
      <c r="D48" s="45"/>
      <c r="E48" s="45"/>
      <c r="F48" s="54">
        <f>SUM(F45:F47)</f>
        <v>131852120</v>
      </c>
      <c r="G48" s="39"/>
      <c r="H48" s="45"/>
      <c r="I48" s="42"/>
      <c r="J48" s="42"/>
      <c r="K48" s="94">
        <f>SUM(K45:K47)</f>
        <v>16774723.738662232</v>
      </c>
      <c r="L48" s="39"/>
    </row>
    <row r="49" spans="1:12">
      <c r="A49" s="45"/>
      <c r="B49" s="46"/>
      <c r="C49" s="39"/>
      <c r="D49" s="45"/>
      <c r="E49" s="45"/>
      <c r="F49" s="89"/>
      <c r="G49" s="39"/>
      <c r="H49" s="45"/>
      <c r="I49" s="42"/>
      <c r="J49" s="42"/>
      <c r="K49" s="89"/>
      <c r="L49" s="39"/>
    </row>
    <row r="50" spans="1:12">
      <c r="A50" s="45"/>
      <c r="B50" s="46" t="s">
        <v>67</v>
      </c>
      <c r="C50" s="39"/>
      <c r="D50" s="45"/>
      <c r="E50" s="45"/>
      <c r="F50" s="41"/>
      <c r="G50" s="39"/>
      <c r="H50" s="45"/>
      <c r="I50" s="42"/>
      <c r="J50" s="42"/>
      <c r="K50" s="41"/>
      <c r="L50" s="39"/>
    </row>
    <row r="51" spans="1:12">
      <c r="A51" s="45">
        <f>A48+1</f>
        <v>25</v>
      </c>
      <c r="B51" s="46"/>
      <c r="C51" s="39" t="str">
        <f>"Rate Base (Page 2, Line "&amp;'PEF - 2 Page 2 Rate Base'!A72&amp;") * Rate of Return (Page 4, Line "&amp;'PEF - 2 - Page 4 Support'!C56&amp;")"</f>
        <v>Rate Base (Page 2, Line 36) * Rate of Return (Page 4, Line 27)</v>
      </c>
      <c r="D51" s="39"/>
      <c r="E51" s="39"/>
      <c r="F51" s="39"/>
      <c r="G51" s="39"/>
      <c r="H51" s="39"/>
      <c r="I51" s="39"/>
      <c r="J51" s="39"/>
      <c r="K51" s="95">
        <f>'PEF - 2 Page 2 Rate Base'!O72*'PEF - 2 - Page 4 Support'!I56</f>
        <v>96946384.184439763</v>
      </c>
      <c r="L51" s="39"/>
    </row>
    <row r="52" spans="1:12">
      <c r="A52" s="39"/>
      <c r="B52" s="46"/>
      <c r="C52" s="39"/>
      <c r="D52" s="39"/>
      <c r="E52" s="39"/>
      <c r="F52" s="39"/>
      <c r="G52" s="39"/>
      <c r="H52" s="39"/>
      <c r="I52" s="39"/>
      <c r="J52" s="39"/>
      <c r="K52" s="39"/>
      <c r="L52" s="39"/>
    </row>
    <row r="53" spans="1:12">
      <c r="A53" s="39"/>
      <c r="B53" s="46" t="s">
        <v>90</v>
      </c>
      <c r="C53" s="39"/>
      <c r="D53" s="39"/>
      <c r="E53" s="39"/>
      <c r="F53" s="39"/>
      <c r="G53" s="39"/>
      <c r="H53" s="39"/>
      <c r="I53" s="39"/>
      <c r="J53" s="39"/>
      <c r="K53" s="39"/>
      <c r="L53" s="39"/>
    </row>
    <row r="54" spans="1:12" ht="6" customHeight="1">
      <c r="A54" s="39"/>
      <c r="B54" s="46"/>
      <c r="C54" s="39"/>
      <c r="D54" s="39"/>
      <c r="E54" s="39"/>
      <c r="F54" s="39"/>
      <c r="G54" s="39"/>
      <c r="H54" s="39"/>
      <c r="I54" s="39"/>
      <c r="J54" s="39"/>
      <c r="K54" s="39"/>
      <c r="L54" s="39"/>
    </row>
    <row r="55" spans="1:12">
      <c r="A55" s="45">
        <f>A51+1</f>
        <v>26</v>
      </c>
      <c r="B55" s="46"/>
      <c r="C55" s="39" t="s">
        <v>91</v>
      </c>
      <c r="D55" s="45" t="s">
        <v>394</v>
      </c>
      <c r="E55" s="39"/>
      <c r="F55" s="58">
        <v>5.5E-2</v>
      </c>
      <c r="G55" s="39"/>
      <c r="H55" s="39"/>
      <c r="I55" s="39"/>
      <c r="J55" s="39"/>
      <c r="K55" s="39"/>
      <c r="L55" s="39"/>
    </row>
    <row r="56" spans="1:12">
      <c r="A56" s="45">
        <f>A55+1</f>
        <v>27</v>
      </c>
      <c r="B56" s="46"/>
      <c r="C56" s="39" t="s">
        <v>92</v>
      </c>
      <c r="D56" s="45" t="s">
        <v>394</v>
      </c>
      <c r="E56" s="39"/>
      <c r="F56" s="182">
        <v>0.35</v>
      </c>
      <c r="G56" s="39"/>
      <c r="H56" s="39"/>
      <c r="I56" s="39"/>
      <c r="J56" s="39"/>
      <c r="K56" s="39"/>
      <c r="L56" s="39"/>
    </row>
    <row r="57" spans="1:12">
      <c r="A57" s="45">
        <f>A56+1</f>
        <v>28</v>
      </c>
      <c r="B57" s="46"/>
      <c r="C57" s="39" t="s">
        <v>93</v>
      </c>
      <c r="D57" s="39"/>
      <c r="E57" s="39"/>
      <c r="F57" s="58">
        <f>F55+(1-F55)*F56</f>
        <v>0.38574999999999998</v>
      </c>
      <c r="G57" s="39"/>
      <c r="H57" s="39"/>
      <c r="I57" s="39"/>
      <c r="J57" s="39"/>
      <c r="K57" s="39"/>
      <c r="L57" s="39"/>
    </row>
    <row r="58" spans="1:12" ht="6" customHeight="1">
      <c r="A58" s="45"/>
      <c r="B58" s="39"/>
      <c r="C58" s="39"/>
      <c r="D58" s="39"/>
      <c r="E58" s="39"/>
      <c r="F58" s="39"/>
      <c r="G58" s="39"/>
      <c r="H58" s="39"/>
      <c r="I58" s="39"/>
      <c r="J58" s="39"/>
      <c r="K58" s="39"/>
      <c r="L58" s="39"/>
    </row>
    <row r="59" spans="1:12" ht="15.75">
      <c r="A59" s="45">
        <f>A57+1</f>
        <v>29</v>
      </c>
      <c r="B59" s="39"/>
      <c r="C59" s="39" t="s">
        <v>290</v>
      </c>
      <c r="D59" s="39"/>
      <c r="E59" s="39"/>
      <c r="F59" s="58">
        <f>IF('PEF - 2 - Page 4 Support'!I56&lt;&gt;0,F57/(1-F57)*(1-'PEF - 2 - Page 4 Support'!I53/'PEF - 2 - Page 4 Support'!I56),0)</f>
        <v>0.41796344331981966</v>
      </c>
      <c r="G59" s="39"/>
      <c r="H59" s="39"/>
      <c r="I59" s="39"/>
      <c r="J59" s="39"/>
      <c r="K59" s="39"/>
      <c r="L59" s="39"/>
    </row>
    <row r="60" spans="1:12">
      <c r="A60" s="45">
        <f>A59+1</f>
        <v>30</v>
      </c>
      <c r="B60" s="39"/>
      <c r="C60" s="39" t="s">
        <v>94</v>
      </c>
      <c r="D60" s="39"/>
      <c r="E60" s="39"/>
      <c r="F60" s="96">
        <f>IF(F57&lt;&gt;0,1/(1-F57),0)</f>
        <v>1.6280016280016281</v>
      </c>
      <c r="G60" s="39"/>
      <c r="H60" s="39"/>
      <c r="I60" s="39"/>
      <c r="J60" s="39"/>
      <c r="K60" s="39"/>
      <c r="L60" s="39"/>
    </row>
    <row r="61" spans="1:12">
      <c r="A61" s="45">
        <f>A60+1</f>
        <v>31</v>
      </c>
      <c r="B61" s="39"/>
      <c r="C61" s="39" t="str">
        <f>'PEF - 6  p1, FF1 Inputs '!E43</f>
        <v>Amortized ITC (Negative)</v>
      </c>
      <c r="D61" s="45" t="str">
        <f>'PEF - 6  p1, FF1 Inputs '!F43</f>
        <v>266.8.f</v>
      </c>
      <c r="E61" s="45"/>
      <c r="F61" s="41">
        <f>'PEF - 6  p1, FF1 Inputs '!J43</f>
        <v>-1545996</v>
      </c>
      <c r="G61" s="39"/>
      <c r="H61" s="39"/>
      <c r="I61" s="39"/>
      <c r="J61" s="39"/>
      <c r="K61" s="39"/>
      <c r="L61" s="39"/>
    </row>
    <row r="62" spans="1:12" ht="6" customHeight="1">
      <c r="A62" s="45"/>
      <c r="B62" s="39"/>
      <c r="C62" s="39"/>
      <c r="D62" s="39"/>
      <c r="E62" s="39"/>
      <c r="F62" s="39"/>
      <c r="G62" s="39"/>
      <c r="H62" s="45"/>
      <c r="I62" s="42"/>
      <c r="J62" s="42"/>
      <c r="K62" s="41"/>
      <c r="L62" s="39"/>
    </row>
    <row r="63" spans="1:12">
      <c r="A63" s="45">
        <f>A61+1</f>
        <v>32</v>
      </c>
      <c r="B63" s="39"/>
      <c r="C63" s="39" t="str">
        <f>"Income Taxes Calculated (Line "&amp;A51&amp;" * Line "&amp;A59&amp;")"</f>
        <v>Income Taxes Calculated (Line 25 * Line 29)</v>
      </c>
      <c r="D63" s="39"/>
      <c r="E63" s="39"/>
      <c r="F63" s="39"/>
      <c r="G63" s="39"/>
      <c r="H63" s="45"/>
      <c r="I63" s="42"/>
      <c r="J63" s="42"/>
      <c r="K63" s="41">
        <f>F59*K51</f>
        <v>40520044.551134549</v>
      </c>
      <c r="L63" s="39"/>
    </row>
    <row r="64" spans="1:12" ht="13.5" thickBot="1">
      <c r="A64" s="45">
        <f>A63+1</f>
        <v>33</v>
      </c>
      <c r="B64" s="39"/>
      <c r="C64" s="39" t="str">
        <f>"ITC Adjustment (Line "&amp;A60&amp;" * Line "&amp;A61&amp;")"</f>
        <v>ITC Adjustment (Line 30 * Line 31)</v>
      </c>
      <c r="D64" s="39"/>
      <c r="E64" s="39"/>
      <c r="F64" s="41">
        <f>F61*F60</f>
        <v>-2516884.0048840051</v>
      </c>
      <c r="G64" s="39"/>
      <c r="H64" s="45" t="s">
        <v>37</v>
      </c>
      <c r="I64" s="42">
        <f>'PEF - 2 Page 2 Rate Base'!M43</f>
        <v>0.16084552246971878</v>
      </c>
      <c r="J64" s="42"/>
      <c r="K64" s="41">
        <f>F64*I64</f>
        <v>-404829.52276124601</v>
      </c>
      <c r="L64" s="39"/>
    </row>
    <row r="65" spans="1:12" ht="13.5" thickTop="1">
      <c r="A65" s="45">
        <f>A64+1</f>
        <v>34</v>
      </c>
      <c r="B65" s="46" t="s">
        <v>95</v>
      </c>
      <c r="C65" s="39"/>
      <c r="D65" s="39"/>
      <c r="E65" s="39"/>
      <c r="F65" s="39"/>
      <c r="G65" s="39"/>
      <c r="H65" s="39"/>
      <c r="I65" s="39"/>
      <c r="J65" s="39"/>
      <c r="K65" s="94">
        <f>K63+K64</f>
        <v>40115215.028373301</v>
      </c>
      <c r="L65" s="39"/>
    </row>
    <row r="66" spans="1:12">
      <c r="A66" s="45"/>
      <c r="B66" s="39"/>
      <c r="C66" s="39"/>
      <c r="D66" s="39"/>
      <c r="E66" s="39"/>
      <c r="F66" s="39"/>
      <c r="G66" s="39"/>
      <c r="H66" s="39"/>
      <c r="I66" s="39"/>
      <c r="J66" s="39"/>
      <c r="K66" s="39"/>
      <c r="L66" s="39"/>
    </row>
    <row r="67" spans="1:12">
      <c r="A67" s="45">
        <f>A65+1</f>
        <v>35</v>
      </c>
      <c r="B67" s="46" t="str">
        <f>"TOTAL REVENUE REQUIREMENT (Sum of Lines "&amp;A34&amp;", "&amp;A43&amp;", "&amp;A48&amp;", "&amp;A51&amp;", and "&amp;A65&amp;")"</f>
        <v>TOTAL REVENUE REQUIREMENT (Sum of Lines 17, 21, 24, 25, and 34)</v>
      </c>
      <c r="C67" s="39"/>
      <c r="D67" s="39"/>
      <c r="E67" s="39"/>
      <c r="F67" s="39"/>
      <c r="G67" s="39"/>
      <c r="H67" s="39"/>
      <c r="I67" s="39"/>
      <c r="J67" s="39"/>
      <c r="K67" s="95">
        <f>K34+K43+K48+K51+K65</f>
        <v>240968491.98446882</v>
      </c>
      <c r="L67" s="39"/>
    </row>
  </sheetData>
  <mergeCells count="7">
    <mergeCell ref="J1:L1"/>
    <mergeCell ref="H11:I11"/>
    <mergeCell ref="J2:L2"/>
    <mergeCell ref="J3:L3"/>
    <mergeCell ref="A5:L5"/>
    <mergeCell ref="A6:L6"/>
    <mergeCell ref="A8:L8"/>
  </mergeCells>
  <phoneticPr fontId="0" type="noConversion"/>
  <printOptions horizontalCentered="1"/>
  <pageMargins left="0.5" right="0.5" top="0.5" bottom="0.5" header="0.5" footer="0.5"/>
  <pageSetup scale="7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67"/>
  <sheetViews>
    <sheetView topLeftCell="A4" workbookViewId="0">
      <selection activeCell="M18" sqref="M18"/>
    </sheetView>
  </sheetViews>
  <sheetFormatPr defaultRowHeight="12.75"/>
  <cols>
    <col min="1" max="2" width="2.7109375" customWidth="1"/>
    <col min="3" max="3" width="5" bestFit="1" customWidth="1"/>
    <col min="4" max="4" width="3.7109375" customWidth="1"/>
    <col min="5" max="5" width="36.85546875" customWidth="1"/>
    <col min="6" max="6" width="7.28515625" bestFit="1" customWidth="1"/>
    <col min="7" max="7" width="14.5703125" bestFit="1" customWidth="1"/>
    <col min="8" max="8" width="2.7109375" customWidth="1"/>
    <col min="9" max="9" width="13.42578125" customWidth="1"/>
    <col min="11" max="11" width="11.5703125" customWidth="1"/>
    <col min="13" max="13" width="9.28515625" bestFit="1" customWidth="1"/>
    <col min="14" max="14" width="11.28515625" bestFit="1" customWidth="1"/>
  </cols>
  <sheetData>
    <row r="1" spans="1:18" ht="15">
      <c r="J1" s="305" t="s">
        <v>187</v>
      </c>
      <c r="K1" s="305"/>
    </row>
    <row r="2" spans="1:18" ht="15">
      <c r="J2" s="306" t="s">
        <v>233</v>
      </c>
      <c r="K2" s="307"/>
    </row>
    <row r="3" spans="1:18">
      <c r="J3" s="308" t="str">
        <f>FF1_Year</f>
        <v>Year Ending 12/31/2010</v>
      </c>
      <c r="K3" s="309"/>
    </row>
    <row r="5" spans="1:18">
      <c r="A5" s="315" t="s">
        <v>135</v>
      </c>
      <c r="B5" s="315"/>
      <c r="C5" s="315"/>
      <c r="D5" s="315"/>
      <c r="E5" s="315"/>
      <c r="F5" s="315"/>
      <c r="G5" s="315"/>
      <c r="H5" s="315"/>
      <c r="I5" s="315"/>
      <c r="J5" s="315"/>
      <c r="K5" s="315"/>
      <c r="P5" s="3" t="s">
        <v>995</v>
      </c>
      <c r="Q5" s="3"/>
      <c r="R5" s="3"/>
    </row>
    <row r="6" spans="1:18">
      <c r="A6" s="315" t="s">
        <v>137</v>
      </c>
      <c r="B6" s="315"/>
      <c r="C6" s="315"/>
      <c r="D6" s="315"/>
      <c r="E6" s="315"/>
      <c r="F6" s="315"/>
      <c r="G6" s="315"/>
      <c r="H6" s="315"/>
      <c r="I6" s="315"/>
      <c r="J6" s="315"/>
      <c r="K6" s="315"/>
      <c r="P6" s="191"/>
      <c r="Q6" s="191"/>
      <c r="R6" s="191"/>
    </row>
    <row r="7" spans="1:18">
      <c r="A7" s="11"/>
      <c r="B7" s="11"/>
      <c r="C7" s="11"/>
      <c r="D7" s="11"/>
      <c r="E7" s="11"/>
      <c r="F7" s="11"/>
      <c r="G7" s="11"/>
      <c r="H7" s="11"/>
      <c r="I7" s="11"/>
      <c r="J7" s="11"/>
      <c r="K7" s="11"/>
      <c r="P7" s="191"/>
      <c r="Q7" s="191" t="s">
        <v>250</v>
      </c>
      <c r="R7" s="230">
        <v>0</v>
      </c>
    </row>
    <row r="8" spans="1:18">
      <c r="A8" s="315" t="s">
        <v>139</v>
      </c>
      <c r="B8" s="315"/>
      <c r="C8" s="315"/>
      <c r="D8" s="315"/>
      <c r="E8" s="315"/>
      <c r="F8" s="315"/>
      <c r="G8" s="315"/>
      <c r="H8" s="315"/>
      <c r="I8" s="315"/>
      <c r="J8" s="315"/>
      <c r="K8" s="315"/>
      <c r="P8" s="191"/>
      <c r="Q8" s="191" t="s">
        <v>41</v>
      </c>
      <c r="R8" s="230">
        <f>'PEF - 2 Page 2 Rate Base'!M23</f>
        <v>0.13735818406169389</v>
      </c>
    </row>
    <row r="9" spans="1:18">
      <c r="P9" s="191"/>
      <c r="Q9" s="191" t="s">
        <v>248</v>
      </c>
      <c r="R9" s="230">
        <f>LABOR_ALLOC</f>
        <v>7.4044416484916623E-2</v>
      </c>
    </row>
    <row r="10" spans="1:18">
      <c r="P10" s="191"/>
      <c r="Q10" s="192" t="s">
        <v>37</v>
      </c>
      <c r="R10" s="230">
        <f>'PEF - 2 Page 2 Rate Base'!M43</f>
        <v>0.16084552246971878</v>
      </c>
    </row>
    <row r="11" spans="1:18">
      <c r="C11" s="11" t="s">
        <v>21</v>
      </c>
      <c r="D11" s="12"/>
      <c r="E11" s="13"/>
      <c r="F11" s="13"/>
      <c r="G11" s="11" t="s">
        <v>4</v>
      </c>
      <c r="H11" s="11"/>
      <c r="I11" s="11" t="s">
        <v>22</v>
      </c>
      <c r="J11" s="11"/>
      <c r="K11" s="81"/>
      <c r="P11" s="191"/>
      <c r="Q11" s="191" t="s">
        <v>924</v>
      </c>
      <c r="R11" s="230">
        <v>1</v>
      </c>
    </row>
    <row r="12" spans="1:18">
      <c r="K12" s="39"/>
      <c r="P12" s="191"/>
      <c r="Q12" s="191" t="s">
        <v>251</v>
      </c>
      <c r="R12" s="230">
        <v>0</v>
      </c>
    </row>
    <row r="13" spans="1:18">
      <c r="D13" s="3" t="s">
        <v>293</v>
      </c>
      <c r="G13" s="2"/>
      <c r="H13" s="2"/>
      <c r="K13" s="39"/>
      <c r="P13" s="191"/>
      <c r="Q13" s="191" t="s">
        <v>249</v>
      </c>
      <c r="R13" s="230">
        <v>0</v>
      </c>
    </row>
    <row r="14" spans="1:18">
      <c r="C14" s="2">
        <v>1</v>
      </c>
      <c r="E14" s="191" t="s">
        <v>558</v>
      </c>
      <c r="G14" s="190" t="s">
        <v>559</v>
      </c>
      <c r="H14" s="2"/>
      <c r="I14" s="1">
        <f>'PEF - 2 Page 2 Rate Base'!J18</f>
        <v>1810843455.4775</v>
      </c>
      <c r="K14" s="39"/>
      <c r="P14" s="191"/>
      <c r="Q14" s="191" t="s">
        <v>247</v>
      </c>
      <c r="R14" s="230">
        <v>0</v>
      </c>
    </row>
    <row r="15" spans="1:18">
      <c r="C15" s="2">
        <v>2</v>
      </c>
      <c r="E15" t="s">
        <v>68</v>
      </c>
      <c r="G15" s="2" t="s">
        <v>390</v>
      </c>
      <c r="H15" s="2"/>
      <c r="I15" s="1">
        <f>'PEF - 4, p2 Step Ups '!G81</f>
        <v>80983358.49000001</v>
      </c>
      <c r="K15" s="39"/>
      <c r="M15" s="192" t="s">
        <v>992</v>
      </c>
      <c r="N15" s="192"/>
      <c r="P15" s="191"/>
      <c r="Q15" s="191" t="s">
        <v>996</v>
      </c>
      <c r="R15" s="230">
        <f>'PEF - 2 - Page 5 Storm, Notes'!I26</f>
        <v>0.8498729351098574</v>
      </c>
    </row>
    <row r="16" spans="1:18">
      <c r="C16" s="45">
        <v>3</v>
      </c>
      <c r="D16" s="39"/>
      <c r="E16" s="39" t="s">
        <v>240</v>
      </c>
      <c r="F16" s="39"/>
      <c r="G16" s="45" t="s">
        <v>390</v>
      </c>
      <c r="H16" s="45"/>
      <c r="I16" s="41">
        <f>'PEF - 4, Order 2003 '!J85</f>
        <v>7566913</v>
      </c>
      <c r="J16" s="39"/>
      <c r="K16" s="39"/>
      <c r="M16" s="192" t="s">
        <v>993</v>
      </c>
      <c r="N16" s="192"/>
      <c r="P16" s="191"/>
      <c r="Q16" s="191" t="s">
        <v>51</v>
      </c>
      <c r="R16" s="230">
        <f>TP_ALLOC</f>
        <v>0.93104563809074581</v>
      </c>
    </row>
    <row r="17" spans="3:18" ht="13.5" thickBot="1">
      <c r="C17" s="45">
        <v>4</v>
      </c>
      <c r="D17" s="39"/>
      <c r="E17" s="39" t="s">
        <v>294</v>
      </c>
      <c r="F17" s="39"/>
      <c r="G17" s="45" t="s">
        <v>134</v>
      </c>
      <c r="H17" s="45"/>
      <c r="I17" s="41">
        <f>N20</f>
        <v>36315283.5</v>
      </c>
      <c r="J17" s="39"/>
      <c r="K17" s="39"/>
      <c r="M17" s="192">
        <f>_YR</f>
        <v>2010</v>
      </c>
      <c r="N17" s="284">
        <v>36744796</v>
      </c>
      <c r="Q17" s="191" t="s">
        <v>242</v>
      </c>
      <c r="R17">
        <f>TExp_ALLOC</f>
        <v>0.95109998535646456</v>
      </c>
    </row>
    <row r="18" spans="3:18" ht="13.5" thickTop="1">
      <c r="C18" s="45">
        <v>5</v>
      </c>
      <c r="D18" s="39"/>
      <c r="E18" s="39" t="s">
        <v>295</v>
      </c>
      <c r="F18" s="39"/>
      <c r="G18" s="45"/>
      <c r="H18" s="45"/>
      <c r="I18" s="54">
        <f>I14-SUM(I15:I17)</f>
        <v>1685977900.4875</v>
      </c>
      <c r="J18" s="39"/>
      <c r="K18" s="39"/>
      <c r="M18" s="192">
        <f>+M17-1</f>
        <v>2009</v>
      </c>
      <c r="N18" s="284">
        <v>35885771</v>
      </c>
    </row>
    <row r="19" spans="3:18" ht="6" customHeight="1">
      <c r="C19" s="45"/>
      <c r="D19" s="39"/>
      <c r="E19" s="39"/>
      <c r="F19" s="39"/>
      <c r="G19" s="45"/>
      <c r="H19" s="45"/>
      <c r="I19" s="39"/>
      <c r="J19" s="39"/>
      <c r="K19" s="39"/>
      <c r="M19" s="192"/>
      <c r="N19" s="192"/>
    </row>
    <row r="20" spans="3:18">
      <c r="C20" s="45">
        <v>6</v>
      </c>
      <c r="D20" s="46" t="s">
        <v>296</v>
      </c>
      <c r="E20" s="39"/>
      <c r="F20" s="39"/>
      <c r="G20" s="45" t="s">
        <v>173</v>
      </c>
      <c r="H20" s="45"/>
      <c r="I20" s="55">
        <f>IF(I14&lt;&gt;0,I18/I14,0)</f>
        <v>0.93104563809074581</v>
      </c>
      <c r="J20" s="39"/>
      <c r="K20" s="39"/>
      <c r="M20" s="192" t="s">
        <v>994</v>
      </c>
      <c r="N20" s="275">
        <f>(N18+N17)/2</f>
        <v>36315283.5</v>
      </c>
    </row>
    <row r="21" spans="3:18">
      <c r="C21" s="45"/>
      <c r="D21" s="39"/>
      <c r="E21" s="39"/>
      <c r="F21" s="39"/>
      <c r="G21" s="45"/>
      <c r="H21" s="45"/>
      <c r="I21" s="39"/>
      <c r="J21" s="39"/>
      <c r="K21" s="39"/>
    </row>
    <row r="22" spans="3:18">
      <c r="C22" s="45">
        <v>7</v>
      </c>
      <c r="D22" s="39"/>
      <c r="E22" s="192" t="s">
        <v>560</v>
      </c>
      <c r="F22" s="39"/>
      <c r="G22" s="45"/>
      <c r="H22" s="45"/>
      <c r="I22" s="41">
        <f>I18+I17</f>
        <v>1722293183.9875</v>
      </c>
      <c r="J22" s="39"/>
      <c r="K22" s="39"/>
    </row>
    <row r="23" spans="3:18">
      <c r="C23" s="66" t="s">
        <v>511</v>
      </c>
      <c r="D23" s="56"/>
      <c r="E23" s="192" t="s">
        <v>512</v>
      </c>
      <c r="F23" s="56"/>
      <c r="G23" s="57"/>
      <c r="H23" s="57"/>
      <c r="I23" s="49">
        <f>I14+'PEF - 2 Page 2 Rate Base'!J17</f>
        <v>1810843455.4775</v>
      </c>
      <c r="J23" s="39"/>
      <c r="K23" s="39"/>
    </row>
    <row r="24" spans="3:18" ht="6" customHeight="1">
      <c r="C24" s="167"/>
      <c r="D24" s="39"/>
      <c r="E24" s="97"/>
      <c r="F24" s="39"/>
      <c r="G24" s="45"/>
      <c r="H24" s="45"/>
      <c r="I24" s="41"/>
      <c r="J24" s="39"/>
      <c r="K24" s="39"/>
    </row>
    <row r="25" spans="3:18">
      <c r="C25" s="45">
        <v>8</v>
      </c>
      <c r="D25" s="46" t="s">
        <v>561</v>
      </c>
      <c r="E25" s="39"/>
      <c r="F25" s="39"/>
      <c r="G25" s="45"/>
      <c r="H25" s="45"/>
      <c r="I25" s="55">
        <f>IF(I23&lt;&gt;0,I22/I23,0)</f>
        <v>0.95109998535646456</v>
      </c>
      <c r="J25" s="39"/>
      <c r="K25" s="39"/>
    </row>
    <row r="26" spans="3:18">
      <c r="C26" s="45"/>
      <c r="D26" s="39"/>
      <c r="E26" s="39"/>
      <c r="F26" s="39"/>
      <c r="G26" s="45"/>
      <c r="H26" s="45"/>
      <c r="I26" s="39"/>
      <c r="J26" s="39"/>
      <c r="K26" s="39"/>
    </row>
    <row r="27" spans="3:18">
      <c r="C27" s="39"/>
      <c r="D27" s="46" t="s">
        <v>69</v>
      </c>
      <c r="E27" s="39"/>
      <c r="F27" s="39"/>
      <c r="G27" s="45"/>
      <c r="H27" s="45"/>
      <c r="I27" s="39"/>
      <c r="J27" s="39"/>
      <c r="K27" s="39"/>
    </row>
    <row r="28" spans="3:18">
      <c r="C28" s="45">
        <v>9</v>
      </c>
      <c r="D28" s="39"/>
      <c r="E28" s="39" t="str">
        <f>'PEF - 6  p1, FF1 Inputs '!E61</f>
        <v>Total Direct Payroll - O&amp;M Labor</v>
      </c>
      <c r="F28" s="39"/>
      <c r="G28" s="45" t="str">
        <f>'PEF - 6  p1, FF1 Inputs '!F61</f>
        <v>354.28.b</v>
      </c>
      <c r="H28" s="45"/>
      <c r="I28" s="41">
        <f>'PEF - 6  p1, FF1 Inputs '!J61</f>
        <v>287819339</v>
      </c>
      <c r="J28" s="39"/>
      <c r="K28" s="39"/>
    </row>
    <row r="29" spans="3:18">
      <c r="C29" s="45">
        <v>10</v>
      </c>
      <c r="D29" s="39"/>
      <c r="E29" s="39" t="str">
        <f>'PEF - 6  p1, FF1 Inputs '!E60</f>
        <v>A&amp;G Labor</v>
      </c>
      <c r="F29" s="39"/>
      <c r="G29" s="45" t="str">
        <f>'PEF - 6  p1, FF1 Inputs '!F60</f>
        <v>354.27.b</v>
      </c>
      <c r="H29" s="45"/>
      <c r="I29" s="41">
        <f>'PEF - 6  p1, FF1 Inputs '!J60</f>
        <v>62588336</v>
      </c>
      <c r="J29" s="39"/>
      <c r="K29" s="39"/>
    </row>
    <row r="30" spans="3:18" ht="13.5" thickBot="1">
      <c r="C30" s="45">
        <v>11</v>
      </c>
      <c r="D30" s="39"/>
      <c r="E30" s="39" t="s">
        <v>259</v>
      </c>
      <c r="F30" s="39"/>
      <c r="G30" s="45"/>
      <c r="H30" s="45"/>
      <c r="I30" s="49">
        <v>1016605.23</v>
      </c>
      <c r="J30" s="39"/>
      <c r="K30" s="39"/>
    </row>
    <row r="31" spans="3:18" ht="13.5" thickTop="1">
      <c r="C31" s="45">
        <v>12</v>
      </c>
      <c r="D31" s="39"/>
      <c r="E31" s="39" t="s">
        <v>291</v>
      </c>
      <c r="F31" s="39"/>
      <c r="G31" s="45"/>
      <c r="H31" s="45"/>
      <c r="I31" s="54">
        <f>I28-I29+I30</f>
        <v>226247608.22999999</v>
      </c>
      <c r="J31" s="39"/>
      <c r="K31" s="39"/>
    </row>
    <row r="32" spans="3:18" ht="6" customHeight="1">
      <c r="C32" s="45"/>
      <c r="D32" s="39"/>
      <c r="E32" s="39"/>
      <c r="F32" s="39"/>
      <c r="G32" s="45"/>
      <c r="H32" s="45"/>
      <c r="I32" s="41"/>
      <c r="J32" s="39"/>
      <c r="K32" s="39"/>
    </row>
    <row r="33" spans="3:11">
      <c r="C33" s="45">
        <v>13</v>
      </c>
      <c r="D33" s="39"/>
      <c r="E33" s="39" t="str">
        <f>'PEF - 6  p1, FF1 Inputs '!E59</f>
        <v>Transmission O&amp;M Labor</v>
      </c>
      <c r="F33" s="39"/>
      <c r="G33" s="45" t="str">
        <f>'PEF - 6  p1, FF1 Inputs '!F59</f>
        <v>354.21.b</v>
      </c>
      <c r="H33" s="45"/>
      <c r="I33" s="41">
        <f>'PEF - 6  p1, FF1 Inputs '!J59</f>
        <v>17993073</v>
      </c>
      <c r="J33" s="39"/>
      <c r="K33" s="39"/>
    </row>
    <row r="34" spans="3:11" ht="6" customHeight="1">
      <c r="C34" s="45"/>
      <c r="D34" s="39"/>
      <c r="E34" s="39"/>
      <c r="F34" s="39"/>
      <c r="G34" s="45"/>
      <c r="H34" s="45"/>
      <c r="I34" s="41"/>
      <c r="J34" s="39"/>
      <c r="K34" s="39"/>
    </row>
    <row r="35" spans="3:11" ht="12.75" customHeight="1">
      <c r="C35" s="45">
        <v>14</v>
      </c>
      <c r="D35" s="46" t="s">
        <v>292</v>
      </c>
      <c r="E35" s="39"/>
      <c r="F35" s="39"/>
      <c r="G35" s="45"/>
      <c r="H35" s="45"/>
      <c r="I35" s="55">
        <f>IF(I31&lt;&gt;0,I33/I31,0)</f>
        <v>7.9528235196672251E-2</v>
      </c>
      <c r="J35" s="39"/>
      <c r="K35" s="39"/>
    </row>
    <row r="36" spans="3:11" ht="6" customHeight="1">
      <c r="C36" s="45"/>
      <c r="D36" s="39"/>
      <c r="E36" s="39"/>
      <c r="F36" s="39"/>
      <c r="G36" s="45"/>
      <c r="H36" s="45"/>
      <c r="I36" s="41"/>
      <c r="J36" s="39"/>
      <c r="K36" s="39"/>
    </row>
    <row r="37" spans="3:11">
      <c r="C37" s="45">
        <v>15</v>
      </c>
      <c r="D37" s="46" t="s">
        <v>562</v>
      </c>
      <c r="E37" s="39"/>
      <c r="F37" s="39"/>
      <c r="G37" s="45" t="s">
        <v>173</v>
      </c>
      <c r="H37" s="45"/>
      <c r="I37" s="55">
        <f>IF(I23&lt;&gt;0,I18/I23*I35,0)</f>
        <v>7.4044416484916623E-2</v>
      </c>
      <c r="J37" s="39"/>
      <c r="K37" s="39"/>
    </row>
    <row r="38" spans="3:11">
      <c r="C38" s="45"/>
      <c r="D38" s="39"/>
      <c r="E38" s="39"/>
      <c r="F38" s="39"/>
      <c r="G38" s="45"/>
      <c r="H38" s="45"/>
      <c r="I38" s="39"/>
      <c r="J38" s="39"/>
      <c r="K38" s="39"/>
    </row>
    <row r="39" spans="3:11">
      <c r="C39" s="45"/>
      <c r="D39" s="46" t="s">
        <v>272</v>
      </c>
      <c r="E39" s="39"/>
      <c r="F39" s="39"/>
      <c r="G39" s="45"/>
      <c r="H39" s="45"/>
      <c r="I39" s="39"/>
      <c r="J39" s="39"/>
      <c r="K39" s="39"/>
    </row>
    <row r="40" spans="3:11" ht="6" customHeight="1">
      <c r="C40" s="45"/>
      <c r="D40" s="39"/>
      <c r="E40" s="39"/>
      <c r="F40" s="39"/>
      <c r="G40" s="45"/>
      <c r="H40" s="45"/>
      <c r="I40" s="39"/>
      <c r="J40" s="39"/>
      <c r="K40" s="39"/>
    </row>
    <row r="41" spans="3:11">
      <c r="C41" s="45">
        <v>16</v>
      </c>
      <c r="D41" s="39"/>
      <c r="E41" s="39" t="s">
        <v>70</v>
      </c>
      <c r="F41" s="39"/>
      <c r="G41" s="45" t="str">
        <f>'PEF - 6  p1, FF1 Inputs '!F18</f>
        <v>117.62 thru 67.c</v>
      </c>
      <c r="H41" s="45"/>
      <c r="I41" s="41">
        <f>'PEF - 6  p1, FF1 Inputs '!J18</f>
        <v>255320645</v>
      </c>
      <c r="J41" s="39"/>
      <c r="K41" s="39"/>
    </row>
    <row r="42" spans="3:11" ht="13.5" thickBot="1">
      <c r="C42" s="45">
        <v>17</v>
      </c>
      <c r="D42" s="39"/>
      <c r="E42" s="39" t="s">
        <v>75</v>
      </c>
      <c r="F42" s="39"/>
      <c r="G42" s="45" t="s">
        <v>199</v>
      </c>
      <c r="H42" s="45"/>
      <c r="I42" s="41">
        <v>0</v>
      </c>
      <c r="J42" s="39"/>
      <c r="K42" s="39"/>
    </row>
    <row r="43" spans="3:11" ht="13.5" thickTop="1">
      <c r="C43" s="45">
        <v>18</v>
      </c>
      <c r="D43" s="39"/>
      <c r="E43" s="39" t="s">
        <v>76</v>
      </c>
      <c r="F43" s="39"/>
      <c r="G43" s="45"/>
      <c r="H43" s="45"/>
      <c r="I43" s="54">
        <f>I41-I42</f>
        <v>255320645</v>
      </c>
      <c r="J43" s="39"/>
      <c r="K43" s="39"/>
    </row>
    <row r="44" spans="3:11" ht="11.25" customHeight="1">
      <c r="C44" s="45"/>
      <c r="D44" s="39"/>
      <c r="E44" s="39"/>
      <c r="F44" s="39"/>
      <c r="G44" s="45"/>
      <c r="H44" s="45"/>
      <c r="I44" s="41"/>
      <c r="J44" s="39"/>
      <c r="K44" s="39"/>
    </row>
    <row r="45" spans="3:11">
      <c r="C45" s="45">
        <v>19</v>
      </c>
      <c r="D45" s="39"/>
      <c r="E45" s="39" t="s">
        <v>71</v>
      </c>
      <c r="F45" s="39"/>
      <c r="G45" s="45" t="str">
        <f>'PEF - 6  p1, FF1 Inputs '!F19</f>
        <v>118.29.c</v>
      </c>
      <c r="H45" s="45"/>
      <c r="I45" s="41">
        <f>'PEF - 6  p1, FF1 Inputs '!J19</f>
        <v>1511860</v>
      </c>
      <c r="J45" s="39"/>
      <c r="K45" s="39"/>
    </row>
    <row r="46" spans="3:11" ht="12" customHeight="1">
      <c r="C46" s="45"/>
      <c r="D46" s="39"/>
      <c r="E46" s="39"/>
      <c r="F46" s="39"/>
      <c r="G46" s="45"/>
      <c r="H46" s="45"/>
      <c r="I46" s="39"/>
      <c r="J46" s="39"/>
      <c r="K46" s="39"/>
    </row>
    <row r="47" spans="3:11">
      <c r="C47" s="45">
        <v>20</v>
      </c>
      <c r="D47" s="39"/>
      <c r="E47" s="39" t="s">
        <v>72</v>
      </c>
      <c r="F47" s="39"/>
      <c r="G47" s="45" t="str">
        <f>"p.2, line "&amp;'PEF - 2 Page 2 Rate Base'!A80</f>
        <v>p.2, line 41</v>
      </c>
      <c r="H47" s="45"/>
      <c r="I47" s="89">
        <f>'PEF - 2 Page 2 Rate Base'!J80</f>
        <v>4313299517</v>
      </c>
      <c r="J47" s="39"/>
      <c r="K47" s="39"/>
    </row>
    <row r="48" spans="3:11">
      <c r="C48" s="45">
        <v>21</v>
      </c>
      <c r="D48" s="39"/>
      <c r="E48" s="39" t="str">
        <f>'PEF - 2 Page 2 Rate Base'!C82</f>
        <v>Preferred Stock</v>
      </c>
      <c r="F48" s="39"/>
      <c r="G48" s="45" t="str">
        <f>"p.2, line "&amp;'PEF - 2 Page 2 Rate Base'!A82</f>
        <v>p.2, line 42</v>
      </c>
      <c r="H48" s="45"/>
      <c r="I48" s="41">
        <f>'PEF - 2 Page 2 Rate Base'!J82</f>
        <v>33496700</v>
      </c>
      <c r="J48" s="39"/>
      <c r="K48" s="39"/>
    </row>
    <row r="49" spans="3:11" ht="13.5" thickBot="1">
      <c r="C49" s="45">
        <v>22</v>
      </c>
      <c r="D49" s="39"/>
      <c r="E49" s="39" t="s">
        <v>84</v>
      </c>
      <c r="F49" s="39"/>
      <c r="G49" s="45" t="str">
        <f>"p.2, line "&amp;'PEF - 2 Page 2 Rate Base'!A88</f>
        <v>p.2, line 46</v>
      </c>
      <c r="H49" s="39"/>
      <c r="I49" s="90">
        <f>'PEF - 2 Page 2 Rate Base'!J88</f>
        <v>4690379397.5</v>
      </c>
      <c r="J49" s="39"/>
      <c r="K49" s="39"/>
    </row>
    <row r="50" spans="3:11" ht="13.5" thickTop="1">
      <c r="C50" s="45">
        <v>23</v>
      </c>
      <c r="D50" s="39"/>
      <c r="E50" s="39" t="s">
        <v>406</v>
      </c>
      <c r="F50" s="39"/>
      <c r="G50" s="39"/>
      <c r="H50" s="39"/>
      <c r="I50" s="54">
        <f>I47+I48+I49</f>
        <v>9037175614.5</v>
      </c>
      <c r="J50" s="39"/>
      <c r="K50" s="39"/>
    </row>
    <row r="51" spans="3:11">
      <c r="C51" s="39"/>
      <c r="D51" s="39"/>
      <c r="E51" s="39"/>
      <c r="F51" s="39"/>
      <c r="G51" s="39"/>
      <c r="H51" s="39"/>
      <c r="I51" s="39"/>
      <c r="J51" s="39"/>
      <c r="K51" s="39"/>
    </row>
    <row r="52" spans="3:11">
      <c r="C52" s="39"/>
      <c r="D52" s="56" t="s">
        <v>407</v>
      </c>
      <c r="E52" s="56"/>
      <c r="F52" s="57" t="s">
        <v>86</v>
      </c>
      <c r="G52" s="57" t="s">
        <v>87</v>
      </c>
      <c r="H52" s="57"/>
      <c r="I52" s="57" t="s">
        <v>88</v>
      </c>
      <c r="J52" s="39"/>
      <c r="K52" s="39"/>
    </row>
    <row r="53" spans="3:11">
      <c r="C53" s="45">
        <v>24</v>
      </c>
      <c r="D53" s="39"/>
      <c r="E53" s="39" t="s">
        <v>85</v>
      </c>
      <c r="F53" s="58">
        <f>IF(I$50&lt;&gt;0,I47/I$50,0)</f>
        <v>0.47728402113591573</v>
      </c>
      <c r="G53" s="58">
        <f>IF(I47&lt;&gt;0,I43/I47,0)</f>
        <v>5.9193812994832652E-2</v>
      </c>
      <c r="H53" s="58"/>
      <c r="I53" s="58">
        <f>F53*G53</f>
        <v>2.8252261092541149E-2</v>
      </c>
      <c r="J53" s="39"/>
      <c r="K53" s="39"/>
    </row>
    <row r="54" spans="3:11">
      <c r="C54" s="45">
        <v>25</v>
      </c>
      <c r="D54" s="39"/>
      <c r="E54" s="39" t="s">
        <v>79</v>
      </c>
      <c r="F54" s="58">
        <f t="shared" ref="F54:F55" si="0">IF(I$50&lt;&gt;0,I48/I$50,0)</f>
        <v>3.7065452115653363E-3</v>
      </c>
      <c r="G54" s="58">
        <f>IF(I48&lt;&gt;0,I45/I48,0)</f>
        <v>4.5134595348198477E-2</v>
      </c>
      <c r="H54" s="58"/>
      <c r="I54" s="58">
        <f>F54*G54</f>
        <v>1.6729341826380418E-4</v>
      </c>
      <c r="J54" s="39"/>
      <c r="K54" s="39"/>
    </row>
    <row r="55" spans="3:11" ht="13.5" thickBot="1">
      <c r="C55" s="45">
        <v>26</v>
      </c>
      <c r="D55" s="39"/>
      <c r="E55" s="39" t="s">
        <v>89</v>
      </c>
      <c r="F55" s="58">
        <f t="shared" si="0"/>
        <v>0.51900943365251895</v>
      </c>
      <c r="G55" s="59">
        <v>0.108</v>
      </c>
      <c r="H55" s="59"/>
      <c r="I55" s="58">
        <f>F55*G55</f>
        <v>5.6053018834472043E-2</v>
      </c>
      <c r="J55" s="39"/>
      <c r="K55" s="39"/>
    </row>
    <row r="56" spans="3:11" ht="15" thickTop="1">
      <c r="C56" s="45">
        <v>27</v>
      </c>
      <c r="D56" s="39"/>
      <c r="E56" s="46" t="s">
        <v>140</v>
      </c>
      <c r="F56" s="39"/>
      <c r="G56" s="39"/>
      <c r="H56" s="39"/>
      <c r="I56" s="60">
        <f>SUM(I53:I55)</f>
        <v>8.4472573345276997E-2</v>
      </c>
      <c r="J56" s="39"/>
      <c r="K56" s="39"/>
    </row>
    <row r="57" spans="3:11">
      <c r="C57" s="39"/>
      <c r="D57" s="39"/>
      <c r="E57" s="39"/>
      <c r="F57" s="39"/>
      <c r="G57" s="39"/>
      <c r="H57" s="39"/>
      <c r="I57" s="39"/>
      <c r="J57" s="39"/>
      <c r="K57" s="39"/>
    </row>
    <row r="58" spans="3:11">
      <c r="C58" s="39"/>
      <c r="D58" s="39"/>
      <c r="E58" s="39"/>
      <c r="F58" s="39"/>
      <c r="G58" s="39"/>
      <c r="H58" s="39"/>
      <c r="I58" s="39"/>
      <c r="J58" s="39"/>
      <c r="K58" s="39"/>
    </row>
    <row r="59" spans="3:11">
      <c r="K59" s="39"/>
    </row>
    <row r="60" spans="3:11">
      <c r="K60" s="39"/>
    </row>
    <row r="61" spans="3:11">
      <c r="K61" s="39"/>
    </row>
    <row r="62" spans="3:11">
      <c r="K62" s="39"/>
    </row>
    <row r="63" spans="3:11">
      <c r="K63" s="39"/>
    </row>
    <row r="64" spans="3:11">
      <c r="K64" s="39"/>
    </row>
    <row r="65" spans="11:11">
      <c r="K65" s="39"/>
    </row>
    <row r="66" spans="11:11">
      <c r="K66" s="39"/>
    </row>
    <row r="67" spans="11:11">
      <c r="K67" s="39"/>
    </row>
  </sheetData>
  <mergeCells count="6">
    <mergeCell ref="A8:K8"/>
    <mergeCell ref="J1:K1"/>
    <mergeCell ref="J2:K2"/>
    <mergeCell ref="J3:K3"/>
    <mergeCell ref="A5:K5"/>
    <mergeCell ref="A6:K6"/>
  </mergeCells>
  <phoneticPr fontId="0" type="noConversion"/>
  <printOptions horizontalCentered="1"/>
  <pageMargins left="0.5" right="0.5" top="0.5" bottom="0.5" header="0.5" footer="0.5"/>
  <pageSetup scale="86"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93"/>
  <sheetViews>
    <sheetView topLeftCell="A22" workbookViewId="0">
      <selection activeCell="J3" sqref="J3:L3"/>
    </sheetView>
  </sheetViews>
  <sheetFormatPr defaultRowHeight="12.75"/>
  <cols>
    <col min="1" max="1" width="2.7109375" customWidth="1"/>
    <col min="2" max="2" width="8.42578125" bestFit="1" customWidth="1"/>
    <col min="3" max="3" width="2.7109375" customWidth="1"/>
    <col min="4" max="4" width="34.7109375" customWidth="1"/>
    <col min="5" max="5" width="10.28515625" bestFit="1" customWidth="1"/>
    <col min="6" max="6" width="11.7109375" bestFit="1" customWidth="1"/>
    <col min="7" max="7" width="2.7109375" customWidth="1"/>
    <col min="8" max="8" width="8" bestFit="1" customWidth="1"/>
    <col min="9" max="9" width="8.140625" bestFit="1" customWidth="1"/>
    <col min="10" max="10" width="3.7109375" customWidth="1"/>
    <col min="11" max="11" width="12.85546875" bestFit="1" customWidth="1"/>
    <col min="12" max="12" width="27.140625" customWidth="1"/>
  </cols>
  <sheetData>
    <row r="1" spans="1:18" ht="15">
      <c r="J1" s="305" t="s">
        <v>187</v>
      </c>
      <c r="K1" s="305"/>
      <c r="L1" s="305"/>
    </row>
    <row r="2" spans="1:18" ht="15">
      <c r="F2" t="s">
        <v>263</v>
      </c>
      <c r="J2" s="306" t="s">
        <v>225</v>
      </c>
      <c r="K2" s="306"/>
      <c r="L2" s="307"/>
    </row>
    <row r="3" spans="1:18">
      <c r="J3" s="324" t="str">
        <f>FF1_Year</f>
        <v>Year Ending 12/31/2010</v>
      </c>
      <c r="K3" s="325"/>
      <c r="L3" s="325"/>
    </row>
    <row r="5" spans="1:18">
      <c r="A5" s="315" t="s">
        <v>135</v>
      </c>
      <c r="B5" s="315"/>
      <c r="C5" s="315"/>
      <c r="D5" s="315"/>
      <c r="E5" s="315"/>
      <c r="F5" s="315"/>
      <c r="G5" s="315"/>
      <c r="H5" s="315"/>
      <c r="I5" s="315"/>
      <c r="J5" s="315"/>
      <c r="K5" s="315"/>
      <c r="L5" s="315"/>
    </row>
    <row r="6" spans="1:18">
      <c r="A6" s="315" t="s">
        <v>137</v>
      </c>
      <c r="B6" s="315"/>
      <c r="C6" s="315"/>
      <c r="D6" s="315"/>
      <c r="E6" s="315"/>
      <c r="F6" s="315"/>
      <c r="G6" s="315"/>
      <c r="H6" s="315"/>
      <c r="I6" s="315"/>
      <c r="J6" s="315"/>
      <c r="K6" s="315"/>
      <c r="L6" s="315"/>
    </row>
    <row r="7" spans="1:18">
      <c r="A7" s="11"/>
      <c r="B7" s="11"/>
      <c r="C7" s="11"/>
      <c r="D7" s="11"/>
      <c r="E7" s="11"/>
      <c r="F7" s="11"/>
      <c r="G7" s="11"/>
      <c r="H7" s="11"/>
      <c r="I7" s="11"/>
      <c r="J7" s="11"/>
      <c r="K7" s="11"/>
      <c r="L7" s="11"/>
    </row>
    <row r="8" spans="1:18">
      <c r="A8" s="315" t="s">
        <v>141</v>
      </c>
      <c r="B8" s="315"/>
      <c r="C8" s="315"/>
      <c r="D8" s="315"/>
      <c r="E8" s="315"/>
      <c r="F8" s="315"/>
      <c r="G8" s="315"/>
      <c r="H8" s="315"/>
      <c r="I8" s="315"/>
      <c r="J8" s="315"/>
      <c r="K8" s="315"/>
      <c r="L8" s="315"/>
    </row>
    <row r="10" spans="1:18">
      <c r="B10" s="2"/>
    </row>
    <row r="11" spans="1:18" ht="25.5">
      <c r="B11" s="11" t="s">
        <v>21</v>
      </c>
      <c r="C11" s="12"/>
      <c r="D11" s="13"/>
      <c r="E11" s="11" t="s">
        <v>4</v>
      </c>
      <c r="F11" s="11" t="s">
        <v>22</v>
      </c>
      <c r="G11" s="11"/>
      <c r="H11" s="315" t="s">
        <v>23</v>
      </c>
      <c r="I11" s="315"/>
      <c r="J11" s="11"/>
      <c r="K11" s="14" t="s">
        <v>24</v>
      </c>
      <c r="L11" s="4"/>
    </row>
    <row r="12" spans="1:18">
      <c r="B12" s="2"/>
      <c r="C12" s="3"/>
    </row>
    <row r="13" spans="1:18">
      <c r="B13" s="8">
        <v>1</v>
      </c>
      <c r="C13" s="3" t="s">
        <v>181</v>
      </c>
      <c r="E13" s="2" t="str">
        <f>'PEF - 6  p1, FF1 Inputs '!F33</f>
        <v>230a.5.b</v>
      </c>
      <c r="F13" s="1">
        <f>'PEF - 6  p1, FF1 Inputs '!J33</f>
        <v>10501360</v>
      </c>
      <c r="H13" s="2"/>
      <c r="I13" s="7"/>
      <c r="J13" s="7"/>
      <c r="K13" s="10"/>
      <c r="M13" s="1"/>
    </row>
    <row r="14" spans="1:18" ht="13.5" thickBot="1">
      <c r="B14" s="8">
        <v>2</v>
      </c>
      <c r="C14" s="3"/>
      <c r="D14" t="s">
        <v>178</v>
      </c>
      <c r="E14" s="2" t="s">
        <v>211</v>
      </c>
      <c r="F14" s="183">
        <f>14534920/15796861</f>
        <v>0.92011444552180333</v>
      </c>
      <c r="H14" s="2" t="s">
        <v>183</v>
      </c>
      <c r="I14" s="7"/>
      <c r="J14" s="7"/>
      <c r="K14" s="10"/>
      <c r="M14" s="97"/>
      <c r="N14" s="39"/>
      <c r="O14" s="39"/>
      <c r="P14" s="39"/>
      <c r="Q14" s="39"/>
      <c r="R14" s="39"/>
    </row>
    <row r="15" spans="1:18" ht="13.5" thickTop="1">
      <c r="B15" s="8">
        <v>3</v>
      </c>
      <c r="C15" s="3" t="s">
        <v>182</v>
      </c>
      <c r="E15" s="2"/>
      <c r="F15" s="54">
        <f>F13*F14</f>
        <v>9662453.0336248446</v>
      </c>
      <c r="H15" s="168" t="s">
        <v>481</v>
      </c>
      <c r="I15" s="7">
        <f>1055859696/1143125894</f>
        <v>0.92366002864772823</v>
      </c>
      <c r="J15" s="7"/>
      <c r="K15" s="10">
        <f>F15*I15</f>
        <v>8924821.645845253</v>
      </c>
    </row>
    <row r="16" spans="1:18">
      <c r="B16" s="8"/>
      <c r="C16" s="3"/>
      <c r="E16" s="2"/>
      <c r="F16" s="53"/>
      <c r="H16" s="2"/>
      <c r="I16" s="7"/>
      <c r="J16" s="7"/>
      <c r="K16" s="10"/>
    </row>
    <row r="17" spans="2:11">
      <c r="B17" s="8"/>
      <c r="C17" s="3" t="s">
        <v>421</v>
      </c>
      <c r="E17" s="2"/>
      <c r="F17" s="53"/>
      <c r="H17" s="2"/>
      <c r="I17" s="7"/>
      <c r="J17" s="7"/>
      <c r="K17" s="10"/>
    </row>
    <row r="18" spans="2:11" ht="6" customHeight="1">
      <c r="B18" s="8"/>
      <c r="C18" s="3"/>
      <c r="E18" s="2"/>
      <c r="F18" s="53"/>
      <c r="H18" s="2"/>
      <c r="I18" s="7"/>
      <c r="J18" s="7"/>
      <c r="K18" s="10"/>
    </row>
    <row r="19" spans="2:11" ht="12.75" customHeight="1">
      <c r="B19" s="31">
        <v>4</v>
      </c>
      <c r="C19" s="3"/>
      <c r="D19" s="28" t="s">
        <v>307</v>
      </c>
      <c r="E19" s="16" t="str">
        <f>'PEF - 6  p1, FF1 Inputs '!F35</f>
        <v>230a.5.f</v>
      </c>
      <c r="F19" s="184">
        <v>15658702</v>
      </c>
      <c r="G19" s="28"/>
      <c r="H19" s="98" t="s">
        <v>400</v>
      </c>
      <c r="I19" s="7">
        <f>F14*I15</f>
        <v>0.8498729351098574</v>
      </c>
      <c r="J19" s="29"/>
      <c r="K19" s="32">
        <f>F19*I19</f>
        <v>13307907.028750595</v>
      </c>
    </row>
    <row r="20" spans="2:11" ht="6" customHeight="1">
      <c r="B20" s="8"/>
      <c r="C20" s="3"/>
      <c r="E20" s="2"/>
      <c r="F20" s="53"/>
      <c r="H20" s="45"/>
      <c r="I20" s="7"/>
      <c r="J20" s="7"/>
      <c r="K20" s="10"/>
    </row>
    <row r="21" spans="2:11" ht="12.75" customHeight="1">
      <c r="B21" s="8"/>
      <c r="C21" s="3"/>
      <c r="D21" t="s">
        <v>184</v>
      </c>
      <c r="E21" s="2"/>
      <c r="F21" s="53"/>
      <c r="H21" s="45"/>
      <c r="I21" s="7"/>
      <c r="J21" s="7"/>
      <c r="K21" s="10"/>
    </row>
    <row r="22" spans="2:11" ht="12.75" customHeight="1">
      <c r="B22" s="8">
        <v>5</v>
      </c>
      <c r="C22" s="3"/>
      <c r="D22" t="s">
        <v>185</v>
      </c>
      <c r="E22" s="2" t="s">
        <v>280</v>
      </c>
      <c r="F22" s="53">
        <v>434000</v>
      </c>
      <c r="H22" s="2" t="s">
        <v>400</v>
      </c>
      <c r="I22" s="42">
        <f>F22/6000000</f>
        <v>7.2333333333333333E-2</v>
      </c>
      <c r="J22" s="7"/>
      <c r="K22" s="10"/>
    </row>
    <row r="23" spans="2:11" ht="12.75" customHeight="1">
      <c r="B23" s="8">
        <v>6</v>
      </c>
      <c r="C23" s="3"/>
      <c r="D23" t="s">
        <v>186</v>
      </c>
      <c r="E23" s="2"/>
      <c r="F23" s="53">
        <f>130000000/(1-I22)</f>
        <v>140136543.29859865</v>
      </c>
      <c r="H23" s="45"/>
      <c r="I23" s="7"/>
      <c r="J23" s="7"/>
      <c r="K23" s="10"/>
    </row>
    <row r="24" spans="2:11" ht="12.75" customHeight="1">
      <c r="B24" s="8">
        <v>7</v>
      </c>
      <c r="C24" s="3"/>
      <c r="D24" s="166" t="s">
        <v>306</v>
      </c>
      <c r="E24" s="2"/>
      <c r="F24" s="53">
        <f>F23-130000000</f>
        <v>10136543.298598647</v>
      </c>
      <c r="H24" s="98" t="s">
        <v>400</v>
      </c>
      <c r="I24" s="7">
        <f>I19</f>
        <v>0.8498729351098574</v>
      </c>
      <c r="J24" s="29"/>
      <c r="K24" s="32">
        <f>F24*I24</f>
        <v>8614773.8050481882</v>
      </c>
    </row>
    <row r="25" spans="2:11" ht="12.75" customHeight="1">
      <c r="B25" s="8"/>
      <c r="C25" s="3"/>
      <c r="E25" s="2"/>
      <c r="F25" s="9"/>
      <c r="H25" s="45"/>
      <c r="I25" s="7"/>
      <c r="J25" s="7"/>
      <c r="K25" s="10"/>
    </row>
    <row r="26" spans="2:11" ht="12.75" customHeight="1">
      <c r="B26" s="8">
        <f>B24+1</f>
        <v>8</v>
      </c>
      <c r="C26" s="3" t="s">
        <v>422</v>
      </c>
      <c r="E26" s="2" t="s">
        <v>280</v>
      </c>
      <c r="F26" s="9">
        <f>F22</f>
        <v>434000</v>
      </c>
      <c r="G26" s="28"/>
      <c r="H26" s="30" t="s">
        <v>400</v>
      </c>
      <c r="I26" s="7">
        <f>I19</f>
        <v>0.8498729351098574</v>
      </c>
      <c r="J26" s="29"/>
      <c r="K26" s="9">
        <f>F26*I26</f>
        <v>368844.85383767809</v>
      </c>
    </row>
    <row r="27" spans="2:11" ht="12.75" customHeight="1">
      <c r="B27" s="8"/>
      <c r="C27" s="3"/>
      <c r="E27" s="2"/>
      <c r="F27" s="9"/>
      <c r="G27" s="28"/>
      <c r="H27" s="30"/>
      <c r="I27" s="29"/>
      <c r="J27" s="29"/>
      <c r="K27" s="9"/>
    </row>
    <row r="28" spans="2:11" ht="12.75" customHeight="1">
      <c r="B28" s="8">
        <f>B26+1</f>
        <v>9</v>
      </c>
      <c r="C28" s="46" t="s">
        <v>423</v>
      </c>
      <c r="E28" s="2"/>
      <c r="F28" s="9"/>
      <c r="G28" s="28"/>
      <c r="H28" s="30"/>
      <c r="I28" s="29"/>
      <c r="J28" s="29"/>
      <c r="K28" s="131">
        <f>'PEF - 6 p2, Levelized Storm'!F42</f>
        <v>140.49561401738774</v>
      </c>
    </row>
    <row r="29" spans="2:11" ht="12.75" customHeight="1">
      <c r="B29" s="8"/>
      <c r="C29" s="3"/>
      <c r="E29" s="2"/>
      <c r="F29" s="9"/>
      <c r="G29" s="28"/>
      <c r="H29" s="30"/>
      <c r="I29" s="29"/>
      <c r="J29" s="29"/>
      <c r="K29" s="9"/>
    </row>
    <row r="30" spans="2:11">
      <c r="B30" s="2"/>
      <c r="C30" s="3" t="s">
        <v>97</v>
      </c>
      <c r="E30" s="2"/>
      <c r="F30" s="9"/>
      <c r="H30" s="2"/>
      <c r="I30" s="7"/>
      <c r="J30" s="7"/>
      <c r="K30" s="1"/>
    </row>
    <row r="31" spans="2:11">
      <c r="B31" s="2">
        <f>B28+1</f>
        <v>10</v>
      </c>
      <c r="C31" s="3"/>
      <c r="D31" s="99" t="str">
        <f>'PEF - 6  p1, FF1 Inputs '!E62</f>
        <v>Firm Network Service for Self</v>
      </c>
      <c r="E31" s="2" t="str">
        <f>'PEF - 6  p1, FF1 Inputs '!F62</f>
        <v>400.17.e</v>
      </c>
      <c r="F31" s="1">
        <f>'PEF - 6  p1, FF1 Inputs '!J62</f>
        <v>97147</v>
      </c>
      <c r="H31" s="2"/>
      <c r="I31" s="42">
        <v>0</v>
      </c>
      <c r="J31" s="7"/>
      <c r="K31" s="1">
        <f>IF(ISNUMBER(I31),F31*I31,"")</f>
        <v>0</v>
      </c>
    </row>
    <row r="32" spans="2:11">
      <c r="B32" s="2">
        <f>B31+1</f>
        <v>11</v>
      </c>
      <c r="C32" s="3"/>
      <c r="D32" s="99" t="str">
        <f>'PEF - 6  p1, FF1 Inputs '!E63&amp;" (Note K)"</f>
        <v>Firm Network Service for Others (Note K)</v>
      </c>
      <c r="E32" s="2" t="str">
        <f>'PEF - 6  p1, FF1 Inputs '!F63</f>
        <v>400.17.f</v>
      </c>
      <c r="F32" s="1">
        <f>'PEF - 6  p1, FF1 Inputs '!J63</f>
        <v>28448</v>
      </c>
      <c r="H32" s="2"/>
      <c r="I32" s="42">
        <v>1</v>
      </c>
      <c r="J32" s="7"/>
      <c r="K32" s="1">
        <f>IF(ISNUMBER(I32),F32*I32,"")</f>
        <v>28448</v>
      </c>
    </row>
    <row r="33" spans="2:11">
      <c r="B33" s="2">
        <f>B32+1</f>
        <v>12</v>
      </c>
      <c r="C33" s="3"/>
      <c r="D33" s="99" t="str">
        <f>'PEF - 6  p1, FF1 Inputs '!E64</f>
        <v>Long-Term Firm P-t-P Reservations</v>
      </c>
      <c r="E33" s="2" t="str">
        <f>'PEF - 6  p1, FF1 Inputs '!F64</f>
        <v>400.17.g</v>
      </c>
      <c r="F33" s="1">
        <f>'PEF - 6  p1, FF1 Inputs '!J64</f>
        <v>5113</v>
      </c>
      <c r="H33" s="2"/>
      <c r="I33" s="42">
        <v>1</v>
      </c>
      <c r="J33" s="7"/>
      <c r="K33" s="1">
        <f>IF(ISNUMBER(I33),F33*I33,"")</f>
        <v>5113</v>
      </c>
    </row>
    <row r="34" spans="2:11">
      <c r="B34" s="2">
        <f>B33+1</f>
        <v>13</v>
      </c>
      <c r="C34" s="3"/>
      <c r="D34" s="99" t="str">
        <f>'PEF - 6  p1, FF1 Inputs '!E65</f>
        <v>Other Long-Term Firm Service</v>
      </c>
      <c r="E34" s="2" t="str">
        <f>'PEF - 6  p1, FF1 Inputs '!F65</f>
        <v>400.17.h</v>
      </c>
      <c r="F34" s="1">
        <f>'PEF - 6  p1, FF1 Inputs '!J65</f>
        <v>7170</v>
      </c>
      <c r="H34" s="2"/>
      <c r="I34" s="42">
        <v>1</v>
      </c>
      <c r="J34" s="7"/>
      <c r="K34" s="1">
        <f>IF(ISNUMBER(I34),F34*I34,"")</f>
        <v>7170</v>
      </c>
    </row>
    <row r="35" spans="2:11" ht="13.5" thickBot="1">
      <c r="B35" s="2">
        <f>B34+1</f>
        <v>14</v>
      </c>
      <c r="C35" s="3"/>
      <c r="D35" s="97" t="s">
        <v>261</v>
      </c>
      <c r="E35" s="45"/>
      <c r="F35" s="169">
        <v>0</v>
      </c>
      <c r="G35" s="39"/>
      <c r="H35" s="45"/>
      <c r="I35" s="42">
        <v>1</v>
      </c>
      <c r="J35" s="42"/>
      <c r="K35" s="41">
        <f>F35*I35</f>
        <v>0</v>
      </c>
    </row>
    <row r="36" spans="2:11" ht="13.5" thickTop="1">
      <c r="B36" s="2">
        <f>B35+1</f>
        <v>15</v>
      </c>
      <c r="C36" s="3"/>
      <c r="D36" s="39" t="s">
        <v>302</v>
      </c>
      <c r="E36" s="45"/>
      <c r="F36" s="54">
        <f>SUM(F31:F35)</f>
        <v>137878</v>
      </c>
      <c r="G36" s="39"/>
      <c r="H36" s="45"/>
      <c r="I36" s="42"/>
      <c r="J36" s="42"/>
      <c r="K36" s="54">
        <f>SUM(K31:K35)</f>
        <v>40731</v>
      </c>
    </row>
    <row r="37" spans="2:11">
      <c r="B37" s="2"/>
      <c r="C37" s="3"/>
      <c r="E37" s="2"/>
      <c r="F37" s="10"/>
      <c r="H37" s="2"/>
      <c r="I37" s="7"/>
      <c r="J37" s="7"/>
      <c r="K37" s="1"/>
    </row>
    <row r="38" spans="2:11">
      <c r="B38" s="2">
        <f>B36+1</f>
        <v>16</v>
      </c>
      <c r="C38" s="3" t="s">
        <v>439</v>
      </c>
      <c r="E38" s="2"/>
      <c r="F38" s="1"/>
      <c r="H38" s="2"/>
      <c r="I38" s="7"/>
      <c r="J38" s="7"/>
      <c r="K38" s="7">
        <f>F36/K36*I15*F14</f>
        <v>2.8768942708766523</v>
      </c>
    </row>
    <row r="40" spans="2:11" ht="3" customHeight="1">
      <c r="B40" s="19"/>
      <c r="C40" s="19"/>
      <c r="D40" s="19"/>
      <c r="E40" s="19"/>
      <c r="F40" s="19"/>
      <c r="G40" s="19"/>
      <c r="H40" s="19"/>
      <c r="I40" s="19"/>
      <c r="J40" s="19"/>
      <c r="K40" s="19"/>
    </row>
    <row r="41" spans="2:11" ht="6" customHeight="1"/>
    <row r="42" spans="2:11">
      <c r="B42" s="16" t="s">
        <v>103</v>
      </c>
      <c r="C42" t="s">
        <v>299</v>
      </c>
    </row>
    <row r="43" spans="2:11">
      <c r="B43" s="16" t="s">
        <v>104</v>
      </c>
      <c r="C43" t="s">
        <v>217</v>
      </c>
    </row>
    <row r="44" spans="2:11">
      <c r="B44" s="16"/>
      <c r="C44" t="s">
        <v>218</v>
      </c>
    </row>
    <row r="45" spans="2:11">
      <c r="B45" s="16"/>
      <c r="C45" t="s">
        <v>216</v>
      </c>
    </row>
    <row r="46" spans="2:11">
      <c r="B46" s="16" t="s">
        <v>105</v>
      </c>
      <c r="C46" t="s">
        <v>128</v>
      </c>
    </row>
    <row r="47" spans="2:11">
      <c r="B47" s="16" t="s">
        <v>106</v>
      </c>
      <c r="C47" t="s">
        <v>315</v>
      </c>
    </row>
    <row r="48" spans="2:11">
      <c r="B48" s="16" t="s">
        <v>107</v>
      </c>
      <c r="C48" t="s">
        <v>305</v>
      </c>
    </row>
    <row r="49" spans="2:3">
      <c r="B49" s="16" t="s">
        <v>129</v>
      </c>
      <c r="C49" t="s">
        <v>177</v>
      </c>
    </row>
    <row r="50" spans="2:3">
      <c r="B50" s="16"/>
      <c r="C50" t="s">
        <v>132</v>
      </c>
    </row>
    <row r="51" spans="2:3">
      <c r="B51" s="16" t="s">
        <v>133</v>
      </c>
      <c r="C51" t="s">
        <v>175</v>
      </c>
    </row>
    <row r="52" spans="2:3" ht="12.75" customHeight="1">
      <c r="B52" s="16" t="s">
        <v>174</v>
      </c>
      <c r="C52" s="191" t="s">
        <v>564</v>
      </c>
    </row>
    <row r="53" spans="2:3" ht="12.75" customHeight="1">
      <c r="B53" s="16"/>
      <c r="C53" s="191" t="s">
        <v>565</v>
      </c>
    </row>
    <row r="54" spans="2:3">
      <c r="B54" s="16" t="s">
        <v>200</v>
      </c>
      <c r="C54" t="s">
        <v>409</v>
      </c>
    </row>
    <row r="55" spans="2:3">
      <c r="C55" t="s">
        <v>410</v>
      </c>
    </row>
    <row r="56" spans="2:3">
      <c r="B56" s="16" t="s">
        <v>212</v>
      </c>
      <c r="C56" t="s">
        <v>213</v>
      </c>
    </row>
    <row r="57" spans="2:3">
      <c r="C57" t="s">
        <v>214</v>
      </c>
    </row>
    <row r="58" spans="2:3">
      <c r="B58" s="16" t="s">
        <v>215</v>
      </c>
      <c r="C58" t="s">
        <v>220</v>
      </c>
    </row>
    <row r="59" spans="2:3">
      <c r="B59" s="16" t="s">
        <v>313</v>
      </c>
      <c r="C59" s="192" t="s">
        <v>539</v>
      </c>
    </row>
    <row r="60" spans="2:3">
      <c r="B60" s="16" t="s">
        <v>395</v>
      </c>
      <c r="C60" t="s">
        <v>396</v>
      </c>
    </row>
    <row r="61" spans="2:3">
      <c r="C61" t="s">
        <v>397</v>
      </c>
    </row>
    <row r="62" spans="2:3">
      <c r="B62" s="16" t="s">
        <v>401</v>
      </c>
      <c r="C62" t="s">
        <v>402</v>
      </c>
    </row>
    <row r="63" spans="2:3">
      <c r="C63" t="s">
        <v>403</v>
      </c>
    </row>
    <row r="64" spans="2:3">
      <c r="B64" s="2" t="s">
        <v>411</v>
      </c>
      <c r="C64" t="s">
        <v>412</v>
      </c>
    </row>
    <row r="65" spans="2:3">
      <c r="C65" t="s">
        <v>413</v>
      </c>
    </row>
    <row r="66" spans="2:3">
      <c r="B66" s="137" t="s">
        <v>426</v>
      </c>
      <c r="C66" t="s">
        <v>427</v>
      </c>
    </row>
    <row r="67" spans="2:3">
      <c r="C67" t="s">
        <v>428</v>
      </c>
    </row>
    <row r="68" spans="2:3">
      <c r="B68" s="2" t="s">
        <v>429</v>
      </c>
      <c r="C68" t="s">
        <v>430</v>
      </c>
    </row>
    <row r="69" spans="2:3">
      <c r="C69" t="s">
        <v>431</v>
      </c>
    </row>
    <row r="70" spans="2:3">
      <c r="B70" s="137" t="s">
        <v>432</v>
      </c>
      <c r="C70" t="s">
        <v>433</v>
      </c>
    </row>
    <row r="71" spans="2:3">
      <c r="C71" t="s">
        <v>434</v>
      </c>
    </row>
    <row r="72" spans="2:3">
      <c r="B72" s="190" t="s">
        <v>515</v>
      </c>
      <c r="C72" s="191" t="s">
        <v>531</v>
      </c>
    </row>
    <row r="73" spans="2:3">
      <c r="B73" s="190"/>
      <c r="C73" s="191" t="s">
        <v>532</v>
      </c>
    </row>
    <row r="74" spans="2:3">
      <c r="B74" s="190"/>
      <c r="C74" s="191" t="s">
        <v>533</v>
      </c>
    </row>
    <row r="75" spans="2:3">
      <c r="B75" s="191"/>
      <c r="C75" s="191" t="s">
        <v>534</v>
      </c>
    </row>
    <row r="76" spans="2:3">
      <c r="B76" s="190" t="s">
        <v>513</v>
      </c>
      <c r="C76" s="191" t="s">
        <v>535</v>
      </c>
    </row>
    <row r="77" spans="2:3">
      <c r="B77" s="190" t="s">
        <v>536</v>
      </c>
      <c r="C77" s="191" t="s">
        <v>553</v>
      </c>
    </row>
    <row r="78" spans="2:3">
      <c r="B78" s="190"/>
      <c r="C78" s="191" t="s">
        <v>554</v>
      </c>
    </row>
    <row r="79" spans="2:3">
      <c r="B79" s="190"/>
      <c r="C79" s="191" t="s">
        <v>555</v>
      </c>
    </row>
    <row r="80" spans="2:3">
      <c r="B80" s="190"/>
      <c r="C80" s="191" t="s">
        <v>556</v>
      </c>
    </row>
    <row r="81" spans="2:11">
      <c r="B81" s="190" t="s">
        <v>537</v>
      </c>
      <c r="C81" s="191" t="s">
        <v>563</v>
      </c>
    </row>
    <row r="82" spans="2:11">
      <c r="B82" s="188"/>
      <c r="C82" s="191" t="s">
        <v>542</v>
      </c>
      <c r="D82" s="191"/>
      <c r="E82" s="187"/>
      <c r="F82" s="187"/>
    </row>
    <row r="83" spans="2:11">
      <c r="B83" s="190" t="s">
        <v>538</v>
      </c>
      <c r="C83" s="191" t="s">
        <v>514</v>
      </c>
      <c r="D83" s="191"/>
      <c r="E83" s="187"/>
      <c r="F83" s="187"/>
      <c r="G83" s="187"/>
      <c r="H83" s="187"/>
      <c r="I83" s="187"/>
      <c r="J83" s="187"/>
      <c r="K83" s="187"/>
    </row>
    <row r="84" spans="2:11">
      <c r="B84" s="191"/>
      <c r="C84" s="191" t="s">
        <v>523</v>
      </c>
      <c r="D84" s="191"/>
    </row>
    <row r="85" spans="2:11">
      <c r="B85" s="191"/>
      <c r="C85" s="191" t="s">
        <v>516</v>
      </c>
      <c r="D85" s="191"/>
    </row>
    <row r="86" spans="2:11">
      <c r="B86" s="191"/>
      <c r="C86" s="191" t="s">
        <v>524</v>
      </c>
      <c r="D86" s="191"/>
    </row>
    <row r="87" spans="2:11">
      <c r="B87" s="191"/>
      <c r="C87" s="191" t="s">
        <v>517</v>
      </c>
      <c r="D87" s="191"/>
    </row>
    <row r="88" spans="2:11">
      <c r="B88" s="191"/>
      <c r="C88" s="191" t="s">
        <v>518</v>
      </c>
      <c r="D88" s="191"/>
    </row>
    <row r="89" spans="2:11">
      <c r="B89" s="191"/>
      <c r="C89" s="191" t="s">
        <v>519</v>
      </c>
      <c r="D89" s="191"/>
    </row>
    <row r="90" spans="2:11">
      <c r="B90" s="191"/>
      <c r="C90" s="191" t="s">
        <v>525</v>
      </c>
      <c r="D90" s="191"/>
    </row>
    <row r="91" spans="2:11">
      <c r="B91" s="191"/>
      <c r="C91" s="191" t="s">
        <v>520</v>
      </c>
      <c r="D91" s="191"/>
    </row>
    <row r="92" spans="2:11">
      <c r="B92" s="191"/>
      <c r="C92" s="191" t="s">
        <v>521</v>
      </c>
      <c r="D92" s="191"/>
    </row>
    <row r="93" spans="2:11">
      <c r="B93" s="191"/>
      <c r="C93" s="191" t="s">
        <v>522</v>
      </c>
      <c r="D93" s="191"/>
    </row>
  </sheetData>
  <mergeCells count="7">
    <mergeCell ref="J1:L1"/>
    <mergeCell ref="H11:I11"/>
    <mergeCell ref="J2:L2"/>
    <mergeCell ref="J3:L3"/>
    <mergeCell ref="A5:L5"/>
    <mergeCell ref="A6:L6"/>
    <mergeCell ref="A8:L8"/>
  </mergeCells>
  <phoneticPr fontId="0" type="noConversion"/>
  <printOptions horizontalCentered="1"/>
  <pageMargins left="0.5" right="0.5" top="0.5" bottom="0.5" header="0.5" footer="0.5"/>
  <pageSetup scale="61"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M50"/>
  <sheetViews>
    <sheetView workbookViewId="0">
      <selection activeCell="L13" sqref="L13"/>
    </sheetView>
  </sheetViews>
  <sheetFormatPr defaultRowHeight="12.75"/>
  <cols>
    <col min="1" max="2" width="3.7109375" customWidth="1"/>
    <col min="4" max="4" width="6.85546875" customWidth="1"/>
    <col min="6" max="6" width="5.7109375" customWidth="1"/>
    <col min="7" max="7" width="11.7109375" customWidth="1"/>
    <col min="10" max="10" width="5.85546875" customWidth="1"/>
  </cols>
  <sheetData>
    <row r="1" spans="1:13" ht="15">
      <c r="K1" s="305" t="s">
        <v>187</v>
      </c>
      <c r="L1" s="305"/>
      <c r="M1" s="305"/>
    </row>
    <row r="2" spans="1:13" ht="15">
      <c r="K2" s="306" t="s">
        <v>226</v>
      </c>
      <c r="L2" s="306"/>
      <c r="M2" s="307"/>
    </row>
    <row r="3" spans="1:13">
      <c r="K3" s="324" t="str">
        <f>FF1_Year</f>
        <v>Year Ending 12/31/2010</v>
      </c>
      <c r="L3" s="325"/>
      <c r="M3" s="325"/>
    </row>
    <row r="6" spans="1:13">
      <c r="A6" s="315" t="s">
        <v>135</v>
      </c>
      <c r="B6" s="315"/>
      <c r="C6" s="315"/>
      <c r="D6" s="315"/>
      <c r="E6" s="315"/>
      <c r="F6" s="315"/>
      <c r="G6" s="315"/>
      <c r="H6" s="315"/>
      <c r="I6" s="315"/>
      <c r="J6" s="315"/>
      <c r="K6" s="315"/>
      <c r="L6" s="315"/>
      <c r="M6" s="326"/>
    </row>
    <row r="7" spans="1:13">
      <c r="A7" s="315" t="s">
        <v>137</v>
      </c>
      <c r="B7" s="315"/>
      <c r="C7" s="315"/>
      <c r="D7" s="315"/>
      <c r="E7" s="315"/>
      <c r="F7" s="315"/>
      <c r="G7" s="315"/>
      <c r="H7" s="315"/>
      <c r="I7" s="315"/>
      <c r="J7" s="315"/>
      <c r="K7" s="315"/>
      <c r="L7" s="315"/>
      <c r="M7" s="326"/>
    </row>
    <row r="8" spans="1:13">
      <c r="A8" s="11"/>
      <c r="B8" s="11"/>
      <c r="C8" s="11"/>
      <c r="D8" s="11"/>
      <c r="E8" s="11"/>
      <c r="F8" s="11"/>
      <c r="G8" s="11"/>
      <c r="H8" s="11"/>
      <c r="I8" s="11"/>
      <c r="J8" s="11"/>
      <c r="K8" s="11"/>
      <c r="L8" s="11"/>
    </row>
    <row r="9" spans="1:13">
      <c r="A9" s="327" t="s">
        <v>227</v>
      </c>
      <c r="B9" s="327"/>
      <c r="C9" s="327"/>
      <c r="D9" s="327"/>
      <c r="E9" s="327"/>
      <c r="F9" s="327"/>
      <c r="G9" s="327"/>
      <c r="H9" s="327"/>
      <c r="I9" s="327"/>
      <c r="J9" s="327"/>
      <c r="K9" s="327"/>
      <c r="L9" s="327"/>
      <c r="M9" s="328"/>
    </row>
    <row r="13" spans="1:13">
      <c r="A13" s="3" t="s">
        <v>229</v>
      </c>
    </row>
    <row r="46" spans="1:7">
      <c r="A46" s="3" t="str">
        <f>_YR&amp;" Per Book Amount:"</f>
        <v>2010 Per Book Amount:</v>
      </c>
      <c r="G46" s="41">
        <v>44985078</v>
      </c>
    </row>
    <row r="47" spans="1:7">
      <c r="G47" s="1"/>
    </row>
    <row r="48" spans="1:7">
      <c r="C48" t="s">
        <v>228</v>
      </c>
      <c r="G48" s="41">
        <v>22191000</v>
      </c>
    </row>
    <row r="49" spans="1:7">
      <c r="G49" s="1"/>
    </row>
    <row r="50" spans="1:7">
      <c r="A50" s="38" t="s">
        <v>234</v>
      </c>
      <c r="G50" s="1">
        <f>G48-G46</f>
        <v>-22794078</v>
      </c>
    </row>
  </sheetData>
  <mergeCells count="6">
    <mergeCell ref="A6:M6"/>
    <mergeCell ref="A7:M7"/>
    <mergeCell ref="A9:M9"/>
    <mergeCell ref="K1:M1"/>
    <mergeCell ref="K2:M2"/>
    <mergeCell ref="K3:M3"/>
  </mergeCells>
  <phoneticPr fontId="15" type="noConversion"/>
  <printOptions horizontalCentered="1"/>
  <pageMargins left="0.5" right="0.5" top="0.5" bottom="0.5" header="0.5" footer="0.5"/>
  <pageSetup scale="96"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I32"/>
  <sheetViews>
    <sheetView workbookViewId="0"/>
  </sheetViews>
  <sheetFormatPr defaultRowHeight="12.75"/>
  <cols>
    <col min="1" max="1" width="5.7109375" customWidth="1"/>
    <col min="2" max="2" width="43.85546875" customWidth="1"/>
    <col min="3" max="3" width="4.7109375" customWidth="1"/>
    <col min="4" max="4" width="12.28515625" bestFit="1" customWidth="1"/>
    <col min="5" max="5" width="4.7109375" customWidth="1"/>
    <col min="6" max="6" width="12.140625" bestFit="1" customWidth="1"/>
    <col min="7" max="7" width="18.42578125" customWidth="1"/>
    <col min="8" max="8" width="11.42578125" customWidth="1"/>
  </cols>
  <sheetData>
    <row r="1" spans="1:9" ht="15">
      <c r="G1" s="306" t="s">
        <v>194</v>
      </c>
      <c r="H1" s="306"/>
    </row>
    <row r="2" spans="1:9" ht="15">
      <c r="G2" s="33" t="s">
        <v>197</v>
      </c>
      <c r="H2" s="33"/>
    </row>
    <row r="3" spans="1:9">
      <c r="G3" s="324" t="str">
        <f>FF1_Year</f>
        <v>Year Ending 12/31/2010</v>
      </c>
      <c r="H3" s="325"/>
    </row>
    <row r="4" spans="1:9">
      <c r="G4" s="99"/>
      <c r="H4" s="99"/>
    </row>
    <row r="6" spans="1:9">
      <c r="A6" s="315" t="s">
        <v>135</v>
      </c>
      <c r="B6" s="315"/>
      <c r="C6" s="315"/>
      <c r="D6" s="315"/>
      <c r="E6" s="315"/>
      <c r="F6" s="315"/>
      <c r="G6" s="315"/>
      <c r="H6" s="315"/>
      <c r="I6" s="43"/>
    </row>
    <row r="7" spans="1:9">
      <c r="A7" s="327" t="s">
        <v>387</v>
      </c>
      <c r="B7" s="327"/>
      <c r="C7" s="327"/>
      <c r="D7" s="327"/>
      <c r="E7" s="327"/>
      <c r="F7" s="327"/>
      <c r="G7" s="327"/>
      <c r="H7" s="327"/>
    </row>
    <row r="8" spans="1:9">
      <c r="A8" s="327" t="s">
        <v>388</v>
      </c>
      <c r="B8" s="327"/>
      <c r="C8" s="327"/>
      <c r="D8" s="327"/>
      <c r="E8" s="327"/>
      <c r="F8" s="327"/>
      <c r="G8" s="327"/>
      <c r="H8" s="327"/>
    </row>
    <row r="9" spans="1:9">
      <c r="B9" s="43"/>
      <c r="D9" s="1"/>
      <c r="E9" s="1"/>
      <c r="F9" s="1"/>
      <c r="G9" s="1"/>
      <c r="H9" s="1"/>
    </row>
    <row r="10" spans="1:9">
      <c r="A10" s="192"/>
      <c r="B10" s="192"/>
      <c r="C10" s="192"/>
      <c r="D10" s="236" t="s">
        <v>388</v>
      </c>
      <c r="E10" s="46"/>
      <c r="F10" s="237" t="s">
        <v>286</v>
      </c>
      <c r="G10" s="238" t="s">
        <v>570</v>
      </c>
      <c r="H10" s="1"/>
    </row>
    <row r="11" spans="1:9">
      <c r="A11" s="192"/>
      <c r="B11" s="239" t="s">
        <v>571</v>
      </c>
      <c r="C11" s="239"/>
      <c r="D11" s="240">
        <v>9631288</v>
      </c>
      <c r="E11" s="239"/>
      <c r="F11" s="240"/>
      <c r="G11" s="239"/>
      <c r="H11" s="1"/>
    </row>
    <row r="12" spans="1:9">
      <c r="A12" s="192"/>
      <c r="B12" s="239" t="s">
        <v>572</v>
      </c>
      <c r="C12" s="239"/>
      <c r="D12" s="240">
        <v>202088</v>
      </c>
      <c r="E12" s="239"/>
      <c r="F12" s="240">
        <f>D12</f>
        <v>202088</v>
      </c>
      <c r="G12" s="239"/>
      <c r="H12" s="1"/>
    </row>
    <row r="13" spans="1:9">
      <c r="A13" s="192"/>
      <c r="B13" s="239" t="s">
        <v>573</v>
      </c>
      <c r="C13" s="239"/>
      <c r="D13" s="240">
        <v>1684456</v>
      </c>
      <c r="E13" s="239"/>
      <c r="F13" s="240">
        <f>D13</f>
        <v>1684456</v>
      </c>
      <c r="G13" s="239"/>
      <c r="H13" s="1"/>
    </row>
    <row r="14" spans="1:9">
      <c r="A14" s="192"/>
      <c r="B14" s="239" t="s">
        <v>574</v>
      </c>
      <c r="C14" s="239"/>
      <c r="D14" s="240">
        <v>65000688</v>
      </c>
      <c r="E14" s="239"/>
      <c r="F14" s="240"/>
      <c r="G14" s="239"/>
      <c r="H14" s="1"/>
    </row>
    <row r="15" spans="1:9">
      <c r="A15" s="192"/>
      <c r="B15" s="239" t="s">
        <v>575</v>
      </c>
      <c r="C15" s="239"/>
      <c r="D15" s="240">
        <v>86509</v>
      </c>
      <c r="E15" s="239"/>
      <c r="F15" s="240">
        <f>D15</f>
        <v>86509</v>
      </c>
      <c r="G15" s="239"/>
      <c r="H15" s="1"/>
    </row>
    <row r="16" spans="1:9">
      <c r="A16" s="192"/>
      <c r="B16" s="239" t="s">
        <v>576</v>
      </c>
      <c r="C16" s="239"/>
      <c r="D16" s="240">
        <v>660408</v>
      </c>
      <c r="E16" s="239"/>
      <c r="F16" s="240">
        <f>D16</f>
        <v>660408</v>
      </c>
      <c r="G16" s="239"/>
      <c r="H16" s="1"/>
    </row>
    <row r="17" spans="1:8">
      <c r="A17" s="192"/>
      <c r="B17" s="239" t="s">
        <v>577</v>
      </c>
      <c r="C17" s="239"/>
      <c r="D17" s="240">
        <v>42000</v>
      </c>
      <c r="E17" s="239"/>
      <c r="F17" s="240">
        <f>D17</f>
        <v>42000</v>
      </c>
      <c r="G17" s="239"/>
      <c r="H17" s="1"/>
    </row>
    <row r="18" spans="1:8">
      <c r="A18" s="192"/>
      <c r="B18" s="239" t="s">
        <v>578</v>
      </c>
      <c r="C18" s="239"/>
      <c r="D18" s="240">
        <v>6785721</v>
      </c>
      <c r="E18" s="239"/>
      <c r="F18" s="240"/>
      <c r="G18" s="239"/>
      <c r="H18" s="1"/>
    </row>
    <row r="19" spans="1:8">
      <c r="A19" s="192"/>
      <c r="B19" s="239" t="s">
        <v>579</v>
      </c>
      <c r="C19" s="239"/>
      <c r="D19" s="240">
        <v>448417</v>
      </c>
      <c r="E19" s="239"/>
      <c r="F19" s="240"/>
      <c r="G19" s="239"/>
      <c r="H19" s="1"/>
    </row>
    <row r="20" spans="1:8">
      <c r="A20" s="192"/>
      <c r="B20" s="239" t="s">
        <v>580</v>
      </c>
      <c r="C20" s="239"/>
      <c r="D20" s="240">
        <v>0</v>
      </c>
      <c r="E20" s="239"/>
      <c r="F20" s="240"/>
      <c r="G20" s="239"/>
      <c r="H20" s="1"/>
    </row>
    <row r="21" spans="1:8">
      <c r="A21" s="192"/>
      <c r="B21" s="239" t="s">
        <v>581</v>
      </c>
      <c r="C21" s="239"/>
      <c r="D21" s="240">
        <v>273657</v>
      </c>
      <c r="E21" s="239"/>
      <c r="F21" s="240"/>
      <c r="G21" s="239"/>
      <c r="H21" s="1"/>
    </row>
    <row r="22" spans="1:8">
      <c r="A22" s="192"/>
      <c r="B22" s="241" t="s">
        <v>582</v>
      </c>
      <c r="C22" s="239"/>
      <c r="D22" s="240">
        <v>211458</v>
      </c>
      <c r="E22" s="239"/>
      <c r="F22" s="240"/>
      <c r="G22" s="239"/>
      <c r="H22" s="1"/>
    </row>
    <row r="23" spans="1:8">
      <c r="A23" s="192"/>
      <c r="B23" s="239" t="s">
        <v>583</v>
      </c>
      <c r="C23" s="239"/>
      <c r="D23" s="240">
        <v>1004344</v>
      </c>
      <c r="E23" s="239"/>
      <c r="F23" s="240"/>
      <c r="G23" s="239"/>
      <c r="H23" s="1"/>
    </row>
    <row r="24" spans="1:8">
      <c r="A24" s="192"/>
      <c r="B24" s="239" t="s">
        <v>584</v>
      </c>
      <c r="C24" s="239"/>
      <c r="D24" s="240">
        <v>3250</v>
      </c>
      <c r="E24" s="239"/>
      <c r="F24" s="240"/>
      <c r="G24" s="239"/>
      <c r="H24" s="1"/>
    </row>
    <row r="25" spans="1:8">
      <c r="A25" s="192"/>
      <c r="B25" s="239" t="s">
        <v>585</v>
      </c>
      <c r="C25" s="239"/>
      <c r="D25" s="240">
        <v>7906281</v>
      </c>
      <c r="E25" s="239"/>
      <c r="F25" s="240">
        <f>D25</f>
        <v>7906281</v>
      </c>
      <c r="G25" s="239"/>
      <c r="H25" s="1"/>
    </row>
    <row r="26" spans="1:8">
      <c r="A26" s="192"/>
      <c r="B26" s="239" t="s">
        <v>586</v>
      </c>
      <c r="C26" s="239"/>
      <c r="D26" s="240">
        <v>131015</v>
      </c>
      <c r="E26" s="239"/>
      <c r="F26" s="240">
        <f>D26*VLOOKUP("LABOR",ALLOCATORS,2,FALSE)</f>
        <v>9700.9292257713514</v>
      </c>
      <c r="G26" s="239" t="s">
        <v>587</v>
      </c>
      <c r="H26" s="1"/>
    </row>
    <row r="27" spans="1:8">
      <c r="A27" s="192"/>
      <c r="B27" s="239" t="s">
        <v>588</v>
      </c>
      <c r="C27" s="239"/>
      <c r="D27" s="240">
        <v>29909</v>
      </c>
      <c r="E27" s="239"/>
      <c r="F27" s="240">
        <f>D27*VLOOKUP("LABOR",ALLOCATORS,2,FALSE)</f>
        <v>2214.5944526473713</v>
      </c>
      <c r="G27" s="239" t="s">
        <v>587</v>
      </c>
      <c r="H27" s="1"/>
    </row>
    <row r="28" spans="1:8">
      <c r="A28" s="192"/>
      <c r="B28" s="239" t="s">
        <v>589</v>
      </c>
      <c r="C28" s="239"/>
      <c r="D28" s="240">
        <v>321709</v>
      </c>
      <c r="E28" s="239"/>
      <c r="F28" s="240">
        <f>D28*VLOOKUP("LABOR",ALLOCATORS,2,FALSE)</f>
        <v>23820.755182946043</v>
      </c>
      <c r="G28" s="239" t="s">
        <v>587</v>
      </c>
      <c r="H28" s="1"/>
    </row>
    <row r="29" spans="1:8">
      <c r="A29" s="192"/>
      <c r="B29" s="239" t="s">
        <v>590</v>
      </c>
      <c r="C29" s="239"/>
      <c r="D29" s="240">
        <v>0</v>
      </c>
      <c r="E29" s="239"/>
      <c r="F29" s="240"/>
      <c r="G29" s="239"/>
      <c r="H29" s="1"/>
    </row>
    <row r="30" spans="1:8" ht="4.5" customHeight="1">
      <c r="B30" s="43"/>
      <c r="D30" s="34"/>
      <c r="E30" s="34"/>
      <c r="F30" s="286"/>
      <c r="G30" s="1"/>
      <c r="H30" s="1"/>
    </row>
    <row r="31" spans="1:8" ht="13.5" thickBot="1">
      <c r="B31" s="93" t="s">
        <v>287</v>
      </c>
      <c r="C31" s="93"/>
      <c r="D31" s="287">
        <f>SUM(D11:D29)</f>
        <v>94423198</v>
      </c>
      <c r="E31" s="288"/>
      <c r="F31" s="287">
        <f>SUM(F11:F29)</f>
        <v>10617478.278861364</v>
      </c>
      <c r="G31" s="1"/>
      <c r="H31" s="1"/>
    </row>
    <row r="32" spans="1:8" ht="13.5" thickTop="1"/>
  </sheetData>
  <mergeCells count="5">
    <mergeCell ref="A8:H8"/>
    <mergeCell ref="G1:H1"/>
    <mergeCell ref="G3:H3"/>
    <mergeCell ref="A6:H6"/>
    <mergeCell ref="A7:H7"/>
  </mergeCells>
  <phoneticPr fontId="15" type="noConversion"/>
  <pageMargins left="0.75" right="0.75" top="1" bottom="1" header="0.5" footer="0.5"/>
  <pageSetup scale="8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89"/>
  <sheetViews>
    <sheetView workbookViewId="0">
      <selection activeCell="D31" sqref="D31"/>
    </sheetView>
  </sheetViews>
  <sheetFormatPr defaultRowHeight="12.75"/>
  <cols>
    <col min="1" max="1" width="1.7109375" style="191" customWidth="1"/>
    <col min="2" max="2" width="17.42578125" style="191" bestFit="1" customWidth="1"/>
    <col min="3" max="3" width="1.7109375" style="191" customWidth="1"/>
    <col min="4" max="4" width="42.28515625" style="191" customWidth="1"/>
    <col min="5" max="5" width="13.140625" style="191" bestFit="1" customWidth="1"/>
    <col min="6" max="6" width="14.42578125" style="191" bestFit="1" customWidth="1"/>
    <col min="7" max="7" width="15.140625" style="191" bestFit="1" customWidth="1"/>
    <col min="8" max="8" width="5.85546875" style="191" customWidth="1"/>
    <col min="9" max="16384" width="9.140625" style="191"/>
  </cols>
  <sheetData>
    <row r="1" spans="1:9" ht="15">
      <c r="G1" s="306" t="s">
        <v>194</v>
      </c>
      <c r="H1" s="306"/>
    </row>
    <row r="2" spans="1:9" ht="15">
      <c r="G2" s="206" t="s">
        <v>198</v>
      </c>
      <c r="H2" s="206"/>
    </row>
    <row r="3" spans="1:9">
      <c r="G3" s="330" t="str">
        <f>FF1_Year</f>
        <v>Year Ending 12/31/2010</v>
      </c>
      <c r="H3" s="330"/>
    </row>
    <row r="5" spans="1:9">
      <c r="A5" s="315" t="s">
        <v>135</v>
      </c>
      <c r="B5" s="315"/>
      <c r="C5" s="315"/>
      <c r="D5" s="315"/>
      <c r="E5" s="315"/>
      <c r="F5" s="315"/>
      <c r="G5" s="315"/>
      <c r="H5" s="315"/>
    </row>
    <row r="6" spans="1:9">
      <c r="A6" s="319" t="s">
        <v>389</v>
      </c>
      <c r="B6" s="319"/>
      <c r="C6" s="319"/>
      <c r="D6" s="319"/>
      <c r="E6" s="319"/>
      <c r="F6" s="319"/>
      <c r="G6" s="319"/>
      <c r="H6" s="319"/>
    </row>
    <row r="7" spans="1:9">
      <c r="A7" s="319" t="s">
        <v>482</v>
      </c>
      <c r="B7" s="319"/>
      <c r="C7" s="319"/>
      <c r="D7" s="319"/>
      <c r="E7" s="319"/>
      <c r="F7" s="319"/>
      <c r="G7" s="319"/>
      <c r="H7" s="319"/>
    </row>
    <row r="10" spans="1:9">
      <c r="B10" s="329" t="s">
        <v>118</v>
      </c>
      <c r="C10" s="208"/>
      <c r="D10" s="210" t="s">
        <v>119</v>
      </c>
      <c r="E10" s="210" t="s">
        <v>120</v>
      </c>
      <c r="F10" s="210" t="s">
        <v>121</v>
      </c>
      <c r="G10" s="210" t="s">
        <v>125</v>
      </c>
    </row>
    <row r="11" spans="1:9">
      <c r="B11" s="329"/>
      <c r="C11" s="208"/>
      <c r="D11" s="210" t="s">
        <v>122</v>
      </c>
      <c r="E11" s="210" t="s">
        <v>123</v>
      </c>
      <c r="F11" s="210" t="s">
        <v>124</v>
      </c>
      <c r="G11" s="210" t="s">
        <v>126</v>
      </c>
    </row>
    <row r="12" spans="1:9" ht="6.75" customHeight="1">
      <c r="B12" s="208"/>
      <c r="C12" s="208"/>
      <c r="D12" s="210"/>
      <c r="E12" s="210"/>
      <c r="F12" s="210"/>
      <c r="G12" s="210"/>
    </row>
    <row r="13" spans="1:9" ht="15">
      <c r="B13" s="192" t="s">
        <v>591</v>
      </c>
      <c r="C13" s="289"/>
      <c r="D13" s="289" t="s">
        <v>592</v>
      </c>
      <c r="E13" s="290" t="s">
        <v>593</v>
      </c>
      <c r="F13" s="290" t="s">
        <v>594</v>
      </c>
      <c r="G13" s="49">
        <v>16594</v>
      </c>
      <c r="I13" s="291"/>
    </row>
    <row r="14" spans="1:9" ht="15">
      <c r="B14" s="192" t="s">
        <v>595</v>
      </c>
      <c r="C14" s="289"/>
      <c r="D14" s="289" t="s">
        <v>596</v>
      </c>
      <c r="E14" s="290" t="s">
        <v>597</v>
      </c>
      <c r="F14" s="290" t="s">
        <v>598</v>
      </c>
      <c r="G14" s="49">
        <v>1586257</v>
      </c>
      <c r="I14" s="291"/>
    </row>
    <row r="15" spans="1:9" ht="15">
      <c r="B15" s="192" t="s">
        <v>599</v>
      </c>
      <c r="C15" s="289"/>
      <c r="D15" s="289" t="s">
        <v>600</v>
      </c>
      <c r="E15" s="290" t="s">
        <v>601</v>
      </c>
      <c r="F15" s="290" t="s">
        <v>602</v>
      </c>
      <c r="G15" s="49">
        <v>27657</v>
      </c>
      <c r="I15" s="291"/>
    </row>
    <row r="16" spans="1:9" ht="15">
      <c r="B16" s="192" t="s">
        <v>603</v>
      </c>
      <c r="C16" s="289"/>
      <c r="D16" s="289" t="s">
        <v>604</v>
      </c>
      <c r="E16" s="290" t="s">
        <v>601</v>
      </c>
      <c r="F16" s="290" t="s">
        <v>605</v>
      </c>
      <c r="G16" s="49">
        <v>320477</v>
      </c>
      <c r="I16" s="291"/>
    </row>
    <row r="17" spans="2:9" ht="15">
      <c r="B17" s="192" t="s">
        <v>606</v>
      </c>
      <c r="C17" s="289"/>
      <c r="D17" s="289" t="s">
        <v>607</v>
      </c>
      <c r="E17" s="290" t="s">
        <v>601</v>
      </c>
      <c r="F17" s="290" t="s">
        <v>608</v>
      </c>
      <c r="G17" s="49">
        <v>143096</v>
      </c>
      <c r="I17" s="291"/>
    </row>
    <row r="18" spans="2:9" ht="15">
      <c r="B18" s="192" t="s">
        <v>609</v>
      </c>
      <c r="C18" s="289"/>
      <c r="D18" s="289" t="s">
        <v>610</v>
      </c>
      <c r="E18" s="290" t="s">
        <v>601</v>
      </c>
      <c r="F18" s="290" t="s">
        <v>611</v>
      </c>
      <c r="G18" s="49">
        <v>8960</v>
      </c>
      <c r="I18" s="291"/>
    </row>
    <row r="19" spans="2:9" ht="15">
      <c r="B19" s="192" t="s">
        <v>612</v>
      </c>
      <c r="C19" s="289"/>
      <c r="D19" s="289" t="s">
        <v>613</v>
      </c>
      <c r="E19" s="290" t="s">
        <v>601</v>
      </c>
      <c r="F19" s="290" t="s">
        <v>614</v>
      </c>
      <c r="G19" s="49">
        <v>1671</v>
      </c>
      <c r="I19" s="291"/>
    </row>
    <row r="20" spans="2:9" ht="15">
      <c r="B20" s="192" t="s">
        <v>615</v>
      </c>
      <c r="C20" s="289"/>
      <c r="D20" s="289" t="s">
        <v>616</v>
      </c>
      <c r="E20" s="290" t="s">
        <v>601</v>
      </c>
      <c r="F20" s="290" t="s">
        <v>617</v>
      </c>
      <c r="G20" s="49">
        <v>1283</v>
      </c>
      <c r="I20" s="291"/>
    </row>
    <row r="21" spans="2:9" ht="15">
      <c r="B21" s="192" t="s">
        <v>618</v>
      </c>
      <c r="C21" s="289"/>
      <c r="D21" s="289" t="s">
        <v>619</v>
      </c>
      <c r="E21" s="290" t="s">
        <v>601</v>
      </c>
      <c r="F21" s="290" t="s">
        <v>620</v>
      </c>
      <c r="G21" s="49">
        <v>1109</v>
      </c>
      <c r="I21" s="291"/>
    </row>
    <row r="22" spans="2:9" ht="15">
      <c r="B22" s="192" t="s">
        <v>621</v>
      </c>
      <c r="C22" s="289"/>
      <c r="D22" s="289" t="s">
        <v>622</v>
      </c>
      <c r="E22" s="290" t="s">
        <v>601</v>
      </c>
      <c r="F22" s="290" t="s">
        <v>623</v>
      </c>
      <c r="G22" s="49">
        <v>3368</v>
      </c>
      <c r="I22" s="291"/>
    </row>
    <row r="23" spans="2:9" ht="15">
      <c r="B23" s="192" t="s">
        <v>624</v>
      </c>
      <c r="C23" s="289"/>
      <c r="D23" s="289" t="s">
        <v>625</v>
      </c>
      <c r="E23" s="290" t="s">
        <v>601</v>
      </c>
      <c r="F23" s="290" t="s">
        <v>626</v>
      </c>
      <c r="G23" s="49">
        <v>24355</v>
      </c>
      <c r="I23" s="291"/>
    </row>
    <row r="24" spans="2:9" ht="15">
      <c r="B24" s="192" t="s">
        <v>627</v>
      </c>
      <c r="C24" s="289"/>
      <c r="D24" s="289" t="s">
        <v>628</v>
      </c>
      <c r="E24" s="290" t="s">
        <v>601</v>
      </c>
      <c r="F24" s="290" t="s">
        <v>629</v>
      </c>
      <c r="G24" s="49">
        <v>0</v>
      </c>
      <c r="I24" s="291"/>
    </row>
    <row r="25" spans="2:9" ht="15">
      <c r="B25" s="192" t="s">
        <v>630</v>
      </c>
      <c r="C25" s="289"/>
      <c r="D25" s="289" t="s">
        <v>631</v>
      </c>
      <c r="E25" s="290" t="s">
        <v>593</v>
      </c>
      <c r="F25" s="290" t="s">
        <v>632</v>
      </c>
      <c r="G25" s="49">
        <v>274970</v>
      </c>
      <c r="I25" s="291"/>
    </row>
    <row r="26" spans="2:9" ht="15">
      <c r="B26" s="192" t="s">
        <v>633</v>
      </c>
      <c r="C26" s="289"/>
      <c r="D26" s="289" t="s">
        <v>634</v>
      </c>
      <c r="E26" s="290" t="s">
        <v>635</v>
      </c>
      <c r="F26" s="290" t="s">
        <v>636</v>
      </c>
      <c r="G26" s="49">
        <v>1070944</v>
      </c>
      <c r="I26" s="291"/>
    </row>
    <row r="27" spans="2:9" ht="15">
      <c r="B27" s="192" t="s">
        <v>637</v>
      </c>
      <c r="C27" s="289"/>
      <c r="D27" s="289" t="s">
        <v>638</v>
      </c>
      <c r="E27" s="290" t="s">
        <v>593</v>
      </c>
      <c r="F27" s="290" t="s">
        <v>639</v>
      </c>
      <c r="G27" s="49">
        <v>842952</v>
      </c>
      <c r="I27" s="291"/>
    </row>
    <row r="28" spans="2:9" ht="15">
      <c r="B28" s="192" t="s">
        <v>640</v>
      </c>
      <c r="C28" s="289"/>
      <c r="D28" s="289" t="s">
        <v>638</v>
      </c>
      <c r="E28" s="290" t="s">
        <v>601</v>
      </c>
      <c r="F28" s="290" t="s">
        <v>641</v>
      </c>
      <c r="G28" s="49">
        <v>165</v>
      </c>
      <c r="I28" s="291"/>
    </row>
    <row r="29" spans="2:9" ht="15">
      <c r="B29" s="192" t="s">
        <v>642</v>
      </c>
      <c r="C29" s="289"/>
      <c r="D29" s="289" t="s">
        <v>638</v>
      </c>
      <c r="E29" s="290" t="s">
        <v>643</v>
      </c>
      <c r="F29" s="290" t="s">
        <v>644</v>
      </c>
      <c r="G29" s="49">
        <v>0</v>
      </c>
      <c r="I29" s="291"/>
    </row>
    <row r="30" spans="2:9" ht="15">
      <c r="B30" s="192" t="s">
        <v>645</v>
      </c>
      <c r="C30" s="289"/>
      <c r="D30" s="289" t="s">
        <v>646</v>
      </c>
      <c r="E30" s="290" t="s">
        <v>593</v>
      </c>
      <c r="F30" s="290" t="s">
        <v>647</v>
      </c>
      <c r="G30" s="49">
        <v>131936</v>
      </c>
      <c r="I30" s="291"/>
    </row>
    <row r="31" spans="2:9" ht="15">
      <c r="B31" s="192" t="s">
        <v>648</v>
      </c>
      <c r="C31" s="289"/>
      <c r="D31" s="289" t="s">
        <v>649</v>
      </c>
      <c r="E31" s="290" t="s">
        <v>601</v>
      </c>
      <c r="F31" s="290" t="s">
        <v>650</v>
      </c>
      <c r="G31" s="49">
        <v>16906</v>
      </c>
      <c r="I31" s="291"/>
    </row>
    <row r="32" spans="2:9" ht="15">
      <c r="B32" s="192" t="s">
        <v>651</v>
      </c>
      <c r="C32" s="289"/>
      <c r="D32" s="289" t="s">
        <v>652</v>
      </c>
      <c r="E32" s="290" t="s">
        <v>597</v>
      </c>
      <c r="F32" s="290" t="s">
        <v>653</v>
      </c>
      <c r="G32" s="49">
        <v>523906</v>
      </c>
      <c r="I32" s="291"/>
    </row>
    <row r="33" spans="2:9" ht="15">
      <c r="B33" s="192" t="s">
        <v>654</v>
      </c>
      <c r="C33" s="289"/>
      <c r="D33" s="289" t="s">
        <v>655</v>
      </c>
      <c r="E33" s="290" t="s">
        <v>601</v>
      </c>
      <c r="F33" s="290" t="s">
        <v>656</v>
      </c>
      <c r="G33" s="49">
        <v>93938</v>
      </c>
      <c r="I33" s="291"/>
    </row>
    <row r="34" spans="2:9" ht="15">
      <c r="B34" s="192" t="s">
        <v>657</v>
      </c>
      <c r="C34" s="289"/>
      <c r="D34" s="289" t="s">
        <v>658</v>
      </c>
      <c r="E34" s="290" t="s">
        <v>593</v>
      </c>
      <c r="F34" s="290" t="s">
        <v>659</v>
      </c>
      <c r="G34" s="49">
        <v>105128</v>
      </c>
      <c r="I34" s="291"/>
    </row>
    <row r="35" spans="2:9" ht="15">
      <c r="B35" s="192" t="s">
        <v>660</v>
      </c>
      <c r="C35" s="289"/>
      <c r="D35" s="289" t="s">
        <v>658</v>
      </c>
      <c r="E35" s="290" t="s">
        <v>593</v>
      </c>
      <c r="F35" s="290" t="s">
        <v>661</v>
      </c>
      <c r="G35" s="49">
        <v>611851</v>
      </c>
      <c r="I35" s="291"/>
    </row>
    <row r="36" spans="2:9" ht="15">
      <c r="B36" s="192" t="s">
        <v>662</v>
      </c>
      <c r="C36" s="289"/>
      <c r="D36" s="289" t="s">
        <v>658</v>
      </c>
      <c r="E36" s="290" t="s">
        <v>601</v>
      </c>
      <c r="F36" s="290" t="s">
        <v>663</v>
      </c>
      <c r="G36" s="49">
        <v>20464</v>
      </c>
      <c r="I36" s="291"/>
    </row>
    <row r="37" spans="2:9" ht="15">
      <c r="B37" s="192" t="s">
        <v>664</v>
      </c>
      <c r="C37" s="289"/>
      <c r="D37" s="289" t="s">
        <v>665</v>
      </c>
      <c r="E37" s="290" t="s">
        <v>601</v>
      </c>
      <c r="F37" s="290" t="s">
        <v>666</v>
      </c>
      <c r="G37" s="49">
        <v>4741</v>
      </c>
      <c r="I37" s="291"/>
    </row>
    <row r="38" spans="2:9" ht="15">
      <c r="B38" s="192" t="s">
        <v>667</v>
      </c>
      <c r="C38" s="289"/>
      <c r="D38" s="289" t="s">
        <v>668</v>
      </c>
      <c r="E38" s="290" t="s">
        <v>593</v>
      </c>
      <c r="F38" s="290" t="s">
        <v>669</v>
      </c>
      <c r="G38" s="49">
        <v>549984</v>
      </c>
      <c r="I38" s="291"/>
    </row>
    <row r="39" spans="2:9" ht="15">
      <c r="B39" s="192" t="s">
        <v>670</v>
      </c>
      <c r="C39" s="289"/>
      <c r="D39" s="289" t="s">
        <v>671</v>
      </c>
      <c r="E39" s="290" t="s">
        <v>593</v>
      </c>
      <c r="F39" s="290" t="s">
        <v>672</v>
      </c>
      <c r="G39" s="49">
        <v>330628</v>
      </c>
      <c r="I39" s="291"/>
    </row>
    <row r="40" spans="2:9" ht="15">
      <c r="B40" s="192" t="s">
        <v>673</v>
      </c>
      <c r="C40" s="289"/>
      <c r="D40" s="289" t="s">
        <v>671</v>
      </c>
      <c r="E40" s="290" t="s">
        <v>601</v>
      </c>
      <c r="F40" s="290" t="s">
        <v>674</v>
      </c>
      <c r="G40" s="49">
        <v>26307</v>
      </c>
      <c r="I40" s="291"/>
    </row>
    <row r="41" spans="2:9" ht="15">
      <c r="B41" s="192" t="s">
        <v>675</v>
      </c>
      <c r="C41" s="289"/>
      <c r="D41" s="289" t="s">
        <v>676</v>
      </c>
      <c r="E41" s="290" t="s">
        <v>597</v>
      </c>
      <c r="F41" s="290" t="s">
        <v>677</v>
      </c>
      <c r="G41" s="49">
        <v>463041</v>
      </c>
      <c r="I41" s="291"/>
    </row>
    <row r="42" spans="2:9" ht="15">
      <c r="B42" s="192" t="s">
        <v>678</v>
      </c>
      <c r="C42" s="289"/>
      <c r="D42" s="289" t="s">
        <v>679</v>
      </c>
      <c r="E42" s="290" t="s">
        <v>601</v>
      </c>
      <c r="F42" s="290" t="s">
        <v>680</v>
      </c>
      <c r="G42" s="49">
        <v>62599</v>
      </c>
      <c r="I42" s="291"/>
    </row>
    <row r="43" spans="2:9" ht="15">
      <c r="B43" s="192" t="s">
        <v>681</v>
      </c>
      <c r="C43" s="289"/>
      <c r="D43" s="289" t="s">
        <v>682</v>
      </c>
      <c r="E43" s="290" t="s">
        <v>601</v>
      </c>
      <c r="F43" s="290" t="s">
        <v>683</v>
      </c>
      <c r="G43" s="49">
        <v>50339</v>
      </c>
      <c r="I43" s="291"/>
    </row>
    <row r="44" spans="2:9" ht="15">
      <c r="B44" s="192" t="s">
        <v>684</v>
      </c>
      <c r="C44" s="289"/>
      <c r="D44" s="289" t="s">
        <v>685</v>
      </c>
      <c r="E44" s="290" t="s">
        <v>593</v>
      </c>
      <c r="F44" s="290" t="s">
        <v>686</v>
      </c>
      <c r="G44" s="49">
        <v>0</v>
      </c>
      <c r="I44" s="291"/>
    </row>
    <row r="45" spans="2:9" ht="15">
      <c r="B45" s="192" t="s">
        <v>687</v>
      </c>
      <c r="C45" s="289"/>
      <c r="D45" s="289" t="s">
        <v>685</v>
      </c>
      <c r="E45" s="290" t="s">
        <v>601</v>
      </c>
      <c r="F45" s="290" t="s">
        <v>688</v>
      </c>
      <c r="G45" s="49">
        <v>30</v>
      </c>
      <c r="I45" s="291"/>
    </row>
    <row r="46" spans="2:9" ht="15">
      <c r="B46" s="192" t="s">
        <v>689</v>
      </c>
      <c r="C46" s="289"/>
      <c r="D46" s="289" t="s">
        <v>690</v>
      </c>
      <c r="E46" s="290" t="s">
        <v>643</v>
      </c>
      <c r="F46" s="290" t="s">
        <v>691</v>
      </c>
      <c r="G46" s="49">
        <v>318784</v>
      </c>
      <c r="I46" s="291"/>
    </row>
    <row r="47" spans="2:9" ht="15">
      <c r="B47" s="192" t="s">
        <v>692</v>
      </c>
      <c r="C47" s="289"/>
      <c r="D47" s="289" t="s">
        <v>690</v>
      </c>
      <c r="E47" s="290" t="s">
        <v>601</v>
      </c>
      <c r="F47" s="290" t="s">
        <v>693</v>
      </c>
      <c r="G47" s="49">
        <v>1443472</v>
      </c>
      <c r="I47" s="291"/>
    </row>
    <row r="48" spans="2:9" ht="15">
      <c r="B48" s="192" t="s">
        <v>694</v>
      </c>
      <c r="C48" s="289"/>
      <c r="D48" s="289" t="s">
        <v>690</v>
      </c>
      <c r="E48" s="290" t="s">
        <v>597</v>
      </c>
      <c r="F48" s="290" t="s">
        <v>695</v>
      </c>
      <c r="G48" s="49">
        <v>51114284</v>
      </c>
      <c r="I48" s="291"/>
    </row>
    <row r="49" spans="2:9" ht="15">
      <c r="B49" s="192" t="s">
        <v>696</v>
      </c>
      <c r="C49" s="289"/>
      <c r="D49" s="289" t="s">
        <v>697</v>
      </c>
      <c r="E49" s="290" t="s">
        <v>601</v>
      </c>
      <c r="F49" s="290" t="s">
        <v>698</v>
      </c>
      <c r="G49" s="49">
        <v>101</v>
      </c>
      <c r="I49" s="291"/>
    </row>
    <row r="50" spans="2:9" ht="15">
      <c r="B50" s="192" t="s">
        <v>699</v>
      </c>
      <c r="C50" s="289"/>
      <c r="D50" s="289" t="s">
        <v>700</v>
      </c>
      <c r="E50" s="290" t="s">
        <v>593</v>
      </c>
      <c r="F50" s="290" t="s">
        <v>701</v>
      </c>
      <c r="G50" s="49">
        <v>277194</v>
      </c>
      <c r="I50" s="291"/>
    </row>
    <row r="51" spans="2:9" ht="15">
      <c r="B51" s="192" t="s">
        <v>702</v>
      </c>
      <c r="C51" s="289"/>
      <c r="D51" s="289" t="s">
        <v>700</v>
      </c>
      <c r="E51" s="290" t="s">
        <v>593</v>
      </c>
      <c r="F51" s="290" t="s">
        <v>703</v>
      </c>
      <c r="G51" s="49">
        <v>263859</v>
      </c>
      <c r="I51" s="291"/>
    </row>
    <row r="52" spans="2:9" ht="15">
      <c r="B52" s="192" t="s">
        <v>704</v>
      </c>
      <c r="C52" s="289"/>
      <c r="D52" s="289" t="s">
        <v>700</v>
      </c>
      <c r="E52" s="290" t="s">
        <v>601</v>
      </c>
      <c r="F52" s="290" t="s">
        <v>705</v>
      </c>
      <c r="G52" s="49">
        <v>6986</v>
      </c>
      <c r="I52" s="291"/>
    </row>
    <row r="53" spans="2:9" ht="15">
      <c r="B53" s="192" t="s">
        <v>706</v>
      </c>
      <c r="C53" s="289"/>
      <c r="D53" s="289" t="s">
        <v>707</v>
      </c>
      <c r="E53" s="290" t="s">
        <v>593</v>
      </c>
      <c r="F53" s="290" t="s">
        <v>708</v>
      </c>
      <c r="G53" s="49">
        <v>4018655</v>
      </c>
      <c r="I53" s="291"/>
    </row>
    <row r="54" spans="2:9" ht="15">
      <c r="B54" s="192" t="s">
        <v>709</v>
      </c>
      <c r="C54" s="289"/>
      <c r="D54" s="289" t="s">
        <v>707</v>
      </c>
      <c r="E54" s="290" t="s">
        <v>601</v>
      </c>
      <c r="F54" s="290" t="s">
        <v>710</v>
      </c>
      <c r="G54" s="49">
        <v>192381</v>
      </c>
      <c r="I54" s="291"/>
    </row>
    <row r="55" spans="2:9" ht="15">
      <c r="B55" s="192" t="s">
        <v>711</v>
      </c>
      <c r="C55" s="289"/>
      <c r="D55" s="289" t="s">
        <v>707</v>
      </c>
      <c r="E55" s="290" t="s">
        <v>597</v>
      </c>
      <c r="F55" s="290" t="s">
        <v>712</v>
      </c>
      <c r="G55" s="49">
        <v>308670</v>
      </c>
      <c r="I55" s="291"/>
    </row>
    <row r="56" spans="2:9" ht="15">
      <c r="B56" s="192" t="s">
        <v>713</v>
      </c>
      <c r="C56" s="289"/>
      <c r="D56" s="289" t="s">
        <v>707</v>
      </c>
      <c r="E56" s="290" t="s">
        <v>643</v>
      </c>
      <c r="F56" s="290" t="s">
        <v>714</v>
      </c>
      <c r="G56" s="49">
        <v>151483</v>
      </c>
      <c r="I56" s="291"/>
    </row>
    <row r="57" spans="2:9" ht="15">
      <c r="B57" s="192" t="s">
        <v>715</v>
      </c>
      <c r="C57" s="289"/>
      <c r="D57" s="289" t="s">
        <v>716</v>
      </c>
      <c r="E57" s="290" t="s">
        <v>601</v>
      </c>
      <c r="F57" s="290" t="s">
        <v>717</v>
      </c>
      <c r="G57" s="49">
        <v>420</v>
      </c>
      <c r="I57" s="291"/>
    </row>
    <row r="58" spans="2:9" ht="15">
      <c r="B58" s="192" t="s">
        <v>718</v>
      </c>
      <c r="C58" s="289"/>
      <c r="D58" s="289" t="s">
        <v>719</v>
      </c>
      <c r="E58" s="290" t="s">
        <v>593</v>
      </c>
      <c r="F58" s="290" t="s">
        <v>720</v>
      </c>
      <c r="G58" s="49">
        <v>155322</v>
      </c>
      <c r="I58" s="291"/>
    </row>
    <row r="59" spans="2:9" ht="15">
      <c r="B59" s="192" t="s">
        <v>721</v>
      </c>
      <c r="C59" s="289"/>
      <c r="D59" s="289" t="s">
        <v>719</v>
      </c>
      <c r="E59" s="290" t="s">
        <v>593</v>
      </c>
      <c r="F59" s="290" t="s">
        <v>722</v>
      </c>
      <c r="G59" s="49">
        <v>2069149</v>
      </c>
      <c r="I59" s="291"/>
    </row>
    <row r="60" spans="2:9" ht="15">
      <c r="B60" s="192" t="s">
        <v>723</v>
      </c>
      <c r="C60" s="289"/>
      <c r="D60" s="289" t="s">
        <v>719</v>
      </c>
      <c r="E60" s="290" t="s">
        <v>643</v>
      </c>
      <c r="F60" s="290" t="s">
        <v>724</v>
      </c>
      <c r="G60" s="49">
        <v>0</v>
      </c>
      <c r="I60" s="291"/>
    </row>
    <row r="61" spans="2:9" ht="15">
      <c r="B61" s="192" t="s">
        <v>725</v>
      </c>
      <c r="C61" s="289"/>
      <c r="D61" s="289" t="s">
        <v>719</v>
      </c>
      <c r="E61" s="290" t="s">
        <v>643</v>
      </c>
      <c r="F61" s="290" t="s">
        <v>726</v>
      </c>
      <c r="G61" s="49">
        <v>5977</v>
      </c>
      <c r="I61" s="291"/>
    </row>
    <row r="62" spans="2:9" ht="15">
      <c r="B62" s="192" t="s">
        <v>727</v>
      </c>
      <c r="C62" s="289"/>
      <c r="D62" s="289" t="s">
        <v>719</v>
      </c>
      <c r="E62" s="290" t="s">
        <v>601</v>
      </c>
      <c r="F62" s="290" t="s">
        <v>728</v>
      </c>
      <c r="G62" s="49">
        <v>273890</v>
      </c>
      <c r="I62" s="291"/>
    </row>
    <row r="63" spans="2:9" ht="15">
      <c r="B63" s="192" t="s">
        <v>729</v>
      </c>
      <c r="C63" s="289"/>
      <c r="D63" s="289" t="s">
        <v>730</v>
      </c>
      <c r="E63" s="290" t="s">
        <v>597</v>
      </c>
      <c r="F63" s="290" t="s">
        <v>731</v>
      </c>
      <c r="G63" s="49">
        <v>180738</v>
      </c>
      <c r="I63" s="291"/>
    </row>
    <row r="64" spans="2:9" ht="15">
      <c r="B64" s="192" t="s">
        <v>732</v>
      </c>
      <c r="C64" s="289"/>
      <c r="D64" s="289" t="s">
        <v>733</v>
      </c>
      <c r="E64" s="290" t="s">
        <v>597</v>
      </c>
      <c r="F64" s="290" t="s">
        <v>734</v>
      </c>
      <c r="G64" s="49">
        <v>2246370</v>
      </c>
      <c r="I64" s="291"/>
    </row>
    <row r="65" spans="2:9" ht="15">
      <c r="B65" s="192" t="s">
        <v>735</v>
      </c>
      <c r="C65" s="289"/>
      <c r="D65" s="289" t="s">
        <v>736</v>
      </c>
      <c r="E65" s="290" t="s">
        <v>601</v>
      </c>
      <c r="F65" s="290" t="s">
        <v>737</v>
      </c>
      <c r="G65" s="49">
        <v>-113685</v>
      </c>
      <c r="I65" s="291"/>
    </row>
    <row r="66" spans="2:9" ht="15">
      <c r="B66" s="192" t="s">
        <v>738</v>
      </c>
      <c r="C66" s="289"/>
      <c r="D66" s="289" t="s">
        <v>739</v>
      </c>
      <c r="E66" s="290" t="s">
        <v>740</v>
      </c>
      <c r="F66" s="290" t="s">
        <v>623</v>
      </c>
      <c r="G66" s="49">
        <v>3774990</v>
      </c>
      <c r="I66" s="291"/>
    </row>
    <row r="67" spans="2:9" ht="15">
      <c r="B67" s="192" t="s">
        <v>741</v>
      </c>
      <c r="C67" s="289"/>
      <c r="D67" s="289" t="s">
        <v>742</v>
      </c>
      <c r="E67" s="290" t="s">
        <v>740</v>
      </c>
      <c r="F67" s="290" t="s">
        <v>743</v>
      </c>
      <c r="G67" s="49">
        <v>1351548</v>
      </c>
      <c r="I67" s="291"/>
    </row>
    <row r="68" spans="2:9" ht="15">
      <c r="B68" s="192" t="s">
        <v>744</v>
      </c>
      <c r="C68" s="289"/>
      <c r="D68" s="289" t="s">
        <v>745</v>
      </c>
      <c r="E68" s="290" t="s">
        <v>740</v>
      </c>
      <c r="F68" s="290" t="s">
        <v>743</v>
      </c>
      <c r="G68" s="49">
        <v>0</v>
      </c>
      <c r="I68" s="291"/>
    </row>
    <row r="69" spans="2:9" ht="15">
      <c r="B69" s="192" t="s">
        <v>746</v>
      </c>
      <c r="C69" s="289"/>
      <c r="D69" s="289" t="s">
        <v>747</v>
      </c>
      <c r="E69" s="290" t="s">
        <v>740</v>
      </c>
      <c r="F69" s="290" t="s">
        <v>743</v>
      </c>
      <c r="G69" s="49">
        <v>325288</v>
      </c>
      <c r="I69" s="291"/>
    </row>
    <row r="70" spans="2:9" ht="15">
      <c r="B70" s="192" t="s">
        <v>748</v>
      </c>
      <c r="C70" s="289"/>
      <c r="D70" s="289" t="s">
        <v>749</v>
      </c>
      <c r="E70" s="290" t="s">
        <v>601</v>
      </c>
      <c r="F70" s="290" t="s">
        <v>750</v>
      </c>
      <c r="G70" s="49">
        <v>12858</v>
      </c>
      <c r="I70" s="291"/>
    </row>
    <row r="71" spans="2:9" ht="15">
      <c r="B71" s="192" t="s">
        <v>751</v>
      </c>
      <c r="C71" s="289"/>
      <c r="D71" s="289" t="s">
        <v>752</v>
      </c>
      <c r="E71" s="290" t="s">
        <v>740</v>
      </c>
      <c r="F71" s="290" t="s">
        <v>743</v>
      </c>
      <c r="G71" s="49">
        <v>0</v>
      </c>
      <c r="I71" s="291"/>
    </row>
    <row r="72" spans="2:9" ht="15">
      <c r="B72" s="192" t="s">
        <v>753</v>
      </c>
      <c r="C72" s="289"/>
      <c r="D72" s="289" t="s">
        <v>754</v>
      </c>
      <c r="E72" s="290" t="s">
        <v>601</v>
      </c>
      <c r="F72" s="290" t="s">
        <v>743</v>
      </c>
      <c r="G72" s="49">
        <v>0</v>
      </c>
      <c r="I72" s="291"/>
    </row>
    <row r="73" spans="2:9" ht="15">
      <c r="B73" s="192" t="s">
        <v>755</v>
      </c>
      <c r="C73" s="289"/>
      <c r="D73" s="289" t="s">
        <v>756</v>
      </c>
      <c r="E73" s="290" t="s">
        <v>601</v>
      </c>
      <c r="F73" s="290" t="s">
        <v>743</v>
      </c>
      <c r="G73" s="49">
        <v>2121</v>
      </c>
      <c r="I73" s="291"/>
    </row>
    <row r="74" spans="2:9" ht="15">
      <c r="B74" s="192" t="s">
        <v>757</v>
      </c>
      <c r="C74" s="289"/>
      <c r="D74" s="289" t="s">
        <v>758</v>
      </c>
      <c r="E74" s="290" t="s">
        <v>601</v>
      </c>
      <c r="F74" s="290" t="s">
        <v>759</v>
      </c>
      <c r="G74" s="49">
        <v>0</v>
      </c>
      <c r="I74" s="291"/>
    </row>
    <row r="75" spans="2:9" ht="15">
      <c r="B75" s="192" t="s">
        <v>760</v>
      </c>
      <c r="C75" s="289"/>
      <c r="D75" s="289" t="s">
        <v>761</v>
      </c>
      <c r="E75" s="290" t="s">
        <v>601</v>
      </c>
      <c r="F75" s="290" t="s">
        <v>762</v>
      </c>
      <c r="G75" s="49">
        <v>0</v>
      </c>
      <c r="I75" s="291"/>
    </row>
    <row r="76" spans="2:9" ht="15">
      <c r="B76" s="192" t="s">
        <v>763</v>
      </c>
      <c r="C76" s="289"/>
      <c r="D76" s="289" t="s">
        <v>764</v>
      </c>
      <c r="E76" s="290" t="s">
        <v>601</v>
      </c>
      <c r="F76" s="290" t="s">
        <v>743</v>
      </c>
      <c r="G76" s="49">
        <v>0</v>
      </c>
      <c r="I76" s="291"/>
    </row>
    <row r="77" spans="2:9" ht="6.75" customHeight="1" thickBot="1">
      <c r="B77" s="208"/>
      <c r="C77" s="208"/>
      <c r="D77" s="210"/>
      <c r="E77" s="210"/>
      <c r="F77" s="210"/>
      <c r="G77" s="210"/>
    </row>
    <row r="78" spans="2:9" ht="13.5" thickTop="1">
      <c r="D78" s="3" t="s">
        <v>127</v>
      </c>
      <c r="E78" s="3"/>
      <c r="F78" s="3"/>
      <c r="G78" s="94">
        <f>SUM(G13:G76)</f>
        <v>75696511</v>
      </c>
    </row>
    <row r="79" spans="2:9" ht="6.75" customHeight="1">
      <c r="G79" s="192"/>
    </row>
    <row r="80" spans="2:9">
      <c r="D80" s="3" t="s">
        <v>219</v>
      </c>
      <c r="E80" s="3"/>
      <c r="F80" s="3"/>
      <c r="G80" s="181">
        <f>SUMIF($E$13:$E$76,"NF",$G$13:$G$76)</f>
        <v>2626009</v>
      </c>
    </row>
    <row r="81" spans="4:7">
      <c r="D81" s="3" t="s">
        <v>298</v>
      </c>
      <c r="G81" s="181">
        <f>SUMIF($E$13:$E$76,"SFP",$G$13:$G$76)</f>
        <v>476244</v>
      </c>
    </row>
    <row r="82" spans="4:7" ht="4.5" customHeight="1">
      <c r="G82" s="192"/>
    </row>
    <row r="83" spans="4:7">
      <c r="D83" s="3" t="s">
        <v>260</v>
      </c>
      <c r="G83" s="95">
        <f>G80+G81</f>
        <v>3102253</v>
      </c>
    </row>
    <row r="84" spans="4:7" ht="3.75" customHeight="1">
      <c r="D84" s="3"/>
      <c r="G84" s="95"/>
    </row>
    <row r="85" spans="4:7">
      <c r="D85" s="46" t="s">
        <v>297</v>
      </c>
      <c r="E85" s="192"/>
      <c r="F85" s="192"/>
      <c r="G85" s="95">
        <v>-390803</v>
      </c>
    </row>
    <row r="86" spans="4:7" ht="13.5" thickBot="1">
      <c r="D86" s="46" t="s">
        <v>765</v>
      </c>
      <c r="E86" s="192"/>
      <c r="F86" s="192"/>
      <c r="G86" s="292">
        <v>-247741</v>
      </c>
    </row>
    <row r="87" spans="4:7">
      <c r="D87" s="192"/>
      <c r="E87" s="192"/>
      <c r="F87" s="192"/>
      <c r="G87" s="192"/>
    </row>
    <row r="88" spans="4:7">
      <c r="D88" s="46" t="s">
        <v>262</v>
      </c>
      <c r="E88" s="192"/>
      <c r="F88" s="192"/>
      <c r="G88" s="95">
        <f>G83+G85+G86</f>
        <v>2463709</v>
      </c>
    </row>
    <row r="89" spans="4:7">
      <c r="G89" s="192"/>
    </row>
  </sheetData>
  <mergeCells count="6">
    <mergeCell ref="B10:B11"/>
    <mergeCell ref="G1:H1"/>
    <mergeCell ref="G3:H3"/>
    <mergeCell ref="A5:H5"/>
    <mergeCell ref="A6:H6"/>
    <mergeCell ref="A7:H7"/>
  </mergeCells>
  <phoneticPr fontId="0" type="noConversion"/>
  <printOptions horizontalCentered="1"/>
  <pageMargins left="0.5" right="0.5" top="0.5" bottom="0.5" header="0.5" footer="0.5"/>
  <pageSetup scale="58"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J61"/>
  <sheetViews>
    <sheetView workbookViewId="0">
      <selection activeCell="I2" sqref="I2"/>
    </sheetView>
  </sheetViews>
  <sheetFormatPr defaultRowHeight="12.75"/>
  <cols>
    <col min="1" max="1" width="5.7109375" style="191" customWidth="1"/>
    <col min="2" max="2" width="18.7109375" style="191" customWidth="1"/>
    <col min="3" max="3" width="9.140625" style="191"/>
    <col min="4" max="4" width="5.7109375" style="191" customWidth="1"/>
    <col min="5" max="5" width="11" style="191" bestFit="1" customWidth="1"/>
    <col min="6" max="6" width="5.7109375" style="191" customWidth="1"/>
    <col min="7" max="7" width="13.7109375" style="191" customWidth="1"/>
    <col min="8" max="8" width="5.7109375" style="191" customWidth="1"/>
    <col min="9" max="9" width="14.85546875" style="191" customWidth="1"/>
    <col min="10" max="10" width="5.7109375" style="191" customWidth="1"/>
    <col min="11" max="16384" width="9.140625" style="191"/>
  </cols>
  <sheetData>
    <row r="1" spans="1:10" ht="15">
      <c r="I1" s="306" t="s">
        <v>390</v>
      </c>
      <c r="J1" s="306"/>
    </row>
    <row r="2" spans="1:10" ht="15">
      <c r="I2" s="293" t="s">
        <v>391</v>
      </c>
      <c r="J2" s="206"/>
    </row>
    <row r="3" spans="1:10">
      <c r="I3" s="330" t="str">
        <f>FF1_Year</f>
        <v>Year Ending 12/31/2010</v>
      </c>
      <c r="J3" s="330"/>
    </row>
    <row r="5" spans="1:10">
      <c r="A5" s="315" t="s">
        <v>135</v>
      </c>
      <c r="B5" s="315"/>
      <c r="C5" s="315"/>
      <c r="D5" s="315"/>
      <c r="E5" s="315"/>
      <c r="F5" s="315"/>
      <c r="G5" s="315"/>
      <c r="H5" s="315"/>
      <c r="I5" s="315"/>
      <c r="J5" s="315"/>
    </row>
    <row r="6" spans="1:10">
      <c r="A6" s="319" t="s">
        <v>155</v>
      </c>
      <c r="B6" s="319"/>
      <c r="C6" s="319"/>
      <c r="D6" s="319"/>
      <c r="E6" s="319"/>
      <c r="F6" s="319"/>
      <c r="G6" s="319"/>
      <c r="H6" s="319"/>
      <c r="I6" s="319"/>
      <c r="J6" s="319"/>
    </row>
    <row r="8" spans="1:10">
      <c r="B8" s="242"/>
      <c r="C8" s="242"/>
      <c r="D8" s="242"/>
      <c r="E8" s="242"/>
      <c r="F8" s="242"/>
      <c r="G8" s="242"/>
      <c r="H8" s="242"/>
      <c r="I8" s="242"/>
      <c r="J8" s="242"/>
    </row>
    <row r="9" spans="1:10">
      <c r="B9" s="242"/>
      <c r="C9" s="242"/>
      <c r="D9" s="242"/>
      <c r="E9" s="243" t="s">
        <v>142</v>
      </c>
      <c r="F9" s="243"/>
      <c r="G9" s="243"/>
      <c r="H9" s="243"/>
      <c r="I9" s="242"/>
      <c r="J9" s="242"/>
    </row>
    <row r="10" spans="1:10">
      <c r="B10" s="244" t="s">
        <v>143</v>
      </c>
      <c r="C10" s="245" t="s">
        <v>222</v>
      </c>
      <c r="D10" s="242"/>
      <c r="E10" s="246" t="s">
        <v>221</v>
      </c>
      <c r="F10" s="247"/>
      <c r="G10" s="248" t="s">
        <v>144</v>
      </c>
      <c r="H10" s="248"/>
      <c r="I10" s="248" t="s">
        <v>154</v>
      </c>
    </row>
    <row r="11" spans="1:10">
      <c r="B11" s="249" t="s">
        <v>145</v>
      </c>
      <c r="C11" s="249" t="s">
        <v>766</v>
      </c>
      <c r="D11" s="249"/>
      <c r="E11" s="249" t="s">
        <v>767</v>
      </c>
      <c r="F11" s="249"/>
      <c r="G11" s="250">
        <v>261250</v>
      </c>
      <c r="H11" s="250"/>
      <c r="I11" s="251">
        <v>1994</v>
      </c>
    </row>
    <row r="12" spans="1:10">
      <c r="B12" s="249"/>
      <c r="C12" s="249"/>
      <c r="D12" s="249"/>
      <c r="E12" s="249"/>
      <c r="F12" s="249"/>
      <c r="G12" s="252">
        <f>1415+5599+19859</f>
        <v>26873</v>
      </c>
      <c r="H12" s="252"/>
      <c r="I12" s="251">
        <v>1994</v>
      </c>
    </row>
    <row r="13" spans="1:10">
      <c r="B13" s="249"/>
      <c r="C13" s="249" t="s">
        <v>768</v>
      </c>
      <c r="D13" s="249"/>
      <c r="E13" s="249" t="s">
        <v>769</v>
      </c>
      <c r="F13" s="249"/>
      <c r="G13" s="252">
        <v>616305</v>
      </c>
      <c r="H13" s="252"/>
      <c r="I13" s="251">
        <v>1994</v>
      </c>
    </row>
    <row r="14" spans="1:10">
      <c r="B14" s="249"/>
      <c r="C14" s="249"/>
      <c r="D14" s="249"/>
      <c r="E14" s="249"/>
      <c r="F14" s="249"/>
      <c r="G14" s="252">
        <f>61413+28216+1434</f>
        <v>91063</v>
      </c>
      <c r="H14" s="252"/>
      <c r="I14" s="251">
        <v>1994</v>
      </c>
    </row>
    <row r="15" spans="1:10">
      <c r="B15" s="249"/>
      <c r="C15" s="249"/>
      <c r="D15" s="249"/>
      <c r="E15" s="249"/>
      <c r="F15" s="249"/>
      <c r="G15" s="253">
        <f>SUM(G11:G14)</f>
        <v>995491</v>
      </c>
      <c r="H15" s="254"/>
      <c r="I15" s="251"/>
    </row>
    <row r="16" spans="1:10">
      <c r="B16" s="249"/>
      <c r="C16" s="249"/>
      <c r="D16" s="249"/>
      <c r="E16" s="249"/>
      <c r="F16" s="249"/>
      <c r="G16" s="252"/>
      <c r="H16" s="252"/>
      <c r="I16" s="251"/>
    </row>
    <row r="17" spans="2:9">
      <c r="B17" s="249" t="s">
        <v>146</v>
      </c>
      <c r="C17" s="249" t="s">
        <v>766</v>
      </c>
      <c r="D17" s="249"/>
      <c r="E17" s="255" t="s">
        <v>770</v>
      </c>
      <c r="F17" s="255"/>
      <c r="G17" s="252">
        <v>624845</v>
      </c>
      <c r="H17" s="252"/>
      <c r="I17" s="251">
        <v>1980</v>
      </c>
    </row>
    <row r="18" spans="2:9">
      <c r="B18" s="249"/>
      <c r="C18" s="249" t="s">
        <v>768</v>
      </c>
      <c r="D18" s="249"/>
      <c r="E18" s="255" t="s">
        <v>771</v>
      </c>
      <c r="F18" s="255"/>
      <c r="G18" s="252">
        <v>624845</v>
      </c>
      <c r="H18" s="252"/>
      <c r="I18" s="251">
        <v>1980</v>
      </c>
    </row>
    <row r="19" spans="2:9">
      <c r="B19" s="249"/>
      <c r="C19" s="249"/>
      <c r="D19" s="249"/>
      <c r="E19" s="249"/>
      <c r="F19" s="249"/>
      <c r="G19" s="253">
        <f>SUM(G17:G18)</f>
        <v>1249690</v>
      </c>
      <c r="H19" s="254"/>
      <c r="I19" s="251"/>
    </row>
    <row r="20" spans="2:9">
      <c r="B20" s="249"/>
      <c r="C20" s="249"/>
      <c r="D20" s="249"/>
      <c r="E20" s="249"/>
      <c r="F20" s="249"/>
      <c r="G20" s="252"/>
      <c r="H20" s="252"/>
      <c r="I20" s="251"/>
    </row>
    <row r="21" spans="2:9">
      <c r="B21" s="249" t="s">
        <v>147</v>
      </c>
      <c r="C21" s="249" t="s">
        <v>772</v>
      </c>
      <c r="D21" s="249"/>
      <c r="E21" s="249" t="s">
        <v>773</v>
      </c>
      <c r="F21" s="249"/>
      <c r="G21" s="252">
        <f>18207196/1200*500</f>
        <v>7586331.666666667</v>
      </c>
      <c r="H21" s="252"/>
      <c r="I21" s="251">
        <v>2009</v>
      </c>
    </row>
    <row r="22" spans="2:9">
      <c r="B22" s="249"/>
      <c r="C22" s="249" t="s">
        <v>772</v>
      </c>
      <c r="D22" s="249"/>
      <c r="E22" s="249" t="s">
        <v>774</v>
      </c>
      <c r="F22" s="249"/>
      <c r="G22" s="252">
        <f>18207196/1200*175</f>
        <v>2655216.0833333335</v>
      </c>
      <c r="H22" s="252"/>
      <c r="I22" s="251">
        <v>2009</v>
      </c>
    </row>
    <row r="23" spans="2:9">
      <c r="B23" s="249"/>
      <c r="C23" s="249" t="s">
        <v>772</v>
      </c>
      <c r="D23" s="249"/>
      <c r="E23" s="249" t="s">
        <v>775</v>
      </c>
      <c r="F23" s="249"/>
      <c r="G23" s="252">
        <f>18207196/1200*175</f>
        <v>2655216.0833333335</v>
      </c>
      <c r="H23" s="252"/>
      <c r="I23" s="251">
        <v>2009</v>
      </c>
    </row>
    <row r="24" spans="2:9">
      <c r="B24" s="249"/>
      <c r="C24" s="249" t="s">
        <v>772</v>
      </c>
      <c r="D24" s="249"/>
      <c r="E24" s="256" t="s">
        <v>776</v>
      </c>
      <c r="F24" s="255"/>
      <c r="G24" s="252">
        <f>18207196/1200*175</f>
        <v>2655216.0833333335</v>
      </c>
      <c r="H24" s="252"/>
      <c r="I24" s="251">
        <v>2009</v>
      </c>
    </row>
    <row r="25" spans="2:9">
      <c r="B25" s="249"/>
      <c r="C25" s="249" t="s">
        <v>772</v>
      </c>
      <c r="D25" s="249"/>
      <c r="E25" s="256" t="s">
        <v>777</v>
      </c>
      <c r="F25" s="255"/>
      <c r="G25" s="252">
        <f>18207196/1200*175</f>
        <v>2655216.0833333335</v>
      </c>
      <c r="H25" s="252"/>
      <c r="I25" s="251">
        <v>2009</v>
      </c>
    </row>
    <row r="26" spans="2:9">
      <c r="B26" s="249"/>
      <c r="C26" s="249"/>
      <c r="D26" s="249"/>
      <c r="E26" s="249"/>
      <c r="F26" s="249"/>
      <c r="G26" s="252"/>
      <c r="H26" s="252"/>
      <c r="I26" s="251"/>
    </row>
    <row r="27" spans="2:9">
      <c r="B27" s="249"/>
      <c r="C27" s="249" t="s">
        <v>778</v>
      </c>
      <c r="D27" s="249"/>
      <c r="E27" s="255" t="s">
        <v>770</v>
      </c>
      <c r="F27" s="255"/>
      <c r="G27" s="252">
        <v>185875</v>
      </c>
      <c r="H27" s="252"/>
      <c r="I27" s="251">
        <v>1972</v>
      </c>
    </row>
    <row r="28" spans="2:9">
      <c r="B28" s="249"/>
      <c r="C28" s="249" t="s">
        <v>766</v>
      </c>
      <c r="D28" s="249"/>
      <c r="E28" s="255" t="s">
        <v>779</v>
      </c>
      <c r="F28" s="255"/>
      <c r="G28" s="252">
        <v>185875</v>
      </c>
      <c r="H28" s="252"/>
      <c r="I28" s="251">
        <v>1972</v>
      </c>
    </row>
    <row r="29" spans="2:9">
      <c r="B29" s="249"/>
      <c r="C29" s="249"/>
      <c r="D29" s="249"/>
      <c r="E29" s="249"/>
      <c r="F29" s="249"/>
      <c r="G29" s="253">
        <f>SUM(G21:G28)</f>
        <v>18578946</v>
      </c>
      <c r="H29" s="254"/>
      <c r="I29" s="251"/>
    </row>
    <row r="30" spans="2:9">
      <c r="B30" s="249"/>
      <c r="C30" s="249"/>
      <c r="D30" s="249"/>
      <c r="E30" s="249"/>
      <c r="F30" s="249"/>
      <c r="G30" s="252"/>
      <c r="H30" s="252"/>
      <c r="I30" s="251"/>
    </row>
    <row r="31" spans="2:9">
      <c r="B31" s="249" t="s">
        <v>148</v>
      </c>
      <c r="C31" s="249" t="s">
        <v>780</v>
      </c>
      <c r="D31" s="249"/>
      <c r="E31" s="255" t="s">
        <v>770</v>
      </c>
      <c r="F31" s="255"/>
      <c r="G31" s="252">
        <v>159328</v>
      </c>
      <c r="H31" s="252"/>
      <c r="I31" s="251">
        <v>1969</v>
      </c>
    </row>
    <row r="32" spans="2:9">
      <c r="B32" s="249"/>
      <c r="C32" s="249"/>
      <c r="D32" s="249"/>
      <c r="E32" s="249"/>
      <c r="F32" s="249"/>
      <c r="G32" s="252">
        <f>608+608+608+1954+1954+1953</f>
        <v>7685</v>
      </c>
      <c r="H32" s="252"/>
      <c r="I32" s="251">
        <v>1983</v>
      </c>
    </row>
    <row r="33" spans="2:9">
      <c r="B33" s="249"/>
      <c r="C33" s="249" t="s">
        <v>781</v>
      </c>
      <c r="D33" s="249"/>
      <c r="E33" s="255" t="s">
        <v>779</v>
      </c>
      <c r="F33" s="255"/>
      <c r="G33" s="252">
        <v>186947</v>
      </c>
      <c r="H33" s="252"/>
      <c r="I33" s="251">
        <v>1973</v>
      </c>
    </row>
    <row r="34" spans="2:9">
      <c r="B34" s="249"/>
      <c r="C34" s="249"/>
      <c r="D34" s="249"/>
      <c r="E34" s="249"/>
      <c r="F34" s="249"/>
      <c r="G34" s="252">
        <f>2596+7472</f>
        <v>10068</v>
      </c>
      <c r="H34" s="252"/>
      <c r="I34" s="251">
        <v>1984</v>
      </c>
    </row>
    <row r="35" spans="2:9">
      <c r="B35" s="249"/>
      <c r="C35" s="249"/>
      <c r="D35" s="249"/>
      <c r="E35" s="249" t="s">
        <v>782</v>
      </c>
      <c r="F35" s="249"/>
      <c r="G35" s="252">
        <v>186947</v>
      </c>
      <c r="H35" s="252"/>
      <c r="I35" s="251">
        <v>1973</v>
      </c>
    </row>
    <row r="36" spans="2:9">
      <c r="B36" s="249"/>
      <c r="C36" s="249"/>
      <c r="D36" s="249"/>
      <c r="E36" s="249"/>
      <c r="F36" s="249"/>
      <c r="G36" s="253">
        <f>SUM(G31:G35)</f>
        <v>550975</v>
      </c>
      <c r="H36" s="254"/>
      <c r="I36" s="251"/>
    </row>
    <row r="37" spans="2:9">
      <c r="B37" s="249"/>
      <c r="C37" s="249"/>
      <c r="D37" s="249"/>
      <c r="E37" s="249"/>
      <c r="F37" s="249"/>
      <c r="G37" s="252"/>
      <c r="H37" s="252"/>
      <c r="I37" s="251"/>
    </row>
    <row r="38" spans="2:9">
      <c r="B38" s="249" t="s">
        <v>149</v>
      </c>
      <c r="C38" s="249" t="s">
        <v>783</v>
      </c>
      <c r="D38" s="249"/>
      <c r="E38" s="255" t="s">
        <v>784</v>
      </c>
      <c r="F38" s="255"/>
      <c r="G38" s="252">
        <f>45746+45746+45746+45746</f>
        <v>182984</v>
      </c>
      <c r="H38" s="252"/>
      <c r="I38" s="251">
        <v>1953</v>
      </c>
    </row>
    <row r="39" spans="2:9">
      <c r="B39" s="249"/>
      <c r="C39" s="249" t="s">
        <v>785</v>
      </c>
      <c r="D39" s="249"/>
      <c r="E39" s="255" t="s">
        <v>786</v>
      </c>
      <c r="F39" s="255"/>
      <c r="G39" s="252">
        <f>46543+46543+46543</f>
        <v>139629</v>
      </c>
      <c r="H39" s="252"/>
      <c r="I39" s="251">
        <v>1954</v>
      </c>
    </row>
    <row r="40" spans="2:9">
      <c r="B40" s="249"/>
      <c r="C40" s="249" t="s">
        <v>787</v>
      </c>
      <c r="D40" s="249"/>
      <c r="E40" s="255" t="s">
        <v>788</v>
      </c>
      <c r="F40" s="255"/>
      <c r="G40" s="252">
        <v>225390</v>
      </c>
      <c r="H40" s="252"/>
      <c r="I40" s="251">
        <v>1956</v>
      </c>
    </row>
    <row r="41" spans="2:9">
      <c r="B41" s="249"/>
      <c r="C41" s="249"/>
      <c r="D41" s="249"/>
      <c r="E41" s="249"/>
      <c r="F41" s="249"/>
      <c r="G41" s="253">
        <f>SUM(G38:G40)</f>
        <v>548003</v>
      </c>
      <c r="H41" s="254"/>
      <c r="I41" s="251"/>
    </row>
    <row r="42" spans="2:9">
      <c r="B42" s="249"/>
      <c r="C42" s="249"/>
      <c r="D42" s="249"/>
      <c r="E42" s="249"/>
      <c r="F42" s="249"/>
      <c r="G42" s="252"/>
      <c r="H42" s="252"/>
      <c r="I42" s="251"/>
    </row>
    <row r="43" spans="2:9">
      <c r="B43" s="249"/>
      <c r="C43" s="249"/>
      <c r="D43" s="249"/>
      <c r="E43" s="249"/>
      <c r="F43" s="249"/>
      <c r="G43" s="252"/>
      <c r="H43" s="252"/>
      <c r="I43" s="251"/>
    </row>
    <row r="44" spans="2:9">
      <c r="B44" s="249" t="s">
        <v>150</v>
      </c>
      <c r="C44" s="249" t="s">
        <v>787</v>
      </c>
      <c r="D44" s="249"/>
      <c r="E44" s="249" t="s">
        <v>789</v>
      </c>
      <c r="F44" s="249"/>
      <c r="G44" s="252">
        <v>68993</v>
      </c>
      <c r="H44" s="252"/>
      <c r="I44" s="251">
        <v>1970</v>
      </c>
    </row>
    <row r="45" spans="2:9">
      <c r="B45" s="249"/>
      <c r="C45" s="249"/>
      <c r="D45" s="249"/>
      <c r="E45" s="249"/>
      <c r="F45" s="249"/>
      <c r="G45" s="253">
        <f>SUM(G44:G44)</f>
        <v>68993</v>
      </c>
      <c r="H45" s="254"/>
      <c r="I45" s="251"/>
    </row>
    <row r="46" spans="2:9">
      <c r="B46" s="249"/>
      <c r="C46" s="249"/>
      <c r="D46" s="249"/>
      <c r="E46" s="249"/>
      <c r="F46" s="249"/>
      <c r="G46" s="252"/>
      <c r="H46" s="252"/>
      <c r="I46" s="251"/>
    </row>
    <row r="47" spans="2:9">
      <c r="B47" s="249" t="s">
        <v>151</v>
      </c>
      <c r="C47" s="249" t="s">
        <v>766</v>
      </c>
      <c r="D47" s="249"/>
      <c r="E47" s="255" t="s">
        <v>770</v>
      </c>
      <c r="F47" s="255"/>
      <c r="G47" s="252">
        <v>228101</v>
      </c>
      <c r="H47" s="252"/>
      <c r="I47" s="251">
        <v>1974</v>
      </c>
    </row>
    <row r="48" spans="2:9">
      <c r="B48" s="249"/>
      <c r="C48" s="249"/>
      <c r="D48" s="249"/>
      <c r="E48" s="249"/>
      <c r="F48" s="249"/>
      <c r="G48" s="252">
        <v>15981</v>
      </c>
      <c r="H48" s="252"/>
      <c r="I48" s="251">
        <v>1986</v>
      </c>
    </row>
    <row r="49" spans="2:9">
      <c r="B49" s="249"/>
      <c r="C49" s="249" t="s">
        <v>768</v>
      </c>
      <c r="D49" s="249"/>
      <c r="E49" s="255" t="s">
        <v>779</v>
      </c>
      <c r="F49" s="255"/>
      <c r="G49" s="252">
        <v>228101</v>
      </c>
      <c r="H49" s="252"/>
      <c r="I49" s="251">
        <v>1974</v>
      </c>
    </row>
    <row r="50" spans="2:9">
      <c r="B50" s="249"/>
      <c r="C50" s="249" t="s">
        <v>790</v>
      </c>
      <c r="D50" s="249"/>
      <c r="E50" s="255" t="s">
        <v>791</v>
      </c>
      <c r="F50" s="255"/>
      <c r="G50" s="252">
        <v>228101</v>
      </c>
      <c r="H50" s="252"/>
      <c r="I50" s="251">
        <v>1974</v>
      </c>
    </row>
    <row r="51" spans="2:9">
      <c r="B51" s="249"/>
      <c r="C51" s="249" t="s">
        <v>792</v>
      </c>
      <c r="D51" s="249"/>
      <c r="E51" s="255" t="s">
        <v>793</v>
      </c>
      <c r="F51" s="255"/>
      <c r="G51" s="252">
        <v>901511</v>
      </c>
      <c r="H51" s="252"/>
      <c r="I51" s="251">
        <v>1993</v>
      </c>
    </row>
    <row r="52" spans="2:9">
      <c r="B52" s="249"/>
      <c r="C52" s="249" t="s">
        <v>794</v>
      </c>
      <c r="D52" s="249"/>
      <c r="E52" s="255" t="s">
        <v>795</v>
      </c>
      <c r="F52" s="255"/>
      <c r="G52" s="252">
        <v>901511</v>
      </c>
      <c r="H52" s="252"/>
      <c r="I52" s="251">
        <v>1993</v>
      </c>
    </row>
    <row r="53" spans="2:9">
      <c r="B53" s="249"/>
      <c r="C53" s="249" t="s">
        <v>796</v>
      </c>
      <c r="D53" s="249"/>
      <c r="E53" s="255" t="s">
        <v>797</v>
      </c>
      <c r="F53" s="255"/>
      <c r="G53" s="252">
        <v>901511</v>
      </c>
      <c r="H53" s="252"/>
      <c r="I53" s="251">
        <v>1993</v>
      </c>
    </row>
    <row r="54" spans="2:9">
      <c r="B54" s="249"/>
      <c r="C54" s="249" t="s">
        <v>798</v>
      </c>
      <c r="D54" s="249"/>
      <c r="E54" s="255" t="s">
        <v>799</v>
      </c>
      <c r="F54" s="255"/>
      <c r="G54" s="252">
        <v>901510</v>
      </c>
      <c r="H54" s="252"/>
      <c r="I54" s="251">
        <v>1993</v>
      </c>
    </row>
    <row r="55" spans="2:9">
      <c r="B55" s="249"/>
      <c r="C55" s="249"/>
      <c r="D55" s="249"/>
      <c r="E55" s="256" t="s">
        <v>800</v>
      </c>
      <c r="F55" s="255"/>
      <c r="G55" s="252">
        <v>1802223</v>
      </c>
      <c r="H55" s="252"/>
      <c r="I55" s="251">
        <v>2000</v>
      </c>
    </row>
    <row r="56" spans="2:9">
      <c r="B56" s="249"/>
      <c r="C56" s="249"/>
      <c r="D56" s="249"/>
      <c r="E56" s="249"/>
      <c r="F56" s="249"/>
      <c r="G56" s="253">
        <f>SUM(G47:G55)</f>
        <v>6108550</v>
      </c>
      <c r="H56" s="254"/>
      <c r="I56" s="251"/>
    </row>
    <row r="57" spans="2:9">
      <c r="B57" s="249"/>
      <c r="C57" s="249"/>
      <c r="D57" s="249"/>
      <c r="E57" s="249"/>
      <c r="F57" s="249"/>
      <c r="G57" s="252"/>
      <c r="H57" s="252"/>
      <c r="I57" s="251"/>
    </row>
    <row r="58" spans="2:9">
      <c r="B58" s="249" t="s">
        <v>152</v>
      </c>
      <c r="C58" s="249" t="s">
        <v>801</v>
      </c>
      <c r="D58" s="249"/>
      <c r="E58" s="255" t="s">
        <v>802</v>
      </c>
      <c r="F58" s="255"/>
      <c r="G58" s="252">
        <v>901156</v>
      </c>
      <c r="H58" s="252"/>
      <c r="I58" s="251">
        <v>1997</v>
      </c>
    </row>
    <row r="59" spans="2:9">
      <c r="B59" s="249"/>
      <c r="C59" s="249"/>
      <c r="D59" s="249"/>
      <c r="E59" s="249"/>
      <c r="F59" s="249"/>
      <c r="G59" s="253">
        <f>SUM(G58:G58)</f>
        <v>901156</v>
      </c>
      <c r="H59" s="254"/>
      <c r="I59" s="251"/>
    </row>
    <row r="60" spans="2:9" ht="4.5" customHeight="1">
      <c r="B60" s="242"/>
      <c r="C60" s="242"/>
      <c r="D60" s="242"/>
      <c r="E60" s="242"/>
      <c r="F60" s="242"/>
      <c r="G60" s="189"/>
      <c r="H60" s="22"/>
    </row>
    <row r="61" spans="2:9">
      <c r="B61" s="242" t="s">
        <v>998</v>
      </c>
      <c r="C61" s="242"/>
      <c r="D61" s="242"/>
      <c r="E61" s="242"/>
      <c r="F61" s="242"/>
      <c r="G61" s="258">
        <f>SUM(G11:G60)/2</f>
        <v>29001804</v>
      </c>
      <c r="H61" s="26"/>
    </row>
  </sheetData>
  <mergeCells count="4">
    <mergeCell ref="I1:J1"/>
    <mergeCell ref="I3:J3"/>
    <mergeCell ref="A5:J5"/>
    <mergeCell ref="A6:J6"/>
  </mergeCells>
  <printOptions horizontalCentered="1"/>
  <pageMargins left="0.5" right="0.5" top="0.5" bottom="0.5" header="0.5" footer="0.5"/>
  <pageSetup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32</vt:i4>
      </vt:variant>
    </vt:vector>
  </HeadingPairs>
  <TitlesOfParts>
    <vt:vector size="52" baseType="lpstr">
      <vt:lpstr>PEF - 2 -Page 1 Summary</vt:lpstr>
      <vt:lpstr>PEF - 2 Page 2 Rate Base</vt:lpstr>
      <vt:lpstr>PEF - 2 - Page 3 Rev Reqt</vt:lpstr>
      <vt:lpstr>PEF - 2 - Page 4 Support</vt:lpstr>
      <vt:lpstr>PEF - 2 - Page 5 Storm, Notes</vt:lpstr>
      <vt:lpstr>PEF - 2 - Page 6, PBOPs</vt:lpstr>
      <vt:lpstr>PEF -3, p1, 454 Rev Credits</vt:lpstr>
      <vt:lpstr>PEF - 3,  p2, 456 Rev Credits</vt:lpstr>
      <vt:lpstr>PEF - 4, p1 Step Ups</vt:lpstr>
      <vt:lpstr>PEF - 4, p2 Step Ups </vt:lpstr>
      <vt:lpstr>PEF - 4, Order 2003 </vt:lpstr>
      <vt:lpstr>PEF -5 p1 PY ADIT 190</vt:lpstr>
      <vt:lpstr>PEF -5 p2 PY ADIT 28x</vt:lpstr>
      <vt:lpstr>PEF - 5 p3 CY ADIT 190</vt:lpstr>
      <vt:lpstr>PEF - 5 p4 CY ADIT 28x</vt:lpstr>
      <vt:lpstr>PEF - 5A Unfunded Reserves</vt:lpstr>
      <vt:lpstr>PEF - 6  p1, FF1 Inputs </vt:lpstr>
      <vt:lpstr>PEF - 6 p2, Levelized Storm</vt:lpstr>
      <vt:lpstr>PEF - 6 p3, Prepay Accting</vt:lpstr>
      <vt:lpstr>PEF - 7, Retail Radials</vt:lpstr>
      <vt:lpstr>_YR</vt:lpstr>
      <vt:lpstr>ALLOCATORS</vt:lpstr>
      <vt:lpstr>FF1_Year</vt:lpstr>
      <vt:lpstr>L_YR</vt:lpstr>
      <vt:lpstr>L_YR_P</vt:lpstr>
      <vt:lpstr>LABOR_ALLOC</vt:lpstr>
      <vt:lpstr>'PEF - 2 - Page 3 Rev Reqt'!Print_Area</vt:lpstr>
      <vt:lpstr>'PEF - 2 - Page 4 Support'!Print_Area</vt:lpstr>
      <vt:lpstr>'PEF - 2 - Page 5 Storm, Notes'!Print_Area</vt:lpstr>
      <vt:lpstr>'PEF - 2 - Page 6, PBOPs'!Print_Area</vt:lpstr>
      <vt:lpstr>'PEF - 2 -Page 1 Summary'!Print_Area</vt:lpstr>
      <vt:lpstr>'PEF - 2 Page 2 Rate Base'!Print_Area</vt:lpstr>
      <vt:lpstr>'PEF - 3,  p2, 456 Rev Credits'!Print_Area</vt:lpstr>
      <vt:lpstr>'PEF - 4, Order 2003 '!Print_Area</vt:lpstr>
      <vt:lpstr>'PEF - 4, p1 Step Ups'!Print_Area</vt:lpstr>
      <vt:lpstr>'PEF - 4, p2 Step Ups '!Print_Area</vt:lpstr>
      <vt:lpstr>'PEF - 5 p3 CY ADIT 190'!Print_Area</vt:lpstr>
      <vt:lpstr>'PEF - 5 p4 CY ADIT 28x'!Print_Area</vt:lpstr>
      <vt:lpstr>'PEF - 5A Unfunded Reserves'!Print_Area</vt:lpstr>
      <vt:lpstr>'PEF - 6  p1, FF1 Inputs '!Print_Area</vt:lpstr>
      <vt:lpstr>'PEF - 6 p2, Levelized Storm'!Print_Area</vt:lpstr>
      <vt:lpstr>'PEF - 6 p3, Prepay Accting'!Print_Area</vt:lpstr>
      <vt:lpstr>'PEF - 7, Retail Radials'!Print_Area</vt:lpstr>
      <vt:lpstr>'PEF -3, p1, 454 Rev Credits'!Print_Area</vt:lpstr>
      <vt:lpstr>'PEF -5 p1 PY ADIT 190'!Print_Area</vt:lpstr>
      <vt:lpstr>'PEF -5 p2 PY ADIT 28x'!Print_Area</vt:lpstr>
      <vt:lpstr>'PEF - 4, Order 2003 '!Print_Titles</vt:lpstr>
      <vt:lpstr>'PEF - 4, p1 Step Ups'!Print_Titles</vt:lpstr>
      <vt:lpstr>'PEF - 4, p2 Step Ups '!Print_Titles</vt:lpstr>
      <vt:lpstr>TExp_ALLOC</vt:lpstr>
      <vt:lpstr>TP_ALLOC</vt:lpstr>
      <vt:lpstr>YR</vt:lpstr>
    </vt:vector>
  </TitlesOfParts>
  <Company>Progress Energy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Pistole</dc:creator>
  <cp:lastModifiedBy>Antonia A. Frost</cp:lastModifiedBy>
  <cp:lastPrinted>2011-06-08T19:59:07Z</cp:lastPrinted>
  <dcterms:created xsi:type="dcterms:W3CDTF">2007-01-29T20:10:20Z</dcterms:created>
  <dcterms:modified xsi:type="dcterms:W3CDTF">2011-06-09T15:05:21Z</dcterms:modified>
</cp:coreProperties>
</file>