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defaultThemeVersion="124226"/>
  <mc:AlternateContent xmlns:mc="http://schemas.openxmlformats.org/markup-compatibility/2006">
    <mc:Choice Requires="x15">
      <x15ac:absPath xmlns:x15ac="http://schemas.microsoft.com/office/spreadsheetml/2010/11/ac" url="P:\44125\012\June 2018 Attachment O update\"/>
    </mc:Choice>
  </mc:AlternateContent>
  <bookViews>
    <workbookView xWindow="0" yWindow="0" windowWidth="23040" windowHeight="9030" tabRatio="886" activeTab="1"/>
  </bookViews>
  <sheets>
    <sheet name="Protocol Notes" sheetId="19" r:id="rId1"/>
    <sheet name="0 - Jasper-Newton Attach O" sheetId="22" r:id="rId2"/>
    <sheet name="1 - 12a.A Statement of Oper" sheetId="2" r:id="rId3"/>
    <sheet name="2 - 12a.B Balance Sheet" sheetId="3" r:id="rId4"/>
    <sheet name="3 -12h.A&amp;B Util Plt &amp; Accum Dep" sheetId="4" r:id="rId5"/>
    <sheet name="4 - 12h.G&amp;J M&amp;S Inv &amp; Pay Stat" sheetId="5" r:id="rId6"/>
    <sheet name="5 - 12i.A Expenses and Costs" sheetId="6" r:id="rId7"/>
    <sheet name="6 - WP - Divisor" sheetId="7" r:id="rId8"/>
    <sheet name="7 - WP - Land for future use" sheetId="8" r:id="rId9"/>
    <sheet name="8 - WP - Materials and Supplies" sheetId="9" r:id="rId10"/>
    <sheet name="9 - WP - FERC Fees" sheetId="10" r:id="rId11"/>
    <sheet name="10 - WP - Attach O, pg 3, ln 5" sheetId="11" r:id="rId12"/>
    <sheet name="11WP - Taxes Other Than Inc Tax" sheetId="12" r:id="rId13"/>
    <sheet name="12 - WPTrans Plt Excl from ISO" sheetId="13" r:id="rId14"/>
    <sheet name="13 - WP Trans Plt Incl in Ancil" sheetId="14" r:id="rId15"/>
    <sheet name="14 - WP - Wages &amp; Salaries" sheetId="15" r:id="rId16"/>
    <sheet name="15 - WP - Trans Rev" sheetId="16" r:id="rId17"/>
    <sheet name="16 - WP - Other Elec Rev" sheetId="24" r:id="rId18"/>
    <sheet name="Sheet1" sheetId="17" state="hidden" r:id="rId19"/>
  </sheets>
  <definedNames>
    <definedName name="_xlnm.Print_Area" localSheetId="1">'0 - Jasper-Newton Attach O'!$A$1:$K$310</definedName>
    <definedName name="_xlnm.Print_Area" localSheetId="11">'10 - WP - Attach O, pg 3, ln 5'!$A$1:$G$34</definedName>
    <definedName name="_xlnm.Print_Area" localSheetId="13">'12 - WPTrans Plt Excl from ISO'!$A$1:$H$52</definedName>
    <definedName name="_xlnm.Print_Area" localSheetId="14">'13 - WP Trans Plt Incl in Ancil'!$A$1:$I$25</definedName>
    <definedName name="_xlnm.Print_Area" localSheetId="16">'15 - WP - Trans Rev'!$A$1:$H$21</definedName>
    <definedName name="_xlnm.Print_Area" localSheetId="4">'3 -12h.A&amp;B Util Plt &amp; Accum Dep'!$A$1:$H$55</definedName>
    <definedName name="_xlnm.Print_Area" localSheetId="5">'4 - 12h.G&amp;J M&amp;S Inv &amp; Pay Stat'!$A$1:$G$17</definedName>
    <definedName name="_xlnm.Print_Area" localSheetId="6">'5 - 12i.A Expenses and Costs'!$A$1:$F$40</definedName>
    <definedName name="_xlnm.Print_Area" localSheetId="9">'8 - WP - Materials and Supplies'!$A$1:$H$31</definedName>
  </definedNames>
  <calcPr calcId="171027"/>
</workbook>
</file>

<file path=xl/calcChain.xml><?xml version="1.0" encoding="utf-8"?>
<calcChain xmlns="http://schemas.openxmlformats.org/spreadsheetml/2006/main">
  <c r="O12" i="24" l="1"/>
  <c r="J12" i="24"/>
  <c r="F41" i="24" l="1"/>
  <c r="E41" i="24"/>
  <c r="D41" i="24"/>
  <c r="C41" i="24"/>
  <c r="I260" i="22" s="1"/>
  <c r="B41" i="24"/>
  <c r="G40" i="24"/>
  <c r="V40" i="24" s="1"/>
  <c r="G39" i="24"/>
  <c r="G38" i="24"/>
  <c r="V38" i="24" s="1"/>
  <c r="G37" i="24"/>
  <c r="V37" i="24" s="1"/>
  <c r="G36" i="24"/>
  <c r="G35" i="24"/>
  <c r="V35" i="24" s="1"/>
  <c r="G34" i="24"/>
  <c r="V34" i="24" s="1"/>
  <c r="G33" i="24"/>
  <c r="G32" i="24"/>
  <c r="G31" i="24"/>
  <c r="G30" i="24"/>
  <c r="T29" i="24"/>
  <c r="G29" i="24"/>
  <c r="W29" i="24" s="1"/>
  <c r="I24" i="24"/>
  <c r="H24" i="24"/>
  <c r="G24" i="24"/>
  <c r="F24" i="24"/>
  <c r="E24" i="24"/>
  <c r="D24" i="24"/>
  <c r="C24" i="24"/>
  <c r="B24" i="24"/>
  <c r="O23" i="24"/>
  <c r="T40" i="24" s="1"/>
  <c r="M23" i="24"/>
  <c r="L23" i="24"/>
  <c r="J23" i="24"/>
  <c r="O22" i="24"/>
  <c r="T39" i="24" s="1"/>
  <c r="M22" i="24"/>
  <c r="L22" i="24"/>
  <c r="J22" i="24"/>
  <c r="O21" i="24"/>
  <c r="T38" i="24" s="1"/>
  <c r="M21" i="24"/>
  <c r="L21" i="24"/>
  <c r="N21" i="24" s="1"/>
  <c r="J21" i="24"/>
  <c r="O20" i="24"/>
  <c r="M20" i="24"/>
  <c r="L20" i="24"/>
  <c r="N20" i="24" s="1"/>
  <c r="J20" i="24"/>
  <c r="O19" i="24"/>
  <c r="T36" i="24" s="1"/>
  <c r="M19" i="24"/>
  <c r="L19" i="24"/>
  <c r="N19" i="24" s="1"/>
  <c r="J19" i="24"/>
  <c r="O18" i="24"/>
  <c r="T35" i="24" s="1"/>
  <c r="M18" i="24"/>
  <c r="L18" i="24"/>
  <c r="J18" i="24"/>
  <c r="O17" i="24"/>
  <c r="T34" i="24" s="1"/>
  <c r="M17" i="24"/>
  <c r="L17" i="24"/>
  <c r="N17" i="24" s="1"/>
  <c r="J17" i="24"/>
  <c r="O16" i="24"/>
  <c r="T33" i="24" s="1"/>
  <c r="M16" i="24"/>
  <c r="L16" i="24"/>
  <c r="J16" i="24"/>
  <c r="O15" i="24"/>
  <c r="T32" i="24" s="1"/>
  <c r="M15" i="24"/>
  <c r="L15" i="24"/>
  <c r="N15" i="24" s="1"/>
  <c r="J15" i="24"/>
  <c r="O14" i="24"/>
  <c r="T31" i="24" s="1"/>
  <c r="M14" i="24"/>
  <c r="L14" i="24"/>
  <c r="N14" i="24" s="1"/>
  <c r="J14" i="24"/>
  <c r="O13" i="24"/>
  <c r="T30" i="24" s="1"/>
  <c r="M13" i="24"/>
  <c r="L13" i="24"/>
  <c r="N13" i="24" s="1"/>
  <c r="M30" i="24" s="1"/>
  <c r="J13" i="24"/>
  <c r="M12" i="24"/>
  <c r="L12" i="24"/>
  <c r="J24" i="24" l="1"/>
  <c r="V36" i="24"/>
  <c r="V29" i="24"/>
  <c r="L24" i="24"/>
  <c r="T37" i="24"/>
  <c r="N22" i="24"/>
  <c r="N23" i="24"/>
  <c r="Q23" i="24" s="1"/>
  <c r="V39" i="24"/>
  <c r="V31" i="24"/>
  <c r="V33" i="24"/>
  <c r="M24" i="24"/>
  <c r="W30" i="24"/>
  <c r="W31" i="24"/>
  <c r="W32" i="24"/>
  <c r="W33" i="24"/>
  <c r="W34" i="24"/>
  <c r="W35" i="24"/>
  <c r="W36" i="24"/>
  <c r="W37" i="24"/>
  <c r="W38" i="24"/>
  <c r="W39" i="24"/>
  <c r="W40" i="24"/>
  <c r="V30" i="24"/>
  <c r="V41" i="24" s="1"/>
  <c r="V32" i="24"/>
  <c r="O24" i="24"/>
  <c r="N16" i="24"/>
  <c r="H29" i="24"/>
  <c r="H30" i="24"/>
  <c r="H31" i="24"/>
  <c r="H32" i="24"/>
  <c r="H33" i="24"/>
  <c r="H34" i="24"/>
  <c r="H35" i="24"/>
  <c r="H36" i="24"/>
  <c r="H37" i="24"/>
  <c r="H38" i="24"/>
  <c r="H39" i="24"/>
  <c r="H40" i="24"/>
  <c r="G41" i="24"/>
  <c r="N18" i="24"/>
  <c r="M35" i="24" s="1"/>
  <c r="T41" i="24"/>
  <c r="I261" i="22" s="1"/>
  <c r="M39" i="24"/>
  <c r="Q22" i="24"/>
  <c r="O39" i="24"/>
  <c r="M37" i="24"/>
  <c r="O37" i="24"/>
  <c r="Q20" i="24"/>
  <c r="M31" i="24"/>
  <c r="O31" i="24"/>
  <c r="Q14" i="24"/>
  <c r="M33" i="24"/>
  <c r="O33" i="24"/>
  <c r="Q16" i="24"/>
  <c r="M36" i="24"/>
  <c r="O36" i="24"/>
  <c r="M38" i="24"/>
  <c r="O38" i="24"/>
  <c r="Q19" i="24"/>
  <c r="M32" i="24"/>
  <c r="O32" i="24"/>
  <c r="M34" i="24"/>
  <c r="O34" i="24"/>
  <c r="M40" i="24"/>
  <c r="O40" i="24"/>
  <c r="N12" i="24"/>
  <c r="Q13" i="24"/>
  <c r="Q15" i="24"/>
  <c r="Q17" i="24"/>
  <c r="Q21" i="24"/>
  <c r="O30" i="24"/>
  <c r="H41" i="24"/>
  <c r="P29" i="24"/>
  <c r="U29" i="24"/>
  <c r="L30" i="24"/>
  <c r="P30" i="24"/>
  <c r="U30" i="24"/>
  <c r="L31" i="24"/>
  <c r="P31" i="24"/>
  <c r="U31" i="24"/>
  <c r="L32" i="24"/>
  <c r="P32" i="24"/>
  <c r="U32" i="24"/>
  <c r="L33" i="24"/>
  <c r="P33" i="24"/>
  <c r="U33" i="24"/>
  <c r="L34" i="24"/>
  <c r="P34" i="24"/>
  <c r="U34" i="24"/>
  <c r="L35" i="24"/>
  <c r="U35" i="24"/>
  <c r="L36" i="24"/>
  <c r="P36" i="24"/>
  <c r="U36" i="24"/>
  <c r="L37" i="24"/>
  <c r="P37" i="24"/>
  <c r="U37" i="24"/>
  <c r="L38" i="24"/>
  <c r="P38" i="24"/>
  <c r="U38" i="24"/>
  <c r="L39" i="24"/>
  <c r="P39" i="24"/>
  <c r="U39" i="24"/>
  <c r="L40" i="24"/>
  <c r="P40" i="24"/>
  <c r="U40" i="24"/>
  <c r="S29" i="24"/>
  <c r="N30" i="24"/>
  <c r="S30" i="24"/>
  <c r="N31" i="24"/>
  <c r="S31" i="24"/>
  <c r="X31" i="24" s="1"/>
  <c r="N32" i="24"/>
  <c r="S32" i="24"/>
  <c r="X32" i="24" s="1"/>
  <c r="N33" i="24"/>
  <c r="S33" i="24"/>
  <c r="X33" i="24" s="1"/>
  <c r="N34" i="24"/>
  <c r="S34" i="24"/>
  <c r="S35" i="24"/>
  <c r="N36" i="24"/>
  <c r="S36" i="24"/>
  <c r="X36" i="24" s="1"/>
  <c r="N37" i="24"/>
  <c r="S37" i="24"/>
  <c r="X37" i="24" s="1"/>
  <c r="N38" i="24"/>
  <c r="S38" i="24"/>
  <c r="N39" i="24"/>
  <c r="S39" i="24"/>
  <c r="X39" i="24" s="1"/>
  <c r="N40" i="24"/>
  <c r="S40" i="24"/>
  <c r="X40" i="24" s="1"/>
  <c r="W41" i="24" l="1"/>
  <c r="X35" i="24"/>
  <c r="Q18" i="24"/>
  <c r="N35" i="24"/>
  <c r="P35" i="24"/>
  <c r="O35" i="24"/>
  <c r="Q40" i="24"/>
  <c r="Z40" i="24" s="1"/>
  <c r="AA40" i="24" s="1"/>
  <c r="Q36" i="24"/>
  <c r="Z36" i="24" s="1"/>
  <c r="AA36" i="24" s="1"/>
  <c r="Q32" i="24"/>
  <c r="Z32" i="24" s="1"/>
  <c r="AA32" i="24" s="1"/>
  <c r="S41" i="24"/>
  <c r="X29" i="24"/>
  <c r="M29" i="24"/>
  <c r="M41" i="24" s="1"/>
  <c r="N24" i="24"/>
  <c r="O29" i="24"/>
  <c r="O41" i="24" s="1"/>
  <c r="Q12" i="24"/>
  <c r="Q24" i="24" s="1"/>
  <c r="N29" i="24"/>
  <c r="N41" i="24" s="1"/>
  <c r="Q37" i="24"/>
  <c r="Z37" i="24" s="1"/>
  <c r="AA37" i="24" s="1"/>
  <c r="X30" i="24"/>
  <c r="Q38" i="24"/>
  <c r="Q34" i="24"/>
  <c r="Z34" i="24" s="1"/>
  <c r="AA34" i="24" s="1"/>
  <c r="Q30" i="24"/>
  <c r="P41" i="24"/>
  <c r="Q33" i="24"/>
  <c r="Z33" i="24" s="1"/>
  <c r="AA33" i="24" s="1"/>
  <c r="L29" i="24"/>
  <c r="X38" i="24"/>
  <c r="X34" i="24"/>
  <c r="Q39" i="24"/>
  <c r="Z39" i="24" s="1"/>
  <c r="AA39" i="24" s="1"/>
  <c r="Q35" i="24"/>
  <c r="Z35" i="24" s="1"/>
  <c r="AA35" i="24" s="1"/>
  <c r="Q31" i="24"/>
  <c r="Z31" i="24" s="1"/>
  <c r="AA31" i="24" s="1"/>
  <c r="U41" i="24"/>
  <c r="Z30" i="24" l="1"/>
  <c r="AA30" i="24" s="1"/>
  <c r="L41" i="24"/>
  <c r="Q29" i="24"/>
  <c r="X41" i="24"/>
  <c r="Z38" i="24"/>
  <c r="AA38" i="24" s="1"/>
  <c r="Q41" i="24" l="1"/>
  <c r="Z29" i="24"/>
  <c r="Z41" i="24" l="1"/>
  <c r="AA29" i="24"/>
  <c r="AA41" i="24" s="1"/>
  <c r="B11" i="15" l="1"/>
  <c r="B13" i="15"/>
  <c r="B12" i="15"/>
  <c r="B10" i="15"/>
  <c r="B9" i="15"/>
  <c r="B8" i="15"/>
  <c r="E40" i="15"/>
  <c r="E39" i="15"/>
  <c r="E38" i="15"/>
  <c r="E37" i="15"/>
  <c r="C95" i="15"/>
  <c r="E42" i="15" l="1"/>
  <c r="G10" i="5" l="1"/>
  <c r="F20" i="4" l="1"/>
  <c r="E20" i="4"/>
  <c r="D20" i="4"/>
  <c r="D15" i="4"/>
  <c r="H12" i="4"/>
  <c r="D273" i="22" l="1"/>
  <c r="I248" i="22" l="1"/>
  <c r="D205" i="22"/>
  <c r="D138" i="22"/>
  <c r="D76" i="22"/>
  <c r="D240" i="22" l="1"/>
  <c r="D227" i="22"/>
  <c r="G227" i="22" s="1"/>
  <c r="I211" i="22"/>
  <c r="I210" i="22"/>
  <c r="D167" i="22"/>
  <c r="D166" i="22"/>
  <c r="D169" i="22" s="1"/>
  <c r="D165" i="22"/>
  <c r="D163" i="22"/>
  <c r="D162" i="22"/>
  <c r="D156" i="22"/>
  <c r="D155" i="22"/>
  <c r="D158" i="22" s="1"/>
  <c r="D149" i="22"/>
  <c r="D147" i="22"/>
  <c r="D146" i="22"/>
  <c r="D145" i="22"/>
  <c r="D118" i="22"/>
  <c r="D113" i="22"/>
  <c r="D90" i="22"/>
  <c r="D82" i="22"/>
  <c r="D271" i="22"/>
  <c r="K270" i="22"/>
  <c r="D270" i="22"/>
  <c r="B270" i="22"/>
  <c r="I264" i="22"/>
  <c r="I255" i="22"/>
  <c r="G245" i="22"/>
  <c r="D237" i="22"/>
  <c r="G235" i="22" s="1"/>
  <c r="D203" i="22"/>
  <c r="K202" i="22"/>
  <c r="D202" i="22"/>
  <c r="B202" i="22"/>
  <c r="D172" i="22"/>
  <c r="D176" i="22" s="1"/>
  <c r="D180" i="22" s="1"/>
  <c r="F167" i="22"/>
  <c r="F163" i="22"/>
  <c r="B157" i="22"/>
  <c r="B155" i="22"/>
  <c r="I151" i="22"/>
  <c r="F149" i="22"/>
  <c r="F147" i="22"/>
  <c r="F148" i="22" s="1"/>
  <c r="D136" i="22"/>
  <c r="K135" i="22"/>
  <c r="D135" i="22"/>
  <c r="B135" i="22"/>
  <c r="D111" i="22"/>
  <c r="F109" i="22"/>
  <c r="D102" i="22"/>
  <c r="F94" i="22"/>
  <c r="B94" i="22"/>
  <c r="B102" i="22" s="1"/>
  <c r="F93" i="22"/>
  <c r="B93" i="22"/>
  <c r="B101" i="22" s="1"/>
  <c r="G92" i="22"/>
  <c r="F92" i="22"/>
  <c r="B92" i="22"/>
  <c r="B100" i="22" s="1"/>
  <c r="F91" i="22"/>
  <c r="F113" i="22" s="1"/>
  <c r="B91" i="22"/>
  <c r="B99" i="22" s="1"/>
  <c r="G90" i="22"/>
  <c r="F90" i="22"/>
  <c r="B90" i="22"/>
  <c r="B98" i="22" s="1"/>
  <c r="D74" i="22"/>
  <c r="K73" i="22"/>
  <c r="D73" i="22"/>
  <c r="B73" i="22"/>
  <c r="I46" i="22"/>
  <c r="I45" i="22"/>
  <c r="D36" i="22"/>
  <c r="I42" i="22" s="1"/>
  <c r="I34" i="22"/>
  <c r="I22" i="22"/>
  <c r="F15" i="22"/>
  <c r="D14" i="22"/>
  <c r="D15" i="22" l="1"/>
  <c r="D98" i="22"/>
  <c r="D37" i="22"/>
  <c r="I41" i="22"/>
  <c r="D40" i="22"/>
  <c r="D42" i="22"/>
  <c r="D41" i="22"/>
  <c r="I40" i="22"/>
  <c r="H20" i="4" l="1"/>
  <c r="H19" i="4"/>
  <c r="D21" i="4" l="1"/>
  <c r="H41" i="4"/>
  <c r="D91" i="22" s="1"/>
  <c r="H33" i="4" l="1"/>
  <c r="H31" i="4"/>
  <c r="H30" i="4"/>
  <c r="H29" i="4"/>
  <c r="H28" i="4"/>
  <c r="H27" i="4"/>
  <c r="H26" i="4"/>
  <c r="H25" i="4"/>
  <c r="H23" i="4"/>
  <c r="D85" i="22" s="1"/>
  <c r="H22" i="4"/>
  <c r="H18" i="4"/>
  <c r="H17" i="4"/>
  <c r="H15" i="4"/>
  <c r="H14" i="4"/>
  <c r="H13" i="4"/>
  <c r="H10" i="4"/>
  <c r="H9" i="4"/>
  <c r="H8" i="4"/>
  <c r="H7" i="4"/>
  <c r="H6" i="4"/>
  <c r="D229" i="22" l="1"/>
  <c r="G229" i="22" s="1"/>
  <c r="G12" i="5" l="1"/>
  <c r="F12" i="5"/>
  <c r="E12" i="5"/>
  <c r="D228" i="22" l="1"/>
  <c r="D230" i="22" l="1"/>
  <c r="G230" i="22" s="1"/>
  <c r="B14" i="15"/>
  <c r="D18" i="15" s="1"/>
  <c r="D231" i="22" l="1"/>
  <c r="B15" i="15"/>
  <c r="E24" i="6" l="1"/>
  <c r="D24" i="6"/>
  <c r="E13" i="6"/>
  <c r="E16" i="6" s="1"/>
  <c r="D13" i="6"/>
  <c r="D16" i="6" s="1"/>
  <c r="D23" i="2" l="1"/>
  <c r="D14" i="2"/>
  <c r="D144" i="22" s="1"/>
  <c r="D25" i="6"/>
  <c r="D38" i="6" s="1"/>
  <c r="E25" i="6"/>
  <c r="I218" i="22" l="1"/>
  <c r="D32" i="6"/>
  <c r="E38" i="6"/>
  <c r="E40" i="6" s="1"/>
  <c r="E32" i="6"/>
  <c r="I220" i="22" l="1"/>
  <c r="I222" i="22"/>
  <c r="H44" i="4"/>
  <c r="H43" i="4"/>
  <c r="D93" i="22" s="1"/>
  <c r="D101" i="22" s="1"/>
  <c r="E45" i="4"/>
  <c r="D45" i="4"/>
  <c r="F45" i="4"/>
  <c r="G21" i="4"/>
  <c r="F21" i="4"/>
  <c r="G16" i="4"/>
  <c r="F16" i="4"/>
  <c r="D16" i="4"/>
  <c r="D21" i="2"/>
  <c r="E25" i="9" l="1"/>
  <c r="B22" i="11"/>
  <c r="D148" i="22" s="1"/>
  <c r="D152" i="22" s="1"/>
  <c r="D116" i="22" l="1"/>
  <c r="E12" i="12"/>
  <c r="C30" i="13" l="1"/>
  <c r="C36" i="13" s="1"/>
  <c r="D10" i="9" l="1"/>
  <c r="E11" i="4" l="1"/>
  <c r="F11" i="4"/>
  <c r="G11" i="4"/>
  <c r="D11" i="4"/>
  <c r="H11" i="4" s="1"/>
  <c r="C22" i="9" l="1"/>
  <c r="F23" i="3"/>
  <c r="D244" i="22" s="1"/>
  <c r="G244" i="22" l="1"/>
  <c r="B27" i="11"/>
  <c r="B25" i="11" l="1"/>
  <c r="C26" i="9"/>
  <c r="G24" i="4"/>
  <c r="G32" i="4" s="1"/>
  <c r="F24" i="4"/>
  <c r="F32" i="4" s="1"/>
  <c r="F34" i="4" s="1"/>
  <c r="D24" i="4"/>
  <c r="D32" i="4" l="1"/>
  <c r="F54" i="4"/>
  <c r="E54" i="4"/>
  <c r="D54" i="4"/>
  <c r="D34" i="4" l="1"/>
  <c r="F35" i="3"/>
  <c r="C32" i="3"/>
  <c r="F26" i="3"/>
  <c r="C19" i="3"/>
  <c r="F16" i="3"/>
  <c r="D245" i="22" s="1"/>
  <c r="C8" i="3"/>
  <c r="C10" i="3" s="1"/>
  <c r="D27" i="2"/>
  <c r="D246" i="22" l="1"/>
  <c r="E246" i="22"/>
  <c r="E245" i="22"/>
  <c r="I245" i="22" s="1"/>
  <c r="E244" i="22"/>
  <c r="I244" i="22" s="1"/>
  <c r="G34" i="4"/>
  <c r="D35" i="2"/>
  <c r="D36" i="2" s="1"/>
  <c r="D44" i="2" s="1"/>
  <c r="F38" i="3"/>
  <c r="C38" i="3"/>
  <c r="I246" i="22" l="1"/>
  <c r="A2" i="16"/>
  <c r="A1" i="16"/>
  <c r="I249" i="22" l="1"/>
  <c r="D173" i="22"/>
  <c r="A2" i="15"/>
  <c r="A1" i="15"/>
  <c r="A2" i="14"/>
  <c r="A1" i="14"/>
  <c r="A2" i="13"/>
  <c r="A1" i="13"/>
  <c r="A2" i="12"/>
  <c r="A1" i="12"/>
  <c r="A2" i="11"/>
  <c r="A1" i="11"/>
  <c r="A2" i="10"/>
  <c r="A1" i="10"/>
  <c r="A2" i="9"/>
  <c r="A1" i="9"/>
  <c r="A2" i="8"/>
  <c r="A1" i="8"/>
  <c r="D12" i="9" l="1"/>
  <c r="E16" i="4" l="1"/>
  <c r="H16" i="4" s="1"/>
  <c r="D83" i="22" s="1"/>
  <c r="I209" i="22" l="1"/>
  <c r="I212" i="22" s="1"/>
  <c r="I214" i="22" s="1"/>
  <c r="I223" i="22" s="1"/>
  <c r="D99" i="22"/>
  <c r="C23" i="9"/>
  <c r="I224" i="22" l="1"/>
  <c r="G83" i="22"/>
  <c r="I83" i="22" s="1"/>
  <c r="G91" i="22"/>
  <c r="G14" i="22"/>
  <c r="E228" i="22"/>
  <c r="G228" i="22" s="1"/>
  <c r="G231" i="22" s="1"/>
  <c r="I231" i="22" s="1"/>
  <c r="H42" i="4"/>
  <c r="D92" i="22" s="1"/>
  <c r="D95" i="22" s="1"/>
  <c r="G15" i="22" l="1"/>
  <c r="I15" i="22" s="1"/>
  <c r="G16" i="22"/>
  <c r="I16" i="22" s="1"/>
  <c r="I14" i="22"/>
  <c r="G17" i="22"/>
  <c r="I17" i="22" s="1"/>
  <c r="I91" i="22"/>
  <c r="I99" i="22" s="1"/>
  <c r="G113" i="22"/>
  <c r="G148" i="22"/>
  <c r="I148" i="22" s="1"/>
  <c r="G147" i="22"/>
  <c r="I147" i="22" s="1"/>
  <c r="I235" i="22"/>
  <c r="K235" i="22" s="1"/>
  <c r="G146" i="22"/>
  <c r="G85" i="22"/>
  <c r="G117" i="22"/>
  <c r="G144" i="22"/>
  <c r="G45" i="4"/>
  <c r="G54" i="4" s="1"/>
  <c r="H45" i="4"/>
  <c r="H54" i="4" s="1"/>
  <c r="I18" i="22" l="1"/>
  <c r="G155" i="22"/>
  <c r="I155" i="22" s="1"/>
  <c r="I113" i="22"/>
  <c r="G150" i="22"/>
  <c r="G86" i="22"/>
  <c r="I146" i="22"/>
  <c r="G156" i="22"/>
  <c r="G145" i="22"/>
  <c r="I145" i="22" s="1"/>
  <c r="I144" i="22"/>
  <c r="G149" i="22"/>
  <c r="I149" i="22" s="1"/>
  <c r="G93" i="22"/>
  <c r="I93" i="22" s="1"/>
  <c r="I85" i="22"/>
  <c r="E21" i="4"/>
  <c r="H21" i="4" s="1"/>
  <c r="D84" i="22" s="1"/>
  <c r="G94" i="22" l="1"/>
  <c r="I94" i="22" s="1"/>
  <c r="I95" i="22" s="1"/>
  <c r="I86" i="22"/>
  <c r="I101" i="22"/>
  <c r="I87" i="22"/>
  <c r="G157" i="22"/>
  <c r="I157" i="22" s="1"/>
  <c r="I150" i="22"/>
  <c r="I152" i="22" s="1"/>
  <c r="I116" i="22" s="1"/>
  <c r="I156" i="22"/>
  <c r="G162" i="22"/>
  <c r="D100" i="22"/>
  <c r="D103" i="22" s="1"/>
  <c r="D87" i="22"/>
  <c r="C24" i="9"/>
  <c r="C25" i="9" s="1"/>
  <c r="D23" i="9" s="1"/>
  <c r="E24" i="4"/>
  <c r="I102" i="22" l="1"/>
  <c r="I103" i="22" s="1"/>
  <c r="G103" i="22" s="1"/>
  <c r="G107" i="22" s="1"/>
  <c r="G87" i="22"/>
  <c r="G165" i="22" s="1"/>
  <c r="I162" i="22"/>
  <c r="G163" i="22"/>
  <c r="I163" i="22" s="1"/>
  <c r="I158" i="22"/>
  <c r="D24" i="9"/>
  <c r="E24" i="9" s="1"/>
  <c r="C27" i="9"/>
  <c r="D22" i="9"/>
  <c r="E22" i="9" s="1"/>
  <c r="H24" i="4"/>
  <c r="E32" i="4"/>
  <c r="B10" i="9"/>
  <c r="E23" i="9"/>
  <c r="G118" i="22" l="1"/>
  <c r="I118" i="22" s="1"/>
  <c r="G180" i="22"/>
  <c r="I180" i="22" s="1"/>
  <c r="I107" i="22"/>
  <c r="G108" i="22"/>
  <c r="I165" i="22"/>
  <c r="G167" i="22"/>
  <c r="D25" i="9"/>
  <c r="E34" i="4"/>
  <c r="H34" i="4" s="1"/>
  <c r="H32" i="4"/>
  <c r="C10" i="9"/>
  <c r="C12" i="9" s="1"/>
  <c r="B12" i="9"/>
  <c r="D117" i="22" s="1"/>
  <c r="I108" i="22" l="1"/>
  <c r="G109" i="22"/>
  <c r="I109" i="22" s="1"/>
  <c r="G110" i="22"/>
  <c r="I110" i="22" s="1"/>
  <c r="D119" i="22"/>
  <c r="I117" i="22"/>
  <c r="I119" i="22" s="1"/>
  <c r="G168" i="22"/>
  <c r="I168" i="22" s="1"/>
  <c r="I167" i="22"/>
  <c r="D121" i="22" l="1"/>
  <c r="I169" i="22"/>
  <c r="I111" i="22"/>
  <c r="I121" i="22" s="1"/>
  <c r="I183" i="22" s="1"/>
  <c r="I179" i="22" s="1"/>
  <c r="I181" i="22" s="1"/>
  <c r="I186" i="22" s="1"/>
  <c r="I197" i="22" s="1"/>
  <c r="I11" i="22" s="1"/>
  <c r="I24" i="22" l="1"/>
  <c r="D183" i="22"/>
  <c r="D179" i="22" l="1"/>
  <c r="D181" i="22" l="1"/>
  <c r="D186" i="22" l="1"/>
  <c r="D197" i="22" l="1"/>
</calcChain>
</file>

<file path=xl/sharedStrings.xml><?xml version="1.0" encoding="utf-8"?>
<sst xmlns="http://schemas.openxmlformats.org/spreadsheetml/2006/main" count="1067" uniqueCount="834">
  <si>
    <t xml:space="preserve"> </t>
  </si>
  <si>
    <t>Line</t>
  </si>
  <si>
    <t>Allocated</t>
  </si>
  <si>
    <t>No.</t>
  </si>
  <si>
    <t>Amount</t>
  </si>
  <si>
    <t xml:space="preserve">REVENUE CREDITS </t>
  </si>
  <si>
    <t>Total</t>
  </si>
  <si>
    <t>Allocator</t>
  </si>
  <si>
    <t xml:space="preserve">  Account No. 454</t>
  </si>
  <si>
    <t>TP</t>
  </si>
  <si>
    <t xml:space="preserve">  Account No. 456</t>
  </si>
  <si>
    <t>Revenues from Grandfathered Interzonal Transactions</t>
  </si>
  <si>
    <t>Revenues from service provided by the ISO at a discount</t>
  </si>
  <si>
    <t>TOTAL REVENUE CREDITS  (sum lines 2-5)</t>
  </si>
  <si>
    <t>NET REVENUE REQUIREMENT</t>
  </si>
  <si>
    <t>DIVISOR</t>
  </si>
  <si>
    <t xml:space="preserve">  Average of 12 coincident system peaks for requirements (RQ) service       </t>
  </si>
  <si>
    <t>(Note A)</t>
  </si>
  <si>
    <t xml:space="preserve">  Plus 12 CP of firm bundled sales over one year not in line 8</t>
  </si>
  <si>
    <t>(Note B)</t>
  </si>
  <si>
    <t xml:space="preserve">  Plus 12 CP of Network Load not in line 8</t>
  </si>
  <si>
    <t>(Note C)</t>
  </si>
  <si>
    <t xml:space="preserve">  Less 12 CP of firm P-T-P over one year (enter negative)</t>
  </si>
  <si>
    <t>(Note D)</t>
  </si>
  <si>
    <t xml:space="preserve">  Plus Contract Demand of firm P-T-P over one year</t>
  </si>
  <si>
    <t>Divisor (sum lines 8-14)</t>
  </si>
  <si>
    <t>Annual Cost ($/kW/Yr)</t>
  </si>
  <si>
    <t>Peak Rate</t>
  </si>
  <si>
    <t>Off-Peak Rate</t>
  </si>
  <si>
    <t>Point-To-Point Rate ($/kW/Wk)</t>
  </si>
  <si>
    <t>Point-To-Point Rate ($/kW/Day)</t>
  </si>
  <si>
    <t xml:space="preserve"> Capped at weekly rate</t>
  </si>
  <si>
    <t>Point-To-Point Rate ($/MWh)</t>
  </si>
  <si>
    <t xml:space="preserve"> Capped at weekly</t>
  </si>
  <si>
    <t xml:space="preserve"> times 1,000)</t>
  </si>
  <si>
    <t xml:space="preserve"> and daily rates</t>
  </si>
  <si>
    <t xml:space="preserve"> Short Term</t>
  </si>
  <si>
    <t xml:space="preserve"> Long Term</t>
  </si>
  <si>
    <t>(1)</t>
  </si>
  <si>
    <t>(2)</t>
  </si>
  <si>
    <t>(3)</t>
  </si>
  <si>
    <t>(4)</t>
  </si>
  <si>
    <t>(5)</t>
  </si>
  <si>
    <t>RUS Form 12</t>
  </si>
  <si>
    <t>Transmission</t>
  </si>
  <si>
    <t>Reference</t>
  </si>
  <si>
    <t>Company Total</t>
  </si>
  <si>
    <t xml:space="preserve">                  Allocator</t>
  </si>
  <si>
    <t>(Col 3 times Col 4)</t>
  </si>
  <si>
    <t>RATE BASE:</t>
  </si>
  <si>
    <t xml:space="preserve">  Production</t>
  </si>
  <si>
    <t>12h.A.6.e</t>
  </si>
  <si>
    <t>NA</t>
  </si>
  <si>
    <t xml:space="preserve">  Transmission</t>
  </si>
  <si>
    <t>12h.A.11.e</t>
  </si>
  <si>
    <t xml:space="preserve">  Distribution</t>
  </si>
  <si>
    <t xml:space="preserve">  General &amp; Intangible</t>
  </si>
  <si>
    <t>W/S</t>
  </si>
  <si>
    <t xml:space="preserve">  Common</t>
  </si>
  <si>
    <t>CE</t>
  </si>
  <si>
    <t>GP=</t>
  </si>
  <si>
    <t>NET PLANT IN SERVICE</t>
  </si>
  <si>
    <t>NP=</t>
  </si>
  <si>
    <t xml:space="preserve">  Account No. 281 (enter negative) </t>
  </si>
  <si>
    <t>NP</t>
  </si>
  <si>
    <t xml:space="preserve">  Account No. 282 (enter negative)</t>
  </si>
  <si>
    <t xml:space="preserve">  Account No. 283 (enter negative)</t>
  </si>
  <si>
    <t xml:space="preserve">  Account No. 190</t>
  </si>
  <si>
    <t xml:space="preserve">  Account No. 255 (enter negative)</t>
  </si>
  <si>
    <t xml:space="preserve">LAND HELD FOR FUTURE USE </t>
  </si>
  <si>
    <t>calculated</t>
  </si>
  <si>
    <t xml:space="preserve">  Materials &amp; Supplies (Note G)</t>
  </si>
  <si>
    <t>TE</t>
  </si>
  <si>
    <t xml:space="preserve">  Prepayments</t>
  </si>
  <si>
    <t>GP</t>
  </si>
  <si>
    <t>RATE BASE  (sum lines 18, 24, 25, and 29)</t>
  </si>
  <si>
    <t xml:space="preserve">  Transmission </t>
  </si>
  <si>
    <t xml:space="preserve">     Less Account 565</t>
  </si>
  <si>
    <t>12i.A.8.a</t>
  </si>
  <si>
    <t xml:space="preserve">  A&amp;G</t>
  </si>
  <si>
    <t xml:space="preserve">     Less FERC Annual Fees</t>
  </si>
  <si>
    <t xml:space="preserve">  Transmission Lease Payments</t>
  </si>
  <si>
    <t xml:space="preserve">  LABOR RELATED</t>
  </si>
  <si>
    <t xml:space="preserve">          Payroll</t>
  </si>
  <si>
    <t xml:space="preserve">          Highway and vehicle</t>
  </si>
  <si>
    <t xml:space="preserve">  PLANT RELATED</t>
  </si>
  <si>
    <t xml:space="preserve">         Property</t>
  </si>
  <si>
    <t xml:space="preserve">         Gross Receipts</t>
  </si>
  <si>
    <t xml:space="preserve">         Other</t>
  </si>
  <si>
    <t xml:space="preserve">         Payments in lieu of taxes</t>
  </si>
  <si>
    <t xml:space="preserve">INCOME TAXES          </t>
  </si>
  <si>
    <t>(Note K)</t>
  </si>
  <si>
    <t xml:space="preserve">     T=1 - {[(1 - SIT) * (1 - FIT)] / (1 - SIT * FIT * p)} =</t>
  </si>
  <si>
    <t xml:space="preserve">     CIT=(T/1-T) * (1-(WCLTD/R)) =</t>
  </si>
  <si>
    <t xml:space="preserve">       and FIT, SIT &amp; p are as given in footnote K.</t>
  </si>
  <si>
    <t xml:space="preserve">      1 / (1 - T)  = (from line 21)</t>
  </si>
  <si>
    <t>Income Tax Calculation = line 22 * line 28</t>
  </si>
  <si>
    <t>ITC adjustment (line 23 * line 24)</t>
  </si>
  <si>
    <t>Total Income Taxes</t>
  </si>
  <si>
    <t>(line 25 plus line 26)</t>
  </si>
  <si>
    <t xml:space="preserve">RETURN </t>
  </si>
  <si>
    <t xml:space="preserve">                SUPPORTING CALCULATIONS AND NOTES</t>
  </si>
  <si>
    <t xml:space="preserve">TRANSMISSION EXPENSES </t>
  </si>
  <si>
    <t>TE=</t>
  </si>
  <si>
    <t>TRANSMISSION PLANT INCLUDED IN ISO RATES</t>
  </si>
  <si>
    <t>TP=</t>
  </si>
  <si>
    <t>WAGES &amp; SALARY ALLOCATOR   (W&amp;S)</t>
  </si>
  <si>
    <t>$</t>
  </si>
  <si>
    <t>Allocation</t>
  </si>
  <si>
    <t>W&amp;S Allocator</t>
  </si>
  <si>
    <t xml:space="preserve">  Other</t>
  </si>
  <si>
    <t>($ / Allocation)</t>
  </si>
  <si>
    <t>=</t>
  </si>
  <si>
    <t>% Electric</t>
  </si>
  <si>
    <t>Labor Ratio</t>
  </si>
  <si>
    <t xml:space="preserve">  Electric</t>
  </si>
  <si>
    <t>(line 17 / line 20)</t>
  </si>
  <si>
    <t>(line 16)</t>
  </si>
  <si>
    <t xml:space="preserve">  Gas</t>
  </si>
  <si>
    <t>*</t>
  </si>
  <si>
    <t xml:space="preserve">  Water</t>
  </si>
  <si>
    <t>RETURN (R)</t>
  </si>
  <si>
    <t>Cost</t>
  </si>
  <si>
    <t>%</t>
  </si>
  <si>
    <t>(Note P)</t>
  </si>
  <si>
    <t>Weighted</t>
  </si>
  <si>
    <t xml:space="preserve">  Long Term Debt</t>
  </si>
  <si>
    <t>=WCLTD</t>
  </si>
  <si>
    <t xml:space="preserve">  Proprietary Capital</t>
  </si>
  <si>
    <t>=R</t>
  </si>
  <si>
    <t>REVENUE CREDITS</t>
  </si>
  <si>
    <t>Load</t>
  </si>
  <si>
    <t xml:space="preserve">  a. Bundled Non-RQ Sales for Resale</t>
  </si>
  <si>
    <t>(Note Q)</t>
  </si>
  <si>
    <t xml:space="preserve">  Total of (a)-(b)</t>
  </si>
  <si>
    <t>ACCOUNT 456 (OTHER ELECTRIC REVENUES)</t>
  </si>
  <si>
    <t xml:space="preserve">  a. Transmission charges for all transmission transactions </t>
  </si>
  <si>
    <t>General Note:  References to pages in this formulary rate are indicated as:  (page#, line#, col.#)</t>
  </si>
  <si>
    <t>Note</t>
  </si>
  <si>
    <t>Letter</t>
  </si>
  <si>
    <t>A</t>
  </si>
  <si>
    <t>B</t>
  </si>
  <si>
    <t>C</t>
  </si>
  <si>
    <t>D</t>
  </si>
  <si>
    <t>E</t>
  </si>
  <si>
    <t>F</t>
  </si>
  <si>
    <t>G</t>
  </si>
  <si>
    <t>H</t>
  </si>
  <si>
    <t>I</t>
  </si>
  <si>
    <t>J</t>
  </si>
  <si>
    <t>K</t>
  </si>
  <si>
    <t>FIT =</t>
  </si>
  <si>
    <t>SIT=</t>
  </si>
  <si>
    <t xml:space="preserve">  (State Income Tax Rate or Composite SIT)</t>
  </si>
  <si>
    <t>p =</t>
  </si>
  <si>
    <t xml:space="preserve">  (percent of federal income tax deductible for state purposes)</t>
  </si>
  <si>
    <t>L</t>
  </si>
  <si>
    <t>M</t>
  </si>
  <si>
    <t>N</t>
  </si>
  <si>
    <t>O</t>
  </si>
  <si>
    <t>P</t>
  </si>
  <si>
    <t>Q</t>
  </si>
  <si>
    <t>R</t>
  </si>
  <si>
    <t>Includes income related only to transmission facilities, such as pole attachments, rentals and special use.</t>
  </si>
  <si>
    <t>(page 4, line 33)</t>
  </si>
  <si>
    <t xml:space="preserve">  Less 12 CP or Contract Demands from service over one year provided by ISO at a discount (enter negative)</t>
  </si>
  <si>
    <t>WORKING CAPITAL (Note H)</t>
  </si>
  <si>
    <t xml:space="preserve">  CWC  </t>
  </si>
  <si>
    <t xml:space="preserve">  b. Bundled Sales for Resale included in Divisor on page 1 </t>
  </si>
  <si>
    <t xml:space="preserve">  b. Transmission charges for all transmission transactions included in Divisor on page 1</t>
  </si>
  <si>
    <t>(page 4, line 30)</t>
  </si>
  <si>
    <t xml:space="preserve">  Total  (sum lines 12-15)</t>
  </si>
  <si>
    <t>(Note T)</t>
  </si>
  <si>
    <t>zero</t>
  </si>
  <si>
    <t>5a</t>
  </si>
  <si>
    <t>Transmission plant included in ISO rates  (line 1 less lines 2 &amp; 3)</t>
  </si>
  <si>
    <t>Transmission related only.</t>
  </si>
  <si>
    <t>Removes dollar amount of transmission expenses included in the OATT ancillary services rates, including all of Account No. 561.</t>
  </si>
  <si>
    <t>Enter dollar amounts</t>
  </si>
  <si>
    <t>S</t>
  </si>
  <si>
    <t>T</t>
  </si>
  <si>
    <t>TOTAL O&amp;M  (sum lines 1, 3, 5a, 6, 7 less lines 2, 4, 5)</t>
  </si>
  <si>
    <t>12h.A.16.e</t>
  </si>
  <si>
    <t>12h.B.1-4.f</t>
  </si>
  <si>
    <t>12h.B.5.f</t>
  </si>
  <si>
    <t>12h.B.6.f</t>
  </si>
  <si>
    <t>12h.G.4.d + 5.d.</t>
  </si>
  <si>
    <t>12h.B.5.c</t>
  </si>
  <si>
    <t>Amortized Investment Tax Credit (enter negative)</t>
  </si>
  <si>
    <t>U</t>
  </si>
  <si>
    <t>V</t>
  </si>
  <si>
    <t xml:space="preserve">REV. REQUIREMENT TO BE COLLECTED UNDER </t>
  </si>
  <si>
    <t>32a</t>
  </si>
  <si>
    <t>Proprietary Capital Cost Rate =</t>
  </si>
  <si>
    <t>TIER =</t>
  </si>
  <si>
    <t xml:space="preserve">  [Rate Base (page 2, line 30) * Rate of Return (page 4, line 24)]</t>
  </si>
  <si>
    <t>(Note E)</t>
  </si>
  <si>
    <t>(Note G)</t>
  </si>
  <si>
    <t>References to data from RUS Form 12 are indicated as:   #.x.y.z  (page,section, line, column)</t>
  </si>
  <si>
    <t>To the extent the page references to RUS Form 12 are missing, the entity will include a "Notes" section in the RUS 12 to provide this data.</t>
  </si>
  <si>
    <t>(line 16 / 52; line 16 / 52)</t>
  </si>
  <si>
    <t>(line 7 / line 15)</t>
  </si>
  <si>
    <t>(line 1- line 7)</t>
  </si>
  <si>
    <t>(line 2- line 8)</t>
  </si>
  <si>
    <t>(line 3 - line 9)</t>
  </si>
  <si>
    <t>(line 4 - line 10)</t>
  </si>
  <si>
    <t>(line 5 - line 11)</t>
  </si>
  <si>
    <t>ADJUSTMENTS TO RATE BASE  (Note F)</t>
  </si>
  <si>
    <t xml:space="preserve">     Less EPRI &amp; Reg. Comm. Exp. &amp; Non-safety Ad.  (Note I)</t>
  </si>
  <si>
    <t>TAXES OTHER THAN INCOME TAXES  (Note J)</t>
  </si>
  <si>
    <t>REV. REQUIREMENT  (sum lines 8, 12, 20, 27, 28)</t>
  </si>
  <si>
    <t>Attachment GG]</t>
  </si>
  <si>
    <t>[Revenue requirement for facilities included on page 2, line 2, and also included in</t>
  </si>
  <si>
    <t>Less transmission plant excluded from ISO rates  (Note M)</t>
  </si>
  <si>
    <t>Total transmission plant  (page 2, line 2, column 3)</t>
  </si>
  <si>
    <t>Total transmission expenses  (page 3, line 1, column 3)</t>
  </si>
  <si>
    <t>Less transmission expenses included in OATT Ancillary Services  (Note L)</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</si>
  <si>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</si>
  <si>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</si>
  <si>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</si>
  <si>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</si>
  <si>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COMMON PLANT ALLOCATOR  (CE)  (Note O)</t>
  </si>
  <si>
    <t xml:space="preserve">  Total  (sum lines 17-19)</t>
  </si>
  <si>
    <t>Total  (sum lines 22-23)</t>
  </si>
  <si>
    <t>ACCOUNT 447  (SALES FOR RESALE)</t>
  </si>
  <si>
    <t>ACCOUNT 454 (RENT FROM ELECTRIC PROPERTY)  (Note R)</t>
  </si>
  <si>
    <t>FERC Annual Charge ($/MWh)</t>
  </si>
  <si>
    <t>Network &amp; P-to-P Rate ($/kW/Mo)  (line 16 / 12)</t>
  </si>
  <si>
    <t xml:space="preserve">  Less Contract Demand from Grandfathered Interzonal transactions over one year (enter negative)  (Note S)</t>
  </si>
  <si>
    <t>TOTAL GROSS PLANT  (sum lines 1-5)</t>
  </si>
  <si>
    <t>TOTAL ACCUM. DEPRECIATION  (sum lines 7-11)</t>
  </si>
  <si>
    <t>TOTAL NET PLANT  (sum lines 13-17)</t>
  </si>
  <si>
    <t>TOTAL ADJUSTMENTS  (sum lines 19 - 23)</t>
  </si>
  <si>
    <t>TOTAL WORKING CAPITAL  (sum lines 26 - 28)</t>
  </si>
  <si>
    <t xml:space="preserve">     Plus Transmission Related Reg. Comm. Exp.  (Note I)</t>
  </si>
  <si>
    <t>TOTAL DEPRECIATION  (sum lines 9 - 11)</t>
  </si>
  <si>
    <t>TOTAL OTHER TAXES  (sum lines 13 - 19)</t>
  </si>
  <si>
    <t>Less transmission plant included in OATT Ancillary Services  (Note N )</t>
  </si>
  <si>
    <t>Percentage of transmission plant included in ISO Rates  (line 4 divided by line 1)</t>
  </si>
  <si>
    <t>Inputs Required:</t>
  </si>
  <si>
    <t>Line 5 - EPRI Annual Membership Dues, all Regulatory Commission Expenses, and non-safety related advertising.  Line 5a - Regulatory Commission Expenses directly related to transmission service, ISO filings, or transmission siting.</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</si>
  <si>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</si>
  <si>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Removes transmission plant determined by Commission order to be state-jurisdictional according to the seven-factor test (until RUS 12 balances are adjusted to reflect application of seven-factor test).</t>
  </si>
  <si>
    <t>Line 29 must equal zero since all short-term power sales must be unbundled and the transmission component reflected in Account No. 456 and all other uses are to be included in the divisor.</t>
  </si>
  <si>
    <t>GROSS REVENUE REQUIREMENT  (page 3, line 31)</t>
  </si>
  <si>
    <t>(line 16 / 260; line 16 / 365)</t>
  </si>
  <si>
    <t>(line 16 / 4,160; line 16 / 8,760</t>
  </si>
  <si>
    <t>LESS ATTACHMENT GG ADJUSTMENT [Attachment GG, page 2, line 3,</t>
  </si>
  <si>
    <t>column 10]  (Note U)</t>
  </si>
  <si>
    <t xml:space="preserve">The utility's maximum monthly megawatt load (60-minute integration) for RQ service at time of applicable pricing zone coincident monthly peaks. RQ service is service which the supplier plans to provide on an on-going basis (i.e., the supplier includes projected load for this service in its system resource planning). </t>
  </si>
  <si>
    <t>Includes LF, IF, LU, IU service.  LF means "firm service" (cannot be interrupted for economic reasons and is intended to remain reliable even under adverse conditions), and long-term (duration of at least five years); does not meet definition of RQ service.  IF is "firm service" for a term longer than one but less than five years.  LU is service from a designated generating unit, of a term no less than five years.  LI is service from a designated generating unit for a term between one and five years.  Measured at time of applicable pricing zone coincident monthly peaks.</t>
  </si>
  <si>
    <t xml:space="preserve"> LF as defined above at time of applicable pricing zone coincident monthly peaks.</t>
  </si>
  <si>
    <t>30a</t>
  </si>
  <si>
    <t>LESS ATTACHMENT MM ADJUSTMENT [Attachment MM, page 2, line 3,</t>
  </si>
  <si>
    <t>Attachment MM]</t>
  </si>
  <si>
    <t>ATTACHMENT O (line 29 - line 30 - line 30a)</t>
  </si>
  <si>
    <t xml:space="preserve">  Total of (a)-(b)-(c)-(d)</t>
  </si>
  <si>
    <t>32b</t>
  </si>
  <si>
    <t>W</t>
  </si>
  <si>
    <t>X</t>
  </si>
  <si>
    <t>GROSS PLANT IN SERVICE  (Note Y)</t>
  </si>
  <si>
    <t>12h.A.1&amp;18.e</t>
  </si>
  <si>
    <t>ACCUMULATED DEPRECIATION  (Note Y)</t>
  </si>
  <si>
    <t>12a.B.25</t>
  </si>
  <si>
    <t>O&amp;M  (Note Z)</t>
  </si>
  <si>
    <t>12a.A.8.b + A.17.b</t>
  </si>
  <si>
    <t>12a.A.14.b + A.20.b</t>
  </si>
  <si>
    <t>DEPRECIATION AND AMORTIZATION EXPENSE  (Note Y)</t>
  </si>
  <si>
    <t>12h.B.7.c &amp; 12h.B.12.c</t>
  </si>
  <si>
    <t xml:space="preserve">              Long Term Interest  12a.A.24.b</t>
  </si>
  <si>
    <t>12a.B.39</t>
  </si>
  <si>
    <t>12a.B.46 + B.47 + B.52 + B.53 + B.54</t>
  </si>
  <si>
    <t>Cash Working Capital assigned to transmission is one-eighth of O&amp;M allocated to transmission at page 3, line 8, column 5.  Prepayments are the electric related prepayments booked to Account No. 165 and reported on Section B, line 25 in the RUS 12.</t>
  </si>
  <si>
    <t>Y</t>
  </si>
  <si>
    <t>Plant in Service, Accumulated Depreciation, and Depreciation Expense amounts exclude Asset Retirement Obligation amounts unless authorized by FERC.</t>
  </si>
  <si>
    <t>Schedule 10-FERC charges should not be included in O&amp;M recovered under this Attachment O.</t>
  </si>
  <si>
    <t>Z</t>
  </si>
  <si>
    <t xml:space="preserve">       where WCLTD = (page 4, line 22) and R= (page 4, line 24)</t>
  </si>
  <si>
    <t>= WS</t>
  </si>
  <si>
    <t>The FERC's annual charges for the year assessed the Transmission Owner for service under this tariff, if any.</t>
  </si>
  <si>
    <t>Grandfathered agreements whose rates have been changed to eliminate or mitigate pancaking - the revenues are included in line 4, page 1 and the loads are included in line 13, page 1.  Grandfathered agreements whose rates have not been changed to eliminate or mitigate pancaking - the revenues are not included in line 4, page 1 nor are the loads included in line 13, page 1.</t>
  </si>
  <si>
    <t>The revenues credited on page 1, lines 2-5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facilities not included in this template (e.g., direct assignment facilities and GSUs) which are not recovered under this Rate Formula Template.</t>
  </si>
  <si>
    <r>
      <t xml:space="preserve">UNITED STATES DEPARTMENT OF AGRICULTURE 
RURAL UTILITIES SERVICE
</t>
    </r>
    <r>
      <rPr>
        <b/>
        <sz val="10"/>
        <color rgb="FF231F20"/>
        <rFont val="Times New Roman"/>
        <family val="18"/>
      </rPr>
      <t>FINANCIAL AND OPERATING REPORT 
ELECTRIC POWER SUPPLY
PART A - FINANCIAL</t>
    </r>
  </si>
  <si>
    <r>
      <rPr>
        <sz val="10"/>
        <color rgb="FF231F20"/>
        <rFont val="Times New Roman"/>
        <family val="18"/>
      </rPr>
      <t>INSTRUCTIONS - See help in the online application.</t>
    </r>
  </si>
  <si>
    <r>
      <rPr>
        <b/>
        <sz val="10"/>
        <color rgb="FF211E1E"/>
        <rFont val="Times New Roman"/>
        <family val="18"/>
      </rPr>
      <t>ITEM</t>
    </r>
  </si>
  <si>
    <r>
      <rPr>
        <b/>
        <sz val="10"/>
        <color rgb="FF211E1E"/>
        <rFont val="Times New Roman"/>
        <family val="18"/>
      </rPr>
      <t>YEAR-TO-DATE</t>
    </r>
  </si>
  <si>
    <r>
      <t>LAST YEAR 
(</t>
    </r>
    <r>
      <rPr>
        <b/>
        <i/>
        <sz val="10"/>
        <color rgb="FF211E1E"/>
        <rFont val="Times New Roman"/>
        <family val="18"/>
      </rPr>
      <t>a</t>
    </r>
    <r>
      <rPr>
        <b/>
        <sz val="10"/>
        <color rgb="FF211E1E"/>
        <rFont val="Times New Roman"/>
        <family val="18"/>
      </rPr>
      <t>)</t>
    </r>
  </si>
  <si>
    <r>
      <t>THIS YEAR 
(</t>
    </r>
    <r>
      <rPr>
        <b/>
        <i/>
        <sz val="10"/>
        <color rgb="FF211E1E"/>
        <rFont val="Times New Roman"/>
        <family val="18"/>
      </rPr>
      <t>b</t>
    </r>
    <r>
      <rPr>
        <b/>
        <sz val="10"/>
        <color rgb="FF211E1E"/>
        <rFont val="Times New Roman"/>
        <family val="18"/>
      </rPr>
      <t>)</t>
    </r>
  </si>
  <si>
    <r>
      <t>BUDGET 
(</t>
    </r>
    <r>
      <rPr>
        <b/>
        <i/>
        <sz val="10"/>
        <color rgb="FF211E1E"/>
        <rFont val="Times New Roman"/>
        <family val="18"/>
      </rPr>
      <t>c</t>
    </r>
    <r>
      <rPr>
        <b/>
        <sz val="10"/>
        <color rgb="FF211E1E"/>
        <rFont val="Times New Roman"/>
        <family val="18"/>
      </rPr>
      <t>)</t>
    </r>
  </si>
  <si>
    <r>
      <t>THIS MONTH 
(</t>
    </r>
    <r>
      <rPr>
        <b/>
        <i/>
        <sz val="10"/>
        <color rgb="FF211E1E"/>
        <rFont val="Times New Roman"/>
        <family val="18"/>
      </rPr>
      <t>d</t>
    </r>
    <r>
      <rPr>
        <b/>
        <sz val="10"/>
        <color rgb="FF211E1E"/>
        <rFont val="Times New Roman"/>
        <family val="18"/>
      </rPr>
      <t>)</t>
    </r>
  </si>
  <si>
    <t>Electric Energy Revenues</t>
  </si>
  <si>
    <t>Income From Leased Property (Net)</t>
  </si>
  <si>
    <t>Other Operating Revenue and Income</t>
  </si>
  <si>
    <t>Total Operation Revenues &amp; Patronage Capital (1 thru 3)</t>
  </si>
  <si>
    <t>Operating Expense – Production - Excluding Fuel</t>
  </si>
  <si>
    <t>Operating Expense – Production - Fuel</t>
  </si>
  <si>
    <t>Operating Expense – Other Power Supply</t>
  </si>
  <si>
    <t>Operating Expense – Transmission</t>
  </si>
  <si>
    <t>Operating Expense – RTO/ISO</t>
  </si>
  <si>
    <t>Operating Expense – Distribution</t>
  </si>
  <si>
    <t>Operating Expense – Customer Accounts</t>
  </si>
  <si>
    <t>Operating Expense – Customer Service &amp; Information</t>
  </si>
  <si>
    <t>Operating Expense – Sales</t>
  </si>
  <si>
    <t>Operating Expense – Administrative &amp; General</t>
  </si>
  <si>
    <t>Total Operation Expense (5 thru 14)</t>
  </si>
  <si>
    <t>Maintenance Expense – Production</t>
  </si>
  <si>
    <t>Maintenance Expense – Transmission</t>
  </si>
  <si>
    <t>Maintenance Expense – RTO/ISO</t>
  </si>
  <si>
    <t>Maintenance Expense – Distribution</t>
  </si>
  <si>
    <t>Maintenance Expense – General Plant</t>
  </si>
  <si>
    <t>Total Maintenance Expense (16 thru 20)</t>
  </si>
  <si>
    <t>Depreciation and Amortization Expense</t>
  </si>
  <si>
    <t>Taxes</t>
  </si>
  <si>
    <t>Interest on Long-Term Debt</t>
  </si>
  <si>
    <t>Interest Charged to Construction – Credit</t>
  </si>
  <si>
    <t>Other Interest Expense</t>
  </si>
  <si>
    <t>Asset Retirement Obligations</t>
  </si>
  <si>
    <t>Other Deductions</t>
  </si>
  <si>
    <t>Total Cost Of Electric Service (15 + 21 thru 28)</t>
  </si>
  <si>
    <t>Operating Margins (4 less 29)</t>
  </si>
  <si>
    <t>Interest Income</t>
  </si>
  <si>
    <t>Allowance For Funds Used During Construction</t>
  </si>
  <si>
    <t>Income (Loss) from Equity Investments</t>
  </si>
  <si>
    <t>Other Non-operating Income (Net)</t>
  </si>
  <si>
    <t>Generation &amp; Transmission Capital Credits</t>
  </si>
  <si>
    <t>Other Capital Credits and Patronage Dividends</t>
  </si>
  <si>
    <t>Extraordinary Items</t>
  </si>
  <si>
    <t>Net Patronage Capital Or Margins (30 thru 37)</t>
  </si>
  <si>
    <t>RUS Financial and Operating Report Electric Power Supply – Part A - Financial</t>
  </si>
  <si>
    <r>
      <rPr>
        <sz val="10"/>
        <color rgb="FF231F20"/>
        <rFont val="Times New Roman"/>
        <family val="1"/>
      </rPr>
      <t xml:space="preserve">UNITED STATES DEPARTMENT OF AGRICULTURE RURAL UTILITIES SERVICE
</t>
    </r>
    <r>
      <rPr>
        <b/>
        <sz val="10"/>
        <color rgb="FF211E1E"/>
        <rFont val="Times New Roman"/>
        <family val="1"/>
      </rPr>
      <t>FINANCIAL AND OPERATING REPORT ELECTRIC POWER SUPPLY
PART A - FINANCIAL</t>
    </r>
  </si>
  <si>
    <r>
      <rPr>
        <sz val="10"/>
        <color rgb="FF211E1E"/>
        <rFont val="Times New Roman"/>
        <family val="1"/>
      </rPr>
      <t>INSTRUCTIONS – See help in the online application.</t>
    </r>
  </si>
  <si>
    <r>
      <rPr>
        <b/>
        <sz val="10"/>
        <color rgb="FF211E1E"/>
        <rFont val="Times New Roman"/>
        <family val="1"/>
      </rPr>
      <t>SECTION B. BALANCE SHEET</t>
    </r>
  </si>
  <si>
    <r>
      <rPr>
        <b/>
        <sz val="10"/>
        <color rgb="FF211E1E"/>
        <rFont val="Times New Roman"/>
        <family val="1"/>
      </rPr>
      <t>ASSETS AND OTHER DEBITS</t>
    </r>
  </si>
  <si>
    <r>
      <rPr>
        <b/>
        <sz val="10"/>
        <color rgb="FF211E1E"/>
        <rFont val="Times New Roman"/>
        <family val="1"/>
      </rPr>
      <t>LIABILITIES AND OTHER CREDITS</t>
    </r>
  </si>
  <si>
    <t>Total Utility Plant in Service</t>
  </si>
  <si>
    <t>Memberships</t>
  </si>
  <si>
    <t>Construction Work in Progress</t>
  </si>
  <si>
    <t>Patronage Capital</t>
  </si>
  <si>
    <t>Total Utility Plant (1 + 2)</t>
  </si>
  <si>
    <t xml:space="preserve">     a. Assigned and Assignable </t>
  </si>
  <si>
    <t>Accum. Provision for Depreciation and Amortization</t>
  </si>
  <si>
    <t xml:space="preserve">     b. Retired this Year</t>
  </si>
  <si>
    <t>Net Utility Plant (3 - 4)</t>
  </si>
  <si>
    <t xml:space="preserve">     c. Retired Prior Years</t>
  </si>
  <si>
    <t>Non-Utility Property (Net)</t>
  </si>
  <si>
    <t xml:space="preserve">     d. Net Patronage Capital (a - b - c)</t>
  </si>
  <si>
    <t>Investments in Subsidiary Companies</t>
  </si>
  <si>
    <t>Operating Margins - Prior Years</t>
  </si>
  <si>
    <t>Operating Margin - Current Year</t>
  </si>
  <si>
    <t>Invest. in Assoc. Org. - Other - General Funds</t>
  </si>
  <si>
    <t>Non-Operating Margins</t>
  </si>
  <si>
    <t>Invest. in Assoc. Org. - Other - Nongeneral Funds</t>
  </si>
  <si>
    <t>Other Margins and Equities</t>
  </si>
  <si>
    <t>Investments in Economic Development Projects</t>
  </si>
  <si>
    <t>Total Margins &amp; Equities (33 +34 thru 38)</t>
  </si>
  <si>
    <t>Other Investments</t>
  </si>
  <si>
    <t>Special Funds</t>
  </si>
  <si>
    <t>Long-Term Debt - FFB - RUS Guaranteed</t>
  </si>
  <si>
    <r>
      <t xml:space="preserve">14
</t>
    </r>
    <r>
      <rPr>
        <b/>
        <sz val="8"/>
        <color rgb="FF211E1E"/>
        <rFont val="Times New Roman"/>
        <family val="18"/>
      </rPr>
      <t/>
    </r>
  </si>
  <si>
    <t>Total Other Property And Investments (6 thru 13)</t>
  </si>
  <si>
    <t>Long-Term Debt - Other - RUS Guaranteed</t>
  </si>
  <si>
    <t>Cash - General Funds</t>
  </si>
  <si>
    <t xml:space="preserve"> Long-Term Debt - Other (Net)</t>
  </si>
  <si>
    <t>Cash - Construction Funds - Trustee</t>
  </si>
  <si>
    <t>Long-Term Debt - RUS - Econ. Devel. (Net)</t>
  </si>
  <si>
    <t>Special Deposits</t>
  </si>
  <si>
    <t>Payments – Unapplied</t>
  </si>
  <si>
    <t>Temporary Investments</t>
  </si>
  <si>
    <t>Total Long-Term Debt (40 thru 44 - 45)</t>
  </si>
  <si>
    <t>Notes Receivable (Net)</t>
  </si>
  <si>
    <t>Obligations Under Capital Leases Noncurrent</t>
  </si>
  <si>
    <t>Accounts Receivable - Sales of Energy (Net)</t>
  </si>
  <si>
    <t>Accumulated Operating Provisions and Asset Retirement Obligations</t>
  </si>
  <si>
    <t>Accounts Receivable - Other (Net)</t>
  </si>
  <si>
    <t>Total Other NonCurrent Liabilities (47 + 48)</t>
  </si>
  <si>
    <t>Fuel Stock</t>
  </si>
  <si>
    <t>Notes Payable</t>
  </si>
  <si>
    <t>Renewable Energy Credits</t>
  </si>
  <si>
    <t>Accounts Payable</t>
  </si>
  <si>
    <t>Materials and Supplies - Other</t>
  </si>
  <si>
    <t>Current Maturities Long-Term Debt</t>
  </si>
  <si>
    <t>Prepayments</t>
  </si>
  <si>
    <t>Current Maturities Long-Term Debt - Rural Devel.</t>
  </si>
  <si>
    <t>Other Current and Accrued Assets</t>
  </si>
  <si>
    <t>Current Maturities Capital Leases</t>
  </si>
  <si>
    <t>Total Current And Accrued Assets</t>
  </si>
  <si>
    <t>Taxes Accrued</t>
  </si>
  <si>
    <t>Unamortized Debt Discount &amp; Extraordinary Property Losses</t>
  </si>
  <si>
    <t>Consumer Deposits</t>
  </si>
  <si>
    <t>Regulatory Assets</t>
  </si>
  <si>
    <t>Other Current and Accrued Liabilities</t>
  </si>
  <si>
    <t>Other Deferred Debits</t>
  </si>
  <si>
    <t>Total Current &amp; Accrued Liabilities (50 thru 57)</t>
  </si>
  <si>
    <t>Accumulated Deferred Income Taxes</t>
  </si>
  <si>
    <t>Deferred Credits</t>
  </si>
  <si>
    <t>Total Assets and Other Debits (5+14+27 thru 31)</t>
  </si>
  <si>
    <t>Total Liabilities and Other Credits (39 + 46 + 49 + 58 thru 60)</t>
  </si>
  <si>
    <r>
      <rPr>
        <sz val="10"/>
        <color rgb="FF231F20"/>
        <rFont val="Times New Roman"/>
        <family val="18"/>
      </rPr>
      <t xml:space="preserve">UNITED STATES DEPARTMENT OF AGRICULTURE 
RURAL UTILITIES SERVICE
</t>
    </r>
    <r>
      <rPr>
        <b/>
        <sz val="10"/>
        <color rgb="FF211E1E"/>
        <rFont val="Times New Roman"/>
        <family val="18"/>
      </rPr>
      <t>FINANCIAL AND OPERATING REPORT 
ELECTRIC POWER SUPPLY
PART H - ANNUAL SUPPLEMENT</t>
    </r>
  </si>
  <si>
    <r>
      <rPr>
        <b/>
        <sz val="10"/>
        <color rgb="FF211E1E"/>
        <rFont val="Times New Roman"/>
        <family val="18"/>
      </rPr>
      <t>SECTION A. UTILITY PLANT</t>
    </r>
  </si>
  <si>
    <r>
      <t>BALANCE
BEGINNING OF YEAR 
(</t>
    </r>
    <r>
      <rPr>
        <b/>
        <i/>
        <sz val="10"/>
        <color rgb="FF211E1E"/>
        <rFont val="Times New Roman"/>
        <family val="18"/>
      </rPr>
      <t>a</t>
    </r>
    <r>
      <rPr>
        <b/>
        <sz val="10"/>
        <color rgb="FF211E1E"/>
        <rFont val="Times New Roman"/>
        <family val="18"/>
      </rPr>
      <t>)</t>
    </r>
  </si>
  <si>
    <t>ADDITIONS 
(b)</t>
  </si>
  <si>
    <r>
      <t>RETIREMENTS 
(</t>
    </r>
    <r>
      <rPr>
        <b/>
        <i/>
        <sz val="10"/>
        <color rgb="FF211E1E"/>
        <rFont val="Times New Roman"/>
        <family val="18"/>
      </rPr>
      <t>c</t>
    </r>
    <r>
      <rPr>
        <b/>
        <sz val="10"/>
        <color rgb="FF211E1E"/>
        <rFont val="Times New Roman"/>
        <family val="18"/>
      </rPr>
      <t>)</t>
    </r>
  </si>
  <si>
    <r>
      <t>ADJUSTMENTS
AND TRANSFERS 
(</t>
    </r>
    <r>
      <rPr>
        <b/>
        <i/>
        <sz val="10"/>
        <color rgb="FF211E1E"/>
        <rFont val="Times New Roman"/>
        <family val="18"/>
      </rPr>
      <t>d</t>
    </r>
    <r>
      <rPr>
        <b/>
        <sz val="10"/>
        <color rgb="FF211E1E"/>
        <rFont val="Times New Roman"/>
        <family val="18"/>
      </rPr>
      <t>)</t>
    </r>
  </si>
  <si>
    <r>
      <t>BALANCE
END OF YEAR 
(</t>
    </r>
    <r>
      <rPr>
        <b/>
        <i/>
        <sz val="10"/>
        <color rgb="FF211E1E"/>
        <rFont val="Times New Roman"/>
        <family val="18"/>
      </rPr>
      <t>e</t>
    </r>
    <r>
      <rPr>
        <b/>
        <sz val="10"/>
        <color rgb="FF211E1E"/>
        <rFont val="Times New Roman"/>
        <family val="18"/>
      </rPr>
      <t>)</t>
    </r>
  </si>
  <si>
    <t>Total Intangible Plant (301 thru 303)</t>
  </si>
  <si>
    <t>Total Steam Production Plant (310 thru 317)</t>
  </si>
  <si>
    <t>Total Nuclear Production Plant (320 thru 326)</t>
  </si>
  <si>
    <t>Total Hydro Production Plant (330 thru 337)</t>
  </si>
  <si>
    <t>Total Other Production Plant (340 thru 347)</t>
  </si>
  <si>
    <t>Total Production Plant (2 thru 5)</t>
  </si>
  <si>
    <t>Land and Land Rights (350)</t>
  </si>
  <si>
    <t>Structures and Improvements (352)</t>
  </si>
  <si>
    <t>Station Equipment (353)</t>
  </si>
  <si>
    <t>Other Transmission Plant (354 thru 359.1)</t>
  </si>
  <si>
    <t>Total Transmission Plant (7 thru 10)</t>
  </si>
  <si>
    <t>Land and Land Rights (360)</t>
  </si>
  <si>
    <t>Structures and Improvements (361)</t>
  </si>
  <si>
    <t>Station Equipment (362)</t>
  </si>
  <si>
    <t>Other Distribution Plant (363 thru 374)</t>
  </si>
  <si>
    <t>Total Distribution Plant (12 thru 15)</t>
  </si>
  <si>
    <t>RTO/ISO Plant (380 thru 386)</t>
  </si>
  <si>
    <t xml:space="preserve">Total General Plant (389 thru 399.1) </t>
  </si>
  <si>
    <t>Electric Plant Purchased or Sold (102)</t>
  </si>
  <si>
    <t>Electric Plant Leased to Others (104)</t>
  </si>
  <si>
    <t>Electric Plant Held for Future Use (105)</t>
  </si>
  <si>
    <t>Completed Construction Not Classified (106)</t>
  </si>
  <si>
    <t>Acquisition Adjustments (114)</t>
  </si>
  <si>
    <t>Other Utility Plant (118)</t>
  </si>
  <si>
    <t>Nuclear Fuel Assemblies (120.1 thru 120.4)</t>
  </si>
  <si>
    <t>Total Utility Plant in Service (19 thru 26)</t>
  </si>
  <si>
    <t>Construction Work in Progress (107)</t>
  </si>
  <si>
    <t>Total Utility Plant (27 + 28)</t>
  </si>
  <si>
    <t>COMP. RATE 
(%)
(a)</t>
  </si>
  <si>
    <t>Depr. of Steam Prod. Plant (108.1)</t>
  </si>
  <si>
    <t>Depr. of Nuclear Prod. Plant (108.2)</t>
  </si>
  <si>
    <t>Depr. of Hydraulic Prod. Plant (108.3)</t>
  </si>
  <si>
    <t>Depr. of Other Prod. Plant (108.4)</t>
  </si>
  <si>
    <t>Depr. of Transmission Plant (108.5)</t>
  </si>
  <si>
    <t>Depr. of Distribution Plant (108.6)</t>
  </si>
  <si>
    <t>Depr. of General Plant (108.7)</t>
  </si>
  <si>
    <t>Retirement Work in Progress (108.8)</t>
  </si>
  <si>
    <t>Total Depr. for Elec. Plant in Serv. (1-8)
              (1 thru 8)</t>
  </si>
  <si>
    <t>Depr. of Plant Leased to Others (109)</t>
  </si>
  <si>
    <t>Depr. of Plant Held for Future Use  (110)</t>
  </si>
  <si>
    <t>Amort. of Elec. Plant in Service (111)</t>
  </si>
  <si>
    <t>Amort. of Leased Plant (112)</t>
  </si>
  <si>
    <t>Amort. of Plant Held for Future Use</t>
  </si>
  <si>
    <t>Amort. of Acquisition Adj. (115)</t>
  </si>
  <si>
    <t>Depr. &amp; Amort. Other Plant (119)</t>
  </si>
  <si>
    <t>Amort. of Nuclear Fuel (120.5)</t>
  </si>
  <si>
    <r>
      <rPr>
        <sz val="10"/>
        <rFont val="Times New Roman"/>
        <family val="18"/>
      </rPr>
      <t>RUS Financial and Operating Report Electric Power Supply – Part H - Annual Supplement</t>
    </r>
  </si>
  <si>
    <t>RUS Financial and Operating Report Electric Power Supply – Part H - Annual Supplement</t>
  </si>
  <si>
    <r>
      <t xml:space="preserve">UNITED STATES DEPARTMENT OF AGRICULTURE 
RURAL UTILITIES SERVICE
</t>
    </r>
    <r>
      <rPr>
        <b/>
        <sz val="10"/>
        <color rgb="FF231F20"/>
        <rFont val="Times New Roman"/>
        <family val="18"/>
      </rPr>
      <t>FINANCIAL AND OPERATING REPORT 
ELECTRIC POWER SUPPLY
PART H - ANNUAL SUPPLEMENT</t>
    </r>
  </si>
  <si>
    <r>
      <rPr>
        <b/>
        <sz val="10"/>
        <color rgb="FF231F20"/>
        <rFont val="Times New Roman"/>
        <family val="18"/>
      </rPr>
      <t>SECTION G. MATERIALS AND SUPPLIES INVENTORY</t>
    </r>
  </si>
  <si>
    <r>
      <rPr>
        <b/>
        <sz val="10"/>
        <color rgb="FF231F20"/>
        <rFont val="Times New Roman"/>
        <family val="18"/>
      </rPr>
      <t>ITEM</t>
    </r>
  </si>
  <si>
    <t>BALANCE BEGINNING OF YEAR</t>
  </si>
  <si>
    <r>
      <t>PURCHASED &amp; SALVAGED 
(</t>
    </r>
    <r>
      <rPr>
        <b/>
        <i/>
        <sz val="10"/>
        <color rgb="FF231F20"/>
        <rFont val="Times New Roman"/>
        <family val="18"/>
      </rPr>
      <t>b</t>
    </r>
    <r>
      <rPr>
        <b/>
        <sz val="10"/>
        <color rgb="FF231F20"/>
        <rFont val="Times New Roman"/>
        <family val="18"/>
      </rPr>
      <t>)</t>
    </r>
  </si>
  <si>
    <r>
      <t>USED &amp; SOLD 
(</t>
    </r>
    <r>
      <rPr>
        <b/>
        <i/>
        <sz val="10"/>
        <color rgb="FF231F20"/>
        <rFont val="Times New Roman"/>
        <family val="18"/>
      </rPr>
      <t>c</t>
    </r>
    <r>
      <rPr>
        <b/>
        <sz val="10"/>
        <color rgb="FF231F20"/>
        <rFont val="Times New Roman"/>
        <family val="18"/>
      </rPr>
      <t>)</t>
    </r>
  </si>
  <si>
    <r>
      <t>BALANCE END OF YEAR 
(</t>
    </r>
    <r>
      <rPr>
        <b/>
        <i/>
        <sz val="10"/>
        <color rgb="FF231F20"/>
        <rFont val="Times New Roman"/>
        <family val="18"/>
      </rPr>
      <t>d</t>
    </r>
    <r>
      <rPr>
        <b/>
        <sz val="10"/>
        <color rgb="FF231F20"/>
        <rFont val="Times New Roman"/>
        <family val="18"/>
      </rPr>
      <t>)</t>
    </r>
  </si>
  <si>
    <t>Coal</t>
  </si>
  <si>
    <t>Other Fuel</t>
  </si>
  <si>
    <t>Production Plant Parts and Supplies</t>
  </si>
  <si>
    <t>Station Transformers and Equipment</t>
  </si>
  <si>
    <t>Line Materials and Supplies</t>
  </si>
  <si>
    <t>Other Materials and Supplies</t>
  </si>
  <si>
    <t>Total (1 thru 6)</t>
  </si>
  <si>
    <t>Number of Full Time Employees</t>
  </si>
  <si>
    <t>Payroll Expensed</t>
  </si>
  <si>
    <t>Man-Hours Worked –  Regular Time</t>
  </si>
  <si>
    <t>Payroll Capitalized</t>
  </si>
  <si>
    <t>Man-Hours Worked – Overtime</t>
  </si>
  <si>
    <t>Payroll Other</t>
  </si>
  <si>
    <r>
      <rPr>
        <sz val="7"/>
        <color rgb="FF231F20"/>
        <rFont val="Times New Roman"/>
        <family val="18"/>
      </rPr>
      <t xml:space="preserve">UNITED STATES DEPARTMENT OF AGRICULTURE 
RURAL UTILITIES SERVICE
</t>
    </r>
    <r>
      <rPr>
        <b/>
        <sz val="8"/>
        <color rgb="FF231F20"/>
        <rFont val="Times New Roman"/>
        <family val="18"/>
      </rPr>
      <t>FINANCIAL AND OPERATING REPORT 
ELECTRIC POWER SUPPLY
PART I - LINES AND STATIONS</t>
    </r>
  </si>
  <si>
    <r>
      <rPr>
        <sz val="8"/>
        <color rgb="FF231F20"/>
        <rFont val="Times New Roman"/>
        <family val="18"/>
      </rPr>
      <t>INSTRUCTIONS - See help in the online application.</t>
    </r>
  </si>
  <si>
    <r>
      <rPr>
        <b/>
        <sz val="8"/>
        <color rgb="FF231F20"/>
        <rFont val="Times New Roman"/>
        <family val="18"/>
      </rPr>
      <t>SECTION A. EXPENSES AND COSTS</t>
    </r>
  </si>
  <si>
    <r>
      <rPr>
        <b/>
        <sz val="8"/>
        <color rgb="FF231F20"/>
        <rFont val="Times New Roman"/>
        <family val="18"/>
      </rPr>
      <t>ITEM</t>
    </r>
  </si>
  <si>
    <r>
      <rPr>
        <b/>
        <sz val="8"/>
        <color rgb="FF231F20"/>
        <rFont val="Times New Roman"/>
        <family val="18"/>
      </rPr>
      <t xml:space="preserve">ACCOUNT
</t>
    </r>
    <r>
      <rPr>
        <b/>
        <sz val="8"/>
        <color rgb="FF231F20"/>
        <rFont val="Times New Roman"/>
        <family val="18"/>
      </rPr>
      <t>NUMBER</t>
    </r>
  </si>
  <si>
    <r>
      <rPr>
        <b/>
        <sz val="8"/>
        <color rgb="FF231F20"/>
        <rFont val="Times New Roman"/>
        <family val="18"/>
      </rPr>
      <t xml:space="preserve">LINES
</t>
    </r>
    <r>
      <rPr>
        <b/>
        <sz val="8"/>
        <color rgb="FF231F20"/>
        <rFont val="Times New Roman"/>
        <family val="18"/>
      </rPr>
      <t>(</t>
    </r>
    <r>
      <rPr>
        <b/>
        <i/>
        <sz val="8"/>
        <color rgb="FF231F20"/>
        <rFont val="Times New Roman"/>
        <family val="18"/>
      </rPr>
      <t>a</t>
    </r>
    <r>
      <rPr>
        <b/>
        <sz val="8"/>
        <color rgb="FF231F20"/>
        <rFont val="Times New Roman"/>
        <family val="18"/>
      </rPr>
      <t>)</t>
    </r>
  </si>
  <si>
    <r>
      <rPr>
        <b/>
        <sz val="8"/>
        <color rgb="FF231F20"/>
        <rFont val="Times New Roman"/>
        <family val="18"/>
      </rPr>
      <t xml:space="preserve">STATIONS
</t>
    </r>
    <r>
      <rPr>
        <b/>
        <sz val="8"/>
        <color rgb="FF231F20"/>
        <rFont val="Times New Roman"/>
        <family val="18"/>
      </rPr>
      <t>(</t>
    </r>
    <r>
      <rPr>
        <b/>
        <i/>
        <sz val="8"/>
        <color rgb="FF231F20"/>
        <rFont val="Times New Roman"/>
        <family val="18"/>
      </rPr>
      <t>b</t>
    </r>
    <r>
      <rPr>
        <b/>
        <sz val="8"/>
        <color rgb="FF231F20"/>
        <rFont val="Times New Roman"/>
        <family val="18"/>
      </rPr>
      <t>)</t>
    </r>
  </si>
  <si>
    <t>Supervision and Engineering</t>
  </si>
  <si>
    <t>Load Dispatching</t>
  </si>
  <si>
    <t>Station Expenses</t>
  </si>
  <si>
    <t>Overhead Line Expenses</t>
  </si>
  <si>
    <t>Underground Line Expenses</t>
  </si>
  <si>
    <t>Miscellaneous Expenses</t>
  </si>
  <si>
    <t>Subtotal (1 thru 6)</t>
  </si>
  <si>
    <t>Transmission of Electricity by Others</t>
  </si>
  <si>
    <t>Rents</t>
  </si>
  <si>
    <t>Total Transmission Operation (7 thru 9)</t>
  </si>
  <si>
    <t>Transmission Maintenance</t>
  </si>
  <si>
    <t>Structures</t>
  </si>
  <si>
    <t>Station Equipment</t>
  </si>
  <si>
    <t>Overhead Lines</t>
  </si>
  <si>
    <t>Underground Lines</t>
  </si>
  <si>
    <t>Miscellaneous Transmission Plant</t>
  </si>
  <si>
    <t>Total Transmission Maintenance (11 thru 16)</t>
  </si>
  <si>
    <t>Total Transmission Expense (10 + 17)</t>
  </si>
  <si>
    <t>RTO/ISO Expense – Operation</t>
  </si>
  <si>
    <t>RTO/ISO Expense – Maintenance</t>
  </si>
  <si>
    <t>Total RTO/ISO Expense (19 + 20)</t>
  </si>
  <si>
    <t>Distribution Expense - Operation</t>
  </si>
  <si>
    <t>Distribution Expense - Maintenance</t>
  </si>
  <si>
    <t>Total Distribution Expense (22 + 23)</t>
  </si>
  <si>
    <t>Total Operation And Maintenance (18 + 21 + 24)</t>
  </si>
  <si>
    <t>Fixed Costs</t>
  </si>
  <si>
    <t>Depreciation – Transmission</t>
  </si>
  <si>
    <t>Depreciation – Distribution</t>
  </si>
  <si>
    <t>Interest – Transmission</t>
  </si>
  <si>
    <t>Interest – Distribution</t>
  </si>
  <si>
    <t>Total Transmission (18 + 26 + 28 )</t>
  </si>
  <si>
    <t>Total Distribution (24 + 27 + 29 )</t>
  </si>
  <si>
    <t>Total Lines And Stations (21 + 30 + 31)</t>
  </si>
  <si>
    <t>Attachment O divisor</t>
  </si>
  <si>
    <t>Jan</t>
  </si>
  <si>
    <t>Feb</t>
  </si>
  <si>
    <t>Mar</t>
  </si>
  <si>
    <t>Apr</t>
  </si>
  <si>
    <t>May</t>
  </si>
  <si>
    <t>Jun</t>
  </si>
  <si>
    <t>Jul</t>
  </si>
  <si>
    <t>Aug</t>
  </si>
  <si>
    <t>Sep</t>
  </si>
  <si>
    <t>Oct</t>
  </si>
  <si>
    <t>Nov</t>
  </si>
  <si>
    <t>Dec</t>
  </si>
  <si>
    <t>Sub total</t>
  </si>
  <si>
    <t>Average _1/, _2/</t>
  </si>
  <si>
    <t xml:space="preserve">should be reported on Attachment O, page 1, line 8, </t>
  </si>
  <si>
    <t>_1/  Indicate Midwest ISO Pricing Zone in which this load is located.</t>
  </si>
  <si>
    <t>_2/  Indicate if the amount reported represents bundled load only.  _______</t>
  </si>
  <si>
    <t>Do the above numbers include any GFA related load?  If yes, provide the following</t>
  </si>
  <si>
    <t xml:space="preserve">By month for each GFA, provide the GFA #, the GFA load, and the GFA transmission revenues </t>
  </si>
  <si>
    <t>June</t>
  </si>
  <si>
    <t>Average</t>
  </si>
  <si>
    <t>GFA #</t>
  </si>
  <si>
    <t>GFA Load</t>
  </si>
  <si>
    <t>GFA Trans Rev</t>
  </si>
  <si>
    <t>NOT APPLICABLE</t>
  </si>
  <si>
    <t xml:space="preserve">Attachment O, page 2, line 25 </t>
  </si>
  <si>
    <t>Land Held For Future Use</t>
  </si>
  <si>
    <t>Production</t>
  </si>
  <si>
    <t>should be reported on Attachment O, page 2, line 25</t>
  </si>
  <si>
    <t xml:space="preserve">Distribution </t>
  </si>
  <si>
    <t>Other</t>
  </si>
  <si>
    <t xml:space="preserve">should tie to RUS Form 12 Part H Section A, line 22, column e </t>
  </si>
  <si>
    <t xml:space="preserve">   please provide an explanation if the total does not tie</t>
  </si>
  <si>
    <r>
      <rPr>
        <b/>
        <u val="double"/>
        <sz val="14"/>
        <color theme="1"/>
        <rFont val="Calibri"/>
        <family val="2"/>
        <scheme val="minor"/>
      </rPr>
      <t xml:space="preserve">Note: </t>
    </r>
    <r>
      <rPr>
        <sz val="11"/>
        <color theme="1"/>
        <rFont val="Calibri"/>
        <family val="2"/>
        <scheme val="minor"/>
      </rPr>
      <t xml:space="preserve"> Amounts reported on this work paper must meet the definition of USofA account 105. </t>
    </r>
  </si>
  <si>
    <r>
      <rPr>
        <b/>
        <sz val="11"/>
        <color theme="1"/>
        <rFont val="Calibri"/>
        <family val="2"/>
        <scheme val="minor"/>
      </rPr>
      <t>Below -</t>
    </r>
    <r>
      <rPr>
        <sz val="11"/>
        <color theme="1"/>
        <rFont val="Calibri"/>
        <family val="2"/>
        <scheme val="minor"/>
      </rPr>
      <t xml:space="preserve"> Provide a brief but descriptive list of the Transmission land held for future use</t>
    </r>
  </si>
  <si>
    <t>and the amounts related to each item of Transmission land held for future use</t>
  </si>
  <si>
    <t>Attachment O, page 2, line 27</t>
  </si>
  <si>
    <t>Materials and Supplies</t>
  </si>
  <si>
    <t>Rept on Attach O</t>
  </si>
  <si>
    <t>pg 2, line 27</t>
  </si>
  <si>
    <t>Attachment O, page 3, line 4</t>
  </si>
  <si>
    <t>Account</t>
  </si>
  <si>
    <t>FERC fees recorded to expense during the year</t>
  </si>
  <si>
    <t>Charged</t>
  </si>
  <si>
    <t>Brief Description</t>
  </si>
  <si>
    <t>FERC fees payable to FERC</t>
  </si>
  <si>
    <t>FERC fees paid to MISO via Schedule 10-FERC</t>
  </si>
  <si>
    <t>Other FERC fees paid</t>
  </si>
  <si>
    <t>Should be reported on Attach O, page 3, line 4</t>
  </si>
  <si>
    <t>at any time during the year, and therefore did not record any FERC Fees to</t>
  </si>
  <si>
    <t>expense during the year.</t>
  </si>
  <si>
    <t>Attachment O, page 3, lines 5 and 5a</t>
  </si>
  <si>
    <t>EPRI Costs</t>
  </si>
  <si>
    <t>recorded in account ________</t>
  </si>
  <si>
    <r>
      <t xml:space="preserve">Regulatory Commission Expense (provide a brief but descriptive list of charges)  </t>
    </r>
    <r>
      <rPr>
        <b/>
        <sz val="12"/>
        <color theme="1"/>
        <rFont val="Calibri"/>
        <family val="2"/>
        <scheme val="minor"/>
      </rPr>
      <t>Indicate by yellow highlight if Transmission Related</t>
    </r>
  </si>
  <si>
    <t>Rate case - docket XX</t>
  </si>
  <si>
    <t>Fuel adjustment clause docket XX</t>
  </si>
  <si>
    <t>Other - provide description</t>
  </si>
  <si>
    <t xml:space="preserve">       Total Regulatory Commission Expense</t>
  </si>
  <si>
    <t>Non Safety Advertising (provide a brief but descriptive list of charges</t>
  </si>
  <si>
    <t xml:space="preserve">       Total Non-safety Advertising Expense</t>
  </si>
  <si>
    <t>Total EPRI, Reg Comm exp, &amp; non-safety adv</t>
  </si>
  <si>
    <t>Should be reported on Attachment O, page 3, line 5</t>
  </si>
  <si>
    <t>Total of transmission related reg comm</t>
  </si>
  <si>
    <t>Total of amounts highlighted in yellow above should be reported on</t>
  </si>
  <si>
    <t xml:space="preserve">  Attachment O, page 3, line 5a.  You will need to adjust this formula to</t>
  </si>
  <si>
    <t xml:space="preserve">  pick up the yellow highlighted cells</t>
  </si>
  <si>
    <r>
      <t>If a zero is reported</t>
    </r>
    <r>
      <rPr>
        <b/>
        <u/>
        <sz val="11"/>
        <color theme="1"/>
        <rFont val="Calibri"/>
        <family val="2"/>
        <scheme val="minor"/>
      </rPr>
      <t xml:space="preserve"> for any category above</t>
    </r>
    <r>
      <rPr>
        <b/>
        <sz val="11"/>
        <color theme="1"/>
        <rFont val="Calibri"/>
        <family val="2"/>
        <scheme val="minor"/>
      </rPr>
      <t>, please provide a brief explanation as to why.</t>
    </r>
  </si>
  <si>
    <t>Taxes Other Than Income Taxes</t>
  </si>
  <si>
    <t>Payroll</t>
  </si>
  <si>
    <t>Attachment O, page 3, line 13</t>
  </si>
  <si>
    <t>Highway &amp; Vehicle</t>
  </si>
  <si>
    <t>Attachment O, page 3, line 14</t>
  </si>
  <si>
    <t>Property</t>
  </si>
  <si>
    <t>Attachment O, page 3, line 16</t>
  </si>
  <si>
    <t>Attachment O, page 3, line 17</t>
  </si>
  <si>
    <t>Other - please explain</t>
  </si>
  <si>
    <t>Attachment O, page 3, line 18</t>
  </si>
  <si>
    <t>Fed &amp; State income Tax</t>
  </si>
  <si>
    <t>Not reported on Attach O</t>
  </si>
  <si>
    <t xml:space="preserve">  please provide explanation if it doesn't</t>
  </si>
  <si>
    <t xml:space="preserve">Some companies record payroll taxes directly to each function (production, transmission,….ect).  </t>
  </si>
  <si>
    <t>Transmission Plant Excl from ISO Rates - Attach O, pg 4, line 2</t>
  </si>
  <si>
    <t>XXXXX</t>
  </si>
  <si>
    <t>Report on Attach O, pg 4, line 2</t>
  </si>
  <si>
    <t>Items that are recorded to the transmission plant accounts that are not transmission should be reported</t>
  </si>
  <si>
    <t xml:space="preserve">here. </t>
  </si>
  <si>
    <t>If your Company has received a Commission (state or FERC) Order related to the seven-factor test,</t>
  </si>
  <si>
    <t>please provide a copy of the Commission Order and fill out the above worksheet.  The Order should</t>
  </si>
  <si>
    <t>support the amounts reported above.</t>
  </si>
  <si>
    <t xml:space="preserve">If your Company is not regulated (state or FERC) MISO will perform a seven factor analysis.  If, per MISO's </t>
  </si>
  <si>
    <t>analysis, some of the facilities that are recorded to transmission asset accounts are not transmission facilities,</t>
  </si>
  <si>
    <t>those amounts should be reported here.</t>
  </si>
  <si>
    <t xml:space="preserve">If a zero is reported above, please confirm here in writing that you have no transmission plant that should be </t>
  </si>
  <si>
    <t>Transmission Plant Included in OATT Ancillary Services - Attach O, pg 4, line 3</t>
  </si>
  <si>
    <t>Amount  _1/</t>
  </si>
  <si>
    <t>Report on Attach O, pg 4, line 3</t>
  </si>
  <si>
    <t xml:space="preserve">_1/  Should reflect the dollar amount of transmission plant included in the development of OATT ancillary services rates </t>
  </si>
  <si>
    <t>and generation step-up facilities (which are deemed included in OATT ancillary services).  For these purposes, generation</t>
  </si>
  <si>
    <t>step-up facilities are those facilities at a generator substation on which there is no through-flow when the generator is</t>
  </si>
  <si>
    <t>shut down.</t>
  </si>
  <si>
    <t xml:space="preserve">If a zero is reported above, please confirm here in writing that you have no transmission plant that is included in the </t>
  </si>
  <si>
    <t>development of OATT ancillary services.</t>
  </si>
  <si>
    <t>Attachment O, page 4, lines 12 - 15</t>
  </si>
  <si>
    <t>Report on Attachment O, page 4, line 12</t>
  </si>
  <si>
    <t>Report on Attachment O, page 4, line 13</t>
  </si>
  <si>
    <t>Report on Attachment O, page 4, line 14</t>
  </si>
  <si>
    <t>Attachment O, page 4, lines 30 - 32</t>
  </si>
  <si>
    <t>Source of Transmission Revenue</t>
  </si>
  <si>
    <t>Description</t>
  </si>
  <si>
    <t>Total Account  Balance for the Year</t>
  </si>
  <si>
    <t>Include on Page 4, Line 30- Account 454</t>
  </si>
  <si>
    <t xml:space="preserve">Include on Page 4, Line 31- All transmission transactions </t>
  </si>
  <si>
    <t>Include on Page 4, Line 32- Transmission transactions included in Divisor</t>
  </si>
  <si>
    <t>Totals</t>
  </si>
  <si>
    <t>Allocated M&amp;S to transmission based on Plant in Service</t>
  </si>
  <si>
    <t>SECTION A. STATEMENT OF OPERATIONS</t>
  </si>
  <si>
    <r>
      <rPr>
        <b/>
        <sz val="10"/>
        <color rgb="FF231F20"/>
        <rFont val="Times New Roman"/>
        <family val="1"/>
      </rPr>
      <t>Transmission Operation</t>
    </r>
  </si>
  <si>
    <t xml:space="preserve"> Long-Term Debt - CFC (Net)</t>
  </si>
  <si>
    <t>SECTION B. ACCUMULATED PROVISION FOR DEPRECIATION AND AMORTIZATION - UTILITY PLANT</t>
  </si>
  <si>
    <t>ITEM</t>
  </si>
  <si>
    <t>BALANCE 
BEGINNING OF 
YEAR
(b)</t>
  </si>
  <si>
    <t>ANNUAL ACCRUALS (c)</t>
  </si>
  <si>
    <t>RETIREMENTS
LESS NET SALVAGE 
(d)</t>
  </si>
  <si>
    <t>ADJUSTMENTS AND TRANSFERS 
(e)</t>
  </si>
  <si>
    <t>BALANCE 
END OF YEAR
(f)</t>
  </si>
  <si>
    <t>SECTION J. MAN-HOUR AND PAYROLL STATISTICS</t>
  </si>
  <si>
    <t>575.1-575.8</t>
  </si>
  <si>
    <t>576.1-576.5</t>
  </si>
  <si>
    <t>580-589</t>
  </si>
  <si>
    <t>590-598</t>
  </si>
  <si>
    <t>Total Excluded</t>
  </si>
  <si>
    <t>Electric Plant in Service (1 + 6 + 11 + 16-18)</t>
  </si>
  <si>
    <t>Total Prov. for Depr. &amp; Amort. (9 thru 17)</t>
  </si>
  <si>
    <t>Gross Receipts</t>
  </si>
  <si>
    <t>Gross Plant</t>
  </si>
  <si>
    <t>In Service</t>
  </si>
  <si>
    <t>Distribution</t>
  </si>
  <si>
    <t>Plant Function</t>
  </si>
  <si>
    <t>Total Utility Function</t>
  </si>
  <si>
    <t>Percent</t>
  </si>
  <si>
    <t>of Total</t>
  </si>
  <si>
    <t>above because General Plant would be allocable to each</t>
  </si>
  <si>
    <t>utility function.</t>
  </si>
  <si>
    <t>Total Utility Plant</t>
  </si>
  <si>
    <t>General and Intang</t>
  </si>
  <si>
    <t>Total W&amp;S</t>
  </si>
  <si>
    <t>Report on Attachment O, page 4, line 16</t>
  </si>
  <si>
    <t>recorded in account 913</t>
  </si>
  <si>
    <t>Investment</t>
  </si>
  <si>
    <t>Expense</t>
  </si>
  <si>
    <t xml:space="preserve">Amount </t>
  </si>
  <si>
    <t>Development of OATT ancillary services.</t>
  </si>
  <si>
    <t>Because M&amp;S is not separated on Accounting Records by function.</t>
  </si>
  <si>
    <t>M&amp;S</t>
  </si>
  <si>
    <t>Cooperative does not have any rate case expense related to Transmission.</t>
  </si>
  <si>
    <t>Cooperative does not incur any EPRI dues or costs</t>
  </si>
  <si>
    <t>Data from Cooperative Accounting Records</t>
  </si>
  <si>
    <t>Cooperative does not have any revenue related to or associated with these transmission facilities.</t>
  </si>
  <si>
    <t>Note: did not include General Plant in the allocation workpaper</t>
  </si>
  <si>
    <t>Customer Accounts</t>
  </si>
  <si>
    <t>Customer Service</t>
  </si>
  <si>
    <t>Sales Expense</t>
  </si>
  <si>
    <t>ACCT</t>
  </si>
  <si>
    <t>AMOUNT</t>
  </si>
  <si>
    <t>_1/  Other is to include salaries charged to administer customer accounts 901 - 916 as defined by the USofA</t>
  </si>
  <si>
    <r>
      <rPr>
        <b/>
        <u val="double"/>
        <sz val="14"/>
        <rFont val="Calibri"/>
        <family val="2"/>
        <scheme val="minor"/>
      </rPr>
      <t>NOTE:</t>
    </r>
    <r>
      <rPr>
        <b/>
        <sz val="16"/>
        <rFont val="Calibri"/>
        <family val="2"/>
        <scheme val="minor"/>
      </rPr>
      <t xml:space="preserve">  </t>
    </r>
    <r>
      <rPr>
        <sz val="12"/>
        <rFont val="Calibri"/>
        <family val="2"/>
        <scheme val="minor"/>
      </rPr>
      <t>Amounts reported on this work paper must meet the definition of USofA account 408.1.</t>
    </r>
  </si>
  <si>
    <r>
      <rPr>
        <sz val="10"/>
        <color rgb="FF231F20"/>
        <rFont val="Times New Roman"/>
        <family val="18"/>
      </rPr>
      <t xml:space="preserve">BORROWER DESIGNATION 
</t>
    </r>
    <r>
      <rPr>
        <b/>
        <sz val="16"/>
        <color rgb="FF000000"/>
        <rFont val="Times New Roman"/>
        <family val="1"/>
      </rPr>
      <t>Jasper-Newton Electric Cooperative</t>
    </r>
  </si>
  <si>
    <t xml:space="preserve">JNEC does not have any Transmission Plant that is included in the </t>
  </si>
  <si>
    <t>Jasper-Newton Electric Cooperative</t>
  </si>
  <si>
    <r>
      <t xml:space="preserve">BORROWER DESIGNATION 
</t>
    </r>
    <r>
      <rPr>
        <b/>
        <sz val="16"/>
        <color rgb="FF000000"/>
        <rFont val="Times New Roman"/>
        <family val="1"/>
      </rPr>
      <t>Jasper-Newton Electric Cooperative</t>
    </r>
  </si>
  <si>
    <r>
      <rPr>
        <sz val="10"/>
        <color rgb="FF211E1E"/>
        <rFont val="Times New Roman"/>
        <family val="18"/>
      </rPr>
      <t xml:space="preserve">BORROWER DESIGNATION
</t>
    </r>
    <r>
      <rPr>
        <b/>
        <sz val="16"/>
        <color rgb="FF000000"/>
        <rFont val="Times New Roman"/>
        <family val="1"/>
      </rPr>
      <t>Jasper-Newton Electric Cooperative</t>
    </r>
  </si>
  <si>
    <r>
      <rPr>
        <sz val="10"/>
        <color rgb="FF231F20"/>
        <rFont val="Times New Roman"/>
        <family val="18"/>
      </rPr>
      <t xml:space="preserve">BORROWER DESIGNATION
</t>
    </r>
    <r>
      <rPr>
        <b/>
        <sz val="16"/>
        <color rgb="FF000000"/>
        <rFont val="Times New Roman"/>
        <family val="1"/>
      </rPr>
      <t>Jasper-Newton Electric Cooperative</t>
    </r>
  </si>
  <si>
    <r>
      <rPr>
        <sz val="8"/>
        <color rgb="FF231F20"/>
        <rFont val="Times New Roman"/>
        <family val="18"/>
      </rPr>
      <t xml:space="preserve">BORROWER DESIGNATION
</t>
    </r>
    <r>
      <rPr>
        <b/>
        <sz val="16"/>
        <color rgb="FF000000"/>
        <rFont val="Times New Roman"/>
        <family val="1"/>
      </rPr>
      <t>Jasper-Newton Electric Cooperative</t>
    </r>
  </si>
  <si>
    <t xml:space="preserve">recorded in account 930.60 </t>
  </si>
  <si>
    <t>Buna, Call, Evadale Conversion</t>
  </si>
  <si>
    <t>Call to Peachtree</t>
  </si>
  <si>
    <t>Evadale to Buna Purchase</t>
  </si>
  <si>
    <t>Rayburn to Hwy 63</t>
  </si>
  <si>
    <t>Buna to Call</t>
  </si>
  <si>
    <t>138kV Tie Breaker at Call</t>
  </si>
  <si>
    <t>Evadale to Buna Crossarm Replacement</t>
  </si>
  <si>
    <t>Call Closed Loop Breaker Additions</t>
  </si>
  <si>
    <t>Mill Creek Circuit Breaker/Relay Upgrades</t>
  </si>
  <si>
    <t>T2 Extension to Peachtree</t>
  </si>
  <si>
    <t>Deweyville Substation  (Closed Loop)</t>
  </si>
  <si>
    <t>Bon Wier Sw Station</t>
  </si>
  <si>
    <t>North Buna Sw Station</t>
  </si>
  <si>
    <t>Buna Substation</t>
  </si>
  <si>
    <t>Call Substation</t>
  </si>
  <si>
    <t>Peachtree Substation</t>
  </si>
  <si>
    <t>Union Substation</t>
  </si>
  <si>
    <t>Kirbyville Substation</t>
  </si>
  <si>
    <t>Evadale Substation (As-Built)</t>
  </si>
  <si>
    <t>Ten Mile Substation</t>
  </si>
  <si>
    <t>Holly Springs Substation</t>
  </si>
  <si>
    <t xml:space="preserve">  If that is the case for your company, please indicate here: </t>
  </si>
  <si>
    <t>Sum</t>
  </si>
  <si>
    <t>Total Qualifying Transmission Plant (per Entergy)</t>
  </si>
  <si>
    <t>Total Transmission Plant on Jasper-Newton Form 7</t>
  </si>
  <si>
    <t>Misc. Expense-Advertising (News ads, etc.)</t>
  </si>
  <si>
    <t>Safety Advertising</t>
  </si>
  <si>
    <t>none</t>
  </si>
  <si>
    <r>
      <t xml:space="preserve">Please confirm here that the above </t>
    </r>
    <r>
      <rPr>
        <b/>
        <u/>
        <sz val="11"/>
        <color theme="1"/>
        <rFont val="Calibri"/>
        <family val="2"/>
        <scheme val="minor"/>
      </rPr>
      <t>does not</t>
    </r>
    <r>
      <rPr>
        <sz val="11"/>
        <color theme="1"/>
        <rFont val="Calibri"/>
        <family val="2"/>
        <scheme val="minor"/>
      </rPr>
      <t xml:space="preserve"> contain any capitalized wages.  </t>
    </r>
    <r>
      <rPr>
        <b/>
        <sz val="11"/>
        <color rgb="FFFF0000"/>
        <rFont val="Calibri"/>
        <family val="2"/>
        <scheme val="minor"/>
      </rPr>
      <t>Confirmed - matches "expensed" amount on Tab 4</t>
    </r>
  </si>
  <si>
    <r>
      <t xml:space="preserve">Please confirm here that the above </t>
    </r>
    <r>
      <rPr>
        <b/>
        <u/>
        <sz val="11"/>
        <color theme="1"/>
        <rFont val="Calibri"/>
        <family val="2"/>
        <scheme val="minor"/>
      </rPr>
      <t>does not</t>
    </r>
    <r>
      <rPr>
        <sz val="11"/>
        <color theme="1"/>
        <rFont val="Calibri"/>
        <family val="2"/>
        <scheme val="minor"/>
      </rPr>
      <t xml:space="preserve"> contain any any A&amp;G related wages.  </t>
    </r>
    <r>
      <rPr>
        <b/>
        <sz val="11"/>
        <color rgb="FFFF0000"/>
        <rFont val="Calibri"/>
        <family val="2"/>
        <scheme val="minor"/>
      </rPr>
      <t>Confirmed - only non-A&amp;G labor is shown in W&amp;S Allocator</t>
    </r>
  </si>
  <si>
    <t>Total W&amp;S Excluding A&amp;G</t>
  </si>
  <si>
    <r>
      <t xml:space="preserve">Please indicate here if your company performs work for others and where those costs and related revenues are recorded - </t>
    </r>
    <r>
      <rPr>
        <b/>
        <sz val="11"/>
        <color rgb="FFFF0000"/>
        <rFont val="Calibri"/>
        <family val="2"/>
        <scheme val="minor"/>
      </rPr>
      <t>NONE</t>
    </r>
  </si>
  <si>
    <r>
      <t xml:space="preserve">Also please indicate what line item of the Form 12 includes these costs and related revenues.  - </t>
    </r>
    <r>
      <rPr>
        <b/>
        <sz val="11"/>
        <color rgb="FFFF0000"/>
        <rFont val="Calibri"/>
        <family val="2"/>
        <scheme val="minor"/>
      </rPr>
      <t>NONE</t>
    </r>
  </si>
  <si>
    <t>That is largely the case at Jasper-Newton except for Gross Receipts</t>
  </si>
  <si>
    <r>
      <t xml:space="preserve">excluded from ISO rates.  </t>
    </r>
    <r>
      <rPr>
        <b/>
        <sz val="11"/>
        <color rgb="FFFF0000"/>
        <rFont val="Calibri"/>
        <family val="2"/>
        <scheme val="minor"/>
      </rPr>
      <t xml:space="preserve">CONFIRMED </t>
    </r>
  </si>
  <si>
    <t>Pursuant to Attachment MM of the Midwest ISO Tariff, removes dollar amount of revenue requirements calculated pursuant to Attachment MM.</t>
  </si>
  <si>
    <t>Removes from revenue credits revenues that are distributed pursuant to Schedules associated with Attachment MM of the Midwest ISO Tariff, since the Transmission Owner's Attachment O revenue requirements have already been reduced by the Attachment MM revenue requirements.</t>
  </si>
  <si>
    <t xml:space="preserve">  c. Transmission charges from Schedules associated with Attachment GG (Note V)</t>
  </si>
  <si>
    <t xml:space="preserve">  d. Transmission charges from Schedules associated with Attachment MM (Note X)</t>
  </si>
  <si>
    <t>NOT APPLICABLE - Load is in Entergy Texas Zone</t>
  </si>
  <si>
    <t>None</t>
  </si>
  <si>
    <t>SCADA Facilities booked to Acct. 353</t>
  </si>
  <si>
    <t>Trans Land and Land Rights (MISO Area only)</t>
  </si>
  <si>
    <t>1.  This file is a workable data-populated Formula Rate Template and underlying workpapers.</t>
  </si>
  <si>
    <t>2.  The data is based on the Cooperative's RUS/CFC Form 7 or Form 12 data (file embedded below)</t>
  </si>
  <si>
    <t>3.  Supporting documentation and workpapers are included</t>
  </si>
  <si>
    <t>4.  Sufficient information has been provided to enable Interested Parties to replicate the calculation of the formula results</t>
  </si>
  <si>
    <t>5.  There have been no changes in MISO standard Attachment O formula references</t>
  </si>
  <si>
    <t>6.  There have been no adjustments made to the Applicable Form data in determining formula inputs</t>
  </si>
  <si>
    <t>7.  Greater granularity is included in the workpaper tabs included in this file</t>
  </si>
  <si>
    <t>8.  There have been no changes in accounting that affects inputs to the formula rate or resulting charges under the formula rate</t>
  </si>
  <si>
    <t>ETEC - Jasper-Newton Electric Cooperative</t>
  </si>
  <si>
    <t>Per Protocols:  Section II D.</t>
  </si>
  <si>
    <t>Capitalized</t>
  </si>
  <si>
    <t>Receivable-other</t>
  </si>
  <si>
    <t>Clearing/Fringe/Other</t>
  </si>
  <si>
    <t>Expensed</t>
  </si>
  <si>
    <t>TOTAL</t>
  </si>
  <si>
    <t>Touchstone Energy Marketing (#913)</t>
  </si>
  <si>
    <t>Should tie to RUS Form 7 Part A, Section A, line 15, column b</t>
  </si>
  <si>
    <t>column 14]  (Note W)</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</si>
  <si>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multiplied by (1/1-T) (page 3, line 26).</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</si>
  <si>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</si>
  <si>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Pursuant to Attachment GG of the Midwest ISO Tariff, removes dollar amount of revenue requirements calculated pursuant to Attachment GG.</t>
  </si>
  <si>
    <t>Removes from revenue credits revenues that are distributed pursuant to Schedules associated with Attachment GG of the Midwest ISO Tariff, since the Transmission Owner's Attachment O revenue requirements have already been reduced by the Attachment GG revenue requirements.</t>
  </si>
  <si>
    <t xml:space="preserve">Formula Rate - Non-Levelized </t>
  </si>
  <si>
    <t>page 1 of 5</t>
  </si>
  <si>
    <t xml:space="preserve">     Rate Formula Template</t>
  </si>
  <si>
    <t xml:space="preserve"> Utilizing RUS Form 12 Data</t>
  </si>
  <si>
    <t>6a</t>
  </si>
  <si>
    <t>Adjustments to Net Revenue Requirement (Note AA)</t>
  </si>
  <si>
    <t>6b</t>
  </si>
  <si>
    <t>Interest on Adjustments (Note BB)</t>
  </si>
  <si>
    <t>6c</t>
  </si>
  <si>
    <t>Total Adjustment (line 6a + line 6b)</t>
  </si>
  <si>
    <t>(line 1 minus line 6 plus Line 6c)</t>
  </si>
  <si>
    <t>page 2 of 5</t>
  </si>
  <si>
    <t>12h.B.7.f &amp; 12h.B.12.f</t>
  </si>
  <si>
    <t>page 3 of 5</t>
  </si>
  <si>
    <t>page 4 of 5</t>
  </si>
  <si>
    <t>page 5 of 5</t>
  </si>
  <si>
    <t>AA</t>
  </si>
  <si>
    <t xml:space="preserve">Adjustments required pursuant to Section V (Changes to Annual Updates) of Attachment O.  Refunds shall be entered as a negative number to reduce the </t>
  </si>
  <si>
    <t>net revenue requirement.  Surcharges shall be entered as a positive number to increase the net revenue requirement.</t>
  </si>
  <si>
    <t>BB</t>
  </si>
  <si>
    <t>Interest required pursuant to Section V (Changes to Annual Updates) of Attachment O.  Interest on any refunds shall be entered as a negative number to reduce the</t>
  </si>
  <si>
    <t xml:space="preserve"> net revenue requirement.  Interest on surcharge shall be entered as a positive number to increase the net revenue requirement.</t>
  </si>
  <si>
    <t>These numbers obtained by summing up Accounts 154 through 163 in trial balance.</t>
  </si>
  <si>
    <t>Inputs on this worksheet obtained from trial balance.</t>
  </si>
  <si>
    <t>The balances in Accounts 190, 281, 282 and 283, as adjusted by any amounts in contra accounts identified as regulatory assets or liabilities related to FASB 106 or 109.  Balance of Account 255 is reduced by prior flow throughs and excluded if the utility chose to utilize amortization of tax credits against taxable income as discussed in Note K.  Account 281 is not allocated.</t>
  </si>
  <si>
    <t>Report peak coincident with the pricing zone for each month in KWhs</t>
  </si>
  <si>
    <t>Source</t>
  </si>
  <si>
    <t>Financial Statements - Schedule 2</t>
  </si>
  <si>
    <t>107.20-108.80</t>
  </si>
  <si>
    <t>143.00-143.99</t>
  </si>
  <si>
    <t>416.10-932.10</t>
  </si>
  <si>
    <t>Attachment O-ETEC on behalf of Jasper-Newton</t>
  </si>
  <si>
    <t>ETEC on behalf of Jasper-Newton</t>
  </si>
  <si>
    <t xml:space="preserve">Debt cost rate = long-term interest (Line 21) / long term debt (Line 22).  The Proprietary Capital Cost rate is implicit, a residual calculation after TIER is determined.  TIER will be supported in the filing and no change in TIER may be made absent a filing with the ISO and the FERC, if the entity is under FERC's jurisdiction.  A 50 basis point adder for RTO participation may be added to the ROE or Proprietary Capital Cost up to the upper end of the zone of reasonableness established by FERC for a Transmission Owner that has turned over functional control of its Transmission Facilities to MISO or provides service over Non-transferred Transmission Facilities through the MISO Tariff with MISO acting as agent, subject to the following criteria. By use of this template, ETEC on behalf of Jasper-Newton affirms that it: 1) commits to providing refunds (with interest at the FERC refund interest rates) to the extent that the ROE or zone of reasonableness established in  any future proceeding when applied to the effective date establishing the ETEC on behalf of Jasper-Newton RTO Adder established in Docket No. ER17-893 would result in a lower revenue requirement than that charged; and 2) commits to providing refunds (with interest at the FERC refund interest rates) consistent with any refund effective date established in any other proceedings resulting in a new base ROE or new zone of reasonableness for the MISO transmission owners’ base ROE, to the extent that the ROE or zone of reasonableness established in any such proceedings, when applied as of the refund effective date established in such proceedings, would result in a lower revenue requirement than that charged. The ROE associated with facilities for which a Transmission Customer receives credits under Section 30.9 of the Tariff shall not be increased by the RTO Adder.  </t>
  </si>
  <si>
    <t>Excel sheet "4 - 12h.G&amp;J M&amp;S Inv &amp; Pay Stat," Section G</t>
  </si>
  <si>
    <t>Line 5, Column (d)</t>
  </si>
  <si>
    <t>ETI Allocation of Joint-Zone Revenues to ETEC Family</t>
  </si>
  <si>
    <t>Prior</t>
  </si>
  <si>
    <t>Sch 11</t>
  </si>
  <si>
    <t>PTP and NITS Totals</t>
  </si>
  <si>
    <t>Per Adj</t>
  </si>
  <si>
    <t>Prior Period Adj</t>
  </si>
  <si>
    <t>Sch 7</t>
  </si>
  <si>
    <t>Sch 8</t>
  </si>
  <si>
    <t>Sch 9</t>
  </si>
  <si>
    <t>Grand</t>
  </si>
  <si>
    <t>LT Firm</t>
  </si>
  <si>
    <t>ST Firm</t>
  </si>
  <si>
    <t>Non-Firm</t>
  </si>
  <si>
    <t>Network</t>
  </si>
  <si>
    <t>PTP</t>
  </si>
  <si>
    <t>($)</t>
  </si>
  <si>
    <t>Breakdown of ETEC Monthly TO Revenues - Total</t>
  </si>
  <si>
    <t>Allocation of Point to Point to ETEC TOs</t>
  </si>
  <si>
    <t>Allocation of NITS to ETEC TOs</t>
  </si>
  <si>
    <t>SHECO</t>
  </si>
  <si>
    <t>JNEC</t>
  </si>
  <si>
    <t>DETEC</t>
  </si>
  <si>
    <t>TXLA</t>
  </si>
  <si>
    <t>Check</t>
  </si>
  <si>
    <t xml:space="preserve">Jasper-Newton is not a FERC regulated company and was not a member of an RTO  </t>
  </si>
  <si>
    <t>June 1, 2018 posting file related to the 2017 Attachment O update</t>
  </si>
  <si>
    <t>For the 12 months ended 12/31/17</t>
  </si>
  <si>
    <r>
      <rPr>
        <sz val="10"/>
        <color rgb="FF231F20"/>
        <rFont val="Times New Roman"/>
        <family val="18"/>
      </rPr>
      <t xml:space="preserve">PERIOD ENDED
</t>
    </r>
    <r>
      <rPr>
        <b/>
        <sz val="16"/>
        <color rgb="FF000000"/>
        <rFont val="Times New Roman"/>
        <family val="1"/>
      </rPr>
      <t>December 31, 2017</t>
    </r>
  </si>
  <si>
    <r>
      <rPr>
        <sz val="10"/>
        <color rgb="FF211E1E"/>
        <rFont val="Times New Roman"/>
        <family val="18"/>
      </rPr>
      <t xml:space="preserve">PERIOD ENDED
</t>
    </r>
    <r>
      <rPr>
        <b/>
        <sz val="16"/>
        <color rgb="FF000000"/>
        <rFont val="Times New Roman"/>
        <family val="1"/>
      </rPr>
      <t>December 31, 2017</t>
    </r>
  </si>
  <si>
    <r>
      <rPr>
        <sz val="8"/>
        <color rgb="FF231F20"/>
        <rFont val="Times New Roman"/>
        <family val="18"/>
      </rPr>
      <t xml:space="preserve">PERIOD ENDED
</t>
    </r>
    <r>
      <rPr>
        <b/>
        <sz val="16"/>
        <color rgb="FF000000"/>
        <rFont val="Times New Roman"/>
        <family val="1"/>
      </rPr>
      <t>December 31, 2017</t>
    </r>
  </si>
  <si>
    <t>For the Year ended 12/31/2017</t>
  </si>
  <si>
    <t xml:space="preserve">ROE Determination </t>
  </si>
  <si>
    <t>ROE per EL14-12, Effective 9-28-2016</t>
  </si>
  <si>
    <t>RTO Adder per ER17-893, Effective April 1, 2017</t>
  </si>
  <si>
    <t>Invest. in Assoc. Org. - Patronage Capital</t>
  </si>
  <si>
    <t>Financial Statements - Schedule 1</t>
  </si>
  <si>
    <t>Jasper-Newton Payroll by Account - 2017</t>
  </si>
  <si>
    <t>163.00-396.60</t>
  </si>
  <si>
    <t>Administrative &amp; General</t>
  </si>
  <si>
    <t>2017 Form 7</t>
  </si>
  <si>
    <t>2017 Entergy Payments to ETEC Attachment O Members Under Revenue Sharing Agreement for Service in ETI Transmission Zone</t>
  </si>
  <si>
    <t>ETEC</t>
  </si>
  <si>
    <t>Should match Attachment O page 4, line 33 for respective utility.</t>
  </si>
  <si>
    <t>Workpaper to determine PTP revenues for revenue credits.</t>
  </si>
  <si>
    <t>Brief Description - Qualifying Transmission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</si>
</sst>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2" formatCode="_(&quot;$&quot;* #,##0_);_(&quot;$&quot;* \(#,##0\);_(&quot;$&quot;*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
    <numFmt numFmtId="168" formatCode="0.0000"/>
    <numFmt numFmtId="169" formatCode="&quot;$&quot;#,##0"/>
    <numFmt numFmtId="170" formatCode="&quot;$&quot;#,##0.000"/>
    <numFmt numFmtId="171" formatCode="&quot;$&quot;#,##0.00"/>
    <numFmt numFmtId="172" formatCode="_(&quot;$&quot;* #,##0_);_(&quot;$&quot;* \(#,##0\);_(&quot;$&quot;* &quot;-&quot;??_);_(@_)"/>
    <numFmt numFmtId="173" formatCode="###0;###0"/>
    <numFmt numFmtId="174" formatCode="###0.0;###0.0"/>
    <numFmt numFmtId="175" formatCode="_(* #,##0_);_(* \(#,##0\);_(* &quot;-&quot;??_);_(@_)"/>
    <numFmt numFmtId="176" formatCode="General_)"/>
    <numFmt numFmtId="177" formatCode="0.00_)"/>
    <numFmt numFmtId="178" formatCode="0.0%"/>
  </numFmts>
  <fonts count="113">
    <font>
      <sz val="12"/>
      <name val="Arial MT"/>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Times New Roman"/>
      <family val="1"/>
    </font>
    <font>
      <b/>
      <sz val="12"/>
      <name val="Times New Roman"/>
      <family val="1"/>
    </font>
    <font>
      <sz val="12"/>
      <color indexed="10"/>
      <name val="Times New Roman"/>
      <family val="1"/>
    </font>
    <font>
      <b/>
      <sz val="12"/>
      <color indexed="48"/>
      <name val="Times New Roman"/>
      <family val="1"/>
    </font>
    <font>
      <sz val="10"/>
      <name val="Arial"/>
      <family val="2"/>
    </font>
    <font>
      <sz val="12"/>
      <color indexed="17"/>
      <name val="Arial MT"/>
    </font>
    <font>
      <strike/>
      <sz val="12"/>
      <color indexed="53"/>
      <name val="Arial MT"/>
    </font>
    <font>
      <u/>
      <sz val="12"/>
      <color indexed="17"/>
      <name val="Arial MT"/>
    </font>
    <font>
      <sz val="12"/>
      <name val="Arial MT"/>
    </font>
    <font>
      <b/>
      <sz val="11"/>
      <color theme="1"/>
      <name val="Calibri"/>
      <family val="2"/>
      <scheme val="minor"/>
    </font>
    <font>
      <sz val="10"/>
      <color rgb="FF000000"/>
      <name val="Times New Roman"/>
      <family val="1"/>
    </font>
    <font>
      <sz val="8"/>
      <color rgb="FF231F20"/>
      <name val="Times New Roman"/>
      <family val="2"/>
    </font>
    <font>
      <sz val="8"/>
      <color rgb="FF000000"/>
      <name val="Times New Roman"/>
      <family val="2"/>
    </font>
    <font>
      <sz val="7"/>
      <color rgb="FF231F20"/>
      <name val="Times New Roman"/>
      <family val="18"/>
    </font>
    <font>
      <b/>
      <sz val="8"/>
      <color rgb="FF231F20"/>
      <name val="Times New Roman"/>
      <family val="18"/>
    </font>
    <font>
      <sz val="8"/>
      <color rgb="FF231F20"/>
      <name val="Times New Roman"/>
      <family val="18"/>
    </font>
    <font>
      <b/>
      <sz val="8"/>
      <color rgb="FF211E1E"/>
      <name val="Times New Roman"/>
      <family val="18"/>
    </font>
    <font>
      <b/>
      <i/>
      <sz val="8"/>
      <color rgb="FF231F20"/>
      <name val="Times New Roman"/>
      <family val="18"/>
    </font>
    <font>
      <sz val="10"/>
      <color rgb="FF231F20"/>
      <name val="Times New Roman"/>
      <family val="18"/>
    </font>
    <font>
      <sz val="10"/>
      <color rgb="FF000000"/>
      <name val="Times New Roman"/>
      <family val="18"/>
    </font>
    <font>
      <sz val="10"/>
      <color rgb="FF000000"/>
      <name val="Times New Roman"/>
      <family val="1"/>
    </font>
    <font>
      <sz val="10"/>
      <color rgb="FF231F20"/>
      <name val="Times New Roman"/>
      <family val="1"/>
    </font>
    <font>
      <b/>
      <sz val="10"/>
      <color rgb="FF211E1E"/>
      <name val="Times New Roman"/>
      <family val="1"/>
    </font>
    <font>
      <sz val="10"/>
      <color rgb="FF211E1E"/>
      <name val="Times New Roman"/>
      <family val="1"/>
    </font>
    <font>
      <b/>
      <sz val="10"/>
      <color rgb="FF000000"/>
      <name val="Times New Roman"/>
      <family val="1"/>
    </font>
    <font>
      <b/>
      <sz val="10"/>
      <color rgb="FF231F20"/>
      <name val="Times New Roman"/>
      <family val="18"/>
    </font>
    <font>
      <b/>
      <i/>
      <sz val="10"/>
      <color rgb="FF231F20"/>
      <name val="Times New Roman"/>
      <family val="18"/>
    </font>
    <font>
      <b/>
      <sz val="10"/>
      <color rgb="FF000000"/>
      <name val="Times New Roman"/>
      <family val="18"/>
    </font>
    <font>
      <sz val="10"/>
      <name val="Times New Roman"/>
      <family val="18"/>
    </font>
    <font>
      <b/>
      <sz val="10"/>
      <color rgb="FF211E1E"/>
      <name val="Times New Roman"/>
      <family val="18"/>
    </font>
    <font>
      <sz val="10"/>
      <color rgb="FF211E1E"/>
      <name val="Times New Roman"/>
      <family val="18"/>
    </font>
    <font>
      <b/>
      <i/>
      <sz val="10"/>
      <color rgb="FF211E1E"/>
      <name val="Times New Roman"/>
      <family val="18"/>
    </font>
    <font>
      <b/>
      <sz val="10"/>
      <name val="Times New Roman"/>
      <family val="18"/>
    </font>
    <font>
      <sz val="10"/>
      <name val="Times New Roman"/>
      <family val="1"/>
    </font>
    <font>
      <b/>
      <sz val="10"/>
      <name val="Times New Roman"/>
      <family val="1"/>
    </font>
    <font>
      <b/>
      <sz val="16"/>
      <color rgb="FF000000"/>
      <name val="Times New Roman"/>
      <family val="1"/>
    </font>
    <font>
      <b/>
      <u/>
      <sz val="11"/>
      <color theme="1"/>
      <name val="Calibri"/>
      <family val="2"/>
      <scheme val="minor"/>
    </font>
    <font>
      <u val="singleAccounting"/>
      <sz val="11"/>
      <color theme="1"/>
      <name val="Calibri"/>
      <family val="2"/>
      <scheme val="minor"/>
    </font>
    <font>
      <b/>
      <sz val="14"/>
      <color theme="1"/>
      <name val="Times New Roman"/>
      <family val="1"/>
    </font>
    <font>
      <b/>
      <sz val="16"/>
      <color theme="1"/>
      <name val="Times New Roman"/>
      <family val="1"/>
    </font>
    <font>
      <sz val="14"/>
      <color theme="1"/>
      <name val="Times New Roman"/>
      <family val="1"/>
    </font>
    <font>
      <b/>
      <u val="double"/>
      <sz val="14"/>
      <color theme="1"/>
      <name val="Calibri"/>
      <family val="2"/>
      <scheme val="minor"/>
    </font>
    <font>
      <b/>
      <sz val="12"/>
      <color theme="1"/>
      <name val="Calibri"/>
      <family val="2"/>
      <scheme val="minor"/>
    </font>
    <font>
      <sz val="12"/>
      <name val="Helv"/>
    </font>
    <font>
      <b/>
      <sz val="16"/>
      <name val="Times New Roman"/>
      <family val="1"/>
    </font>
    <font>
      <b/>
      <u/>
      <sz val="10"/>
      <color indexed="12"/>
      <name val="Arial"/>
      <family val="2"/>
    </font>
    <font>
      <sz val="11"/>
      <name val="Arial MT"/>
    </font>
    <font>
      <b/>
      <sz val="10"/>
      <name val="Arial"/>
      <family val="2"/>
    </font>
    <font>
      <b/>
      <u val="doubleAccounting"/>
      <sz val="11"/>
      <name val="Arial MT"/>
    </font>
    <font>
      <sz val="11"/>
      <name val="Calibri"/>
      <family val="2"/>
    </font>
    <font>
      <sz val="9"/>
      <name val="Arial"/>
      <family val="2"/>
    </font>
    <font>
      <sz val="8"/>
      <name val="Arial"/>
      <family val="2"/>
    </font>
    <font>
      <b/>
      <i/>
      <sz val="16"/>
      <name val="Helv"/>
    </font>
    <font>
      <sz val="16"/>
      <color theme="1"/>
      <name val="Times New Roman"/>
      <family val="1"/>
    </font>
    <font>
      <sz val="11"/>
      <name val="Calibri"/>
      <family val="2"/>
      <scheme val="minor"/>
    </font>
    <font>
      <b/>
      <sz val="14"/>
      <color theme="1"/>
      <name val="Calibri"/>
      <family val="2"/>
      <scheme val="minor"/>
    </font>
    <font>
      <b/>
      <sz val="11"/>
      <name val="Arial MT"/>
    </font>
    <font>
      <b/>
      <sz val="10"/>
      <color rgb="FF231F20"/>
      <name val="Times New Roman"/>
      <family val="1"/>
    </font>
    <font>
      <u/>
      <sz val="11"/>
      <name val="Calibri"/>
      <family val="2"/>
      <scheme val="minor"/>
    </font>
    <font>
      <u val="singleAccounting"/>
      <sz val="11"/>
      <name val="Calibri"/>
      <family val="2"/>
      <scheme val="minor"/>
    </font>
    <font>
      <b/>
      <sz val="12"/>
      <name val="Arial MT"/>
    </font>
    <font>
      <b/>
      <sz val="12"/>
      <color rgb="FFFF0000"/>
      <name val="Arial MT"/>
    </font>
    <font>
      <b/>
      <sz val="26"/>
      <color theme="1"/>
      <name val="Calibri"/>
      <family val="2"/>
      <scheme val="minor"/>
    </font>
    <font>
      <b/>
      <sz val="26"/>
      <name val="Calibri"/>
      <family val="2"/>
      <scheme val="minor"/>
    </font>
    <font>
      <sz val="26"/>
      <color theme="1"/>
      <name val="Calibri"/>
      <family val="2"/>
      <scheme val="minor"/>
    </font>
    <font>
      <b/>
      <sz val="10"/>
      <color rgb="FFFF0000"/>
      <name val="Arial"/>
      <family val="2"/>
    </font>
    <font>
      <sz val="26"/>
      <name val="Calibri"/>
      <family val="2"/>
      <scheme val="minor"/>
    </font>
    <font>
      <b/>
      <sz val="11"/>
      <name val="Calibri"/>
      <family val="2"/>
      <scheme val="minor"/>
    </font>
    <font>
      <b/>
      <sz val="16"/>
      <color theme="1"/>
      <name val="Calibri"/>
      <family val="2"/>
      <scheme val="minor"/>
    </font>
    <font>
      <sz val="12"/>
      <name val="Calibri"/>
      <family val="2"/>
      <scheme val="minor"/>
    </font>
    <font>
      <b/>
      <u val="double"/>
      <sz val="14"/>
      <name val="Calibri"/>
      <family val="2"/>
      <scheme val="minor"/>
    </font>
    <font>
      <b/>
      <sz val="16"/>
      <name val="Calibri"/>
      <family val="2"/>
      <scheme val="minor"/>
    </font>
    <font>
      <sz val="12"/>
      <color theme="1"/>
      <name val="Calibri"/>
      <family val="2"/>
      <scheme val="minor"/>
    </font>
    <font>
      <b/>
      <sz val="11"/>
      <color rgb="FFFF0000"/>
      <name val="Calibri"/>
      <family val="2"/>
      <scheme val="minor"/>
    </font>
    <font>
      <u/>
      <sz val="12"/>
      <name val="Arial MT"/>
    </font>
    <font>
      <sz val="12"/>
      <color rgb="FFFF0000"/>
      <name val="Calibri"/>
      <family val="2"/>
      <scheme val="minor"/>
    </font>
    <font>
      <sz val="10"/>
      <name val="Arial"/>
      <family val="2"/>
    </font>
    <font>
      <sz val="18"/>
      <name val="Arial MT"/>
    </font>
    <font>
      <u/>
      <sz val="11"/>
      <color theme="1"/>
      <name val="Calibri"/>
      <family val="2"/>
      <scheme val="minor"/>
    </font>
    <font>
      <sz val="9"/>
      <color theme="1"/>
      <name val="Calibri"/>
      <family val="2"/>
      <scheme val="minor"/>
    </font>
    <font>
      <sz val="11"/>
      <color rgb="FF0070C0"/>
      <name val="Calibri"/>
      <family val="2"/>
      <scheme val="minor"/>
    </font>
    <font>
      <sz val="12"/>
      <color theme="1"/>
      <name val="Times New Roman"/>
      <family val="1"/>
    </font>
    <font>
      <sz val="12"/>
      <color rgb="FF0070C0"/>
      <name val="Times New Roman"/>
      <family val="1"/>
    </font>
    <font>
      <sz val="12"/>
      <color rgb="FFFF0000"/>
      <name val="Times New Roman"/>
      <family val="1"/>
    </font>
    <font>
      <sz val="10"/>
      <name val="Arial MT"/>
    </font>
    <font>
      <sz val="12"/>
      <name val="Arial"/>
      <family val="2"/>
    </font>
    <font>
      <b/>
      <sz val="20"/>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indexed="22"/>
        <bgColor indexed="64"/>
      </patternFill>
    </fill>
    <fill>
      <patternFill patternType="solid">
        <fgColor indexed="26"/>
        <bgColor indexed="64"/>
      </patternFill>
    </fill>
    <fill>
      <patternFill patternType="solid">
        <fgColor theme="4" tint="0.79998168889431442"/>
        <bgColor indexed="64"/>
      </patternFill>
    </fill>
    <fill>
      <patternFill patternType="solid">
        <fgColor rgb="FFCCECFF"/>
        <bgColor indexed="64"/>
      </patternFill>
    </fill>
    <fill>
      <patternFill patternType="solid">
        <fgColor rgb="FFFFFF99"/>
        <bgColor indexed="64"/>
      </patternFill>
    </fill>
    <fill>
      <patternFill patternType="solid">
        <fgColor indexed="43"/>
        <bgColor indexed="64"/>
      </patternFill>
    </fill>
  </fills>
  <borders count="44">
    <border>
      <left/>
      <right/>
      <top/>
      <bottom/>
      <diagonal/>
    </border>
    <border>
      <left/>
      <right/>
      <top/>
      <bottom style="medium">
        <color indexed="64"/>
      </bottom>
      <diagonal/>
    </border>
    <border>
      <left/>
      <right/>
      <top/>
      <bottom style="double">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top style="thin">
        <color rgb="FF000000"/>
      </top>
      <bottom/>
      <diagonal/>
    </border>
    <border>
      <left/>
      <right/>
      <top style="thin">
        <color rgb="FF000000"/>
      </top>
      <bottom/>
      <diagonal/>
    </border>
    <border>
      <left style="thin">
        <color rgb="FF211D1E"/>
      </left>
      <right/>
      <top/>
      <bottom style="thin">
        <color rgb="FF211D1E"/>
      </bottom>
      <diagonal/>
    </border>
    <border>
      <left style="thin">
        <color rgb="FF211D1E"/>
      </left>
      <right/>
      <top style="thin">
        <color rgb="FF211D1E"/>
      </top>
      <bottom style="thin">
        <color rgb="FF211D1E"/>
      </bottom>
      <diagonal/>
    </border>
    <border>
      <left/>
      <right/>
      <top style="thin">
        <color rgb="FF211D1E"/>
      </top>
      <bottom style="thin">
        <color rgb="FF211D1E"/>
      </bottom>
      <diagonal/>
    </border>
    <border>
      <left style="thin">
        <color rgb="FF000000"/>
      </left>
      <right/>
      <top style="thin">
        <color rgb="FF211D1E"/>
      </top>
      <bottom style="thin">
        <color rgb="FF211D1E"/>
      </bottom>
      <diagonal/>
    </border>
    <border>
      <left style="thin">
        <color indexed="64"/>
      </left>
      <right style="thin">
        <color indexed="64"/>
      </right>
      <top style="thin">
        <color indexed="64"/>
      </top>
      <bottom style="thin">
        <color indexed="64"/>
      </bottom>
      <diagonal/>
    </border>
    <border>
      <left style="thin">
        <color rgb="FF000000"/>
      </left>
      <right/>
      <top/>
      <bottom style="thin">
        <color rgb="FF211D1E"/>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indexed="64"/>
      </right>
      <top style="thin">
        <color rgb="FF000000"/>
      </top>
      <bottom/>
      <diagonal/>
    </border>
    <border>
      <left style="thin">
        <color indexed="64"/>
      </left>
      <right/>
      <top style="thin">
        <color rgb="FF000000"/>
      </top>
      <bottom/>
      <diagonal/>
    </border>
    <border>
      <left style="thin">
        <color rgb="FF000000"/>
      </left>
      <right style="thin">
        <color indexed="64"/>
      </right>
      <top style="thin">
        <color rgb="FF000000"/>
      </top>
      <bottom/>
      <diagonal/>
    </border>
    <border>
      <left style="thin">
        <color indexed="64"/>
      </left>
      <right/>
      <top style="thin">
        <color rgb="FF211D1E"/>
      </top>
      <bottom style="thin">
        <color rgb="FF211D1E"/>
      </bottom>
      <diagonal/>
    </border>
    <border>
      <left style="thin">
        <color indexed="64"/>
      </left>
      <right/>
      <top style="thin">
        <color rgb="FF211D1E"/>
      </top>
      <bottom style="thin">
        <color indexed="64"/>
      </bottom>
      <diagonal/>
    </border>
    <border>
      <left style="thin">
        <color rgb="FF211D1E"/>
      </left>
      <right/>
      <top style="thin">
        <color rgb="FF211D1E"/>
      </top>
      <bottom style="thin">
        <color indexed="64"/>
      </bottom>
      <diagonal/>
    </border>
    <border>
      <left style="thin">
        <color indexed="64"/>
      </left>
      <right/>
      <top style="thin">
        <color indexed="64"/>
      </top>
      <bottom style="thin">
        <color rgb="FF000000"/>
      </bottom>
      <diagonal/>
    </border>
    <border>
      <left style="thin">
        <color indexed="64"/>
      </left>
      <right style="thin">
        <color indexed="64"/>
      </right>
      <top style="thin">
        <color indexed="64"/>
      </top>
      <bottom/>
      <diagonal/>
    </border>
    <border>
      <left/>
      <right/>
      <top style="thin">
        <color rgb="FF211D1E"/>
      </top>
      <bottom/>
      <diagonal/>
    </border>
    <border>
      <left style="thin">
        <color rgb="FF211D1E"/>
      </left>
      <right/>
      <top style="thin">
        <color rgb="FF211D1E"/>
      </top>
      <bottom/>
      <diagonal/>
    </border>
    <border>
      <left style="thin">
        <color indexed="64"/>
      </left>
      <right/>
      <top/>
      <bottom style="thin">
        <color rgb="FF211D1E"/>
      </bottom>
      <diagonal/>
    </border>
    <border>
      <left/>
      <right/>
      <top/>
      <bottom style="thin">
        <color rgb="FF211D1E"/>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rgb="FF211D1E"/>
      </left>
      <right/>
      <top/>
      <bottom/>
      <diagonal/>
    </border>
    <border>
      <left/>
      <right/>
      <top style="thin">
        <color indexed="64"/>
      </top>
      <bottom style="medium">
        <color indexed="64"/>
      </bottom>
      <diagonal/>
    </border>
    <border>
      <left/>
      <right style="thin">
        <color indexed="64"/>
      </right>
      <top/>
      <bottom/>
      <diagonal/>
    </border>
  </borders>
  <cellStyleXfs count="41">
    <xf numFmtId="171" fontId="0" fillId="0" borderId="0" applyProtection="0"/>
    <xf numFmtId="44" fontId="30" fillId="0" borderId="0" applyFont="0" applyFill="0" applyBorder="0" applyAlignment="0" applyProtection="0"/>
    <xf numFmtId="43" fontId="34" fillId="0" borderId="0" applyFont="0" applyFill="0" applyBorder="0" applyAlignment="0" applyProtection="0"/>
    <xf numFmtId="0" fontId="36" fillId="0" borderId="0"/>
    <xf numFmtId="0" fontId="46" fillId="0" borderId="0"/>
    <xf numFmtId="0" fontId="25" fillId="0" borderId="0"/>
    <xf numFmtId="43" fontId="25" fillId="0" borderId="0" applyFont="0" applyFill="0" applyBorder="0" applyAlignment="0" applyProtection="0"/>
    <xf numFmtId="44" fontId="25" fillId="0" borderId="0" applyFont="0" applyFill="0" applyBorder="0" applyAlignment="0" applyProtection="0"/>
    <xf numFmtId="176" fontId="69" fillId="0" borderId="0"/>
    <xf numFmtId="0" fontId="30" fillId="0" borderId="0"/>
    <xf numFmtId="171" fontId="34" fillId="0" borderId="0" applyProtection="0"/>
    <xf numFmtId="44" fontId="30" fillId="0" borderId="0" applyFont="0" applyFill="0" applyBorder="0" applyAlignment="0" applyProtection="0"/>
    <xf numFmtId="43" fontId="76" fillId="0" borderId="0" applyFont="0" applyFill="0" applyBorder="0" applyAlignment="0" applyProtection="0"/>
    <xf numFmtId="38" fontId="77" fillId="4" borderId="0" applyNumberFormat="0" applyBorder="0" applyAlignment="0" applyProtection="0"/>
    <xf numFmtId="10" fontId="77" fillId="5" borderId="16" applyNumberFormat="0" applyBorder="0" applyAlignment="0" applyProtection="0"/>
    <xf numFmtId="177" fontId="78" fillId="0" borderId="0"/>
    <xf numFmtId="0" fontId="76" fillId="0" borderId="0"/>
    <xf numFmtId="10" fontId="30" fillId="0" borderId="0" applyFont="0" applyFill="0" applyBorder="0" applyAlignment="0" applyProtection="0"/>
    <xf numFmtId="44" fontId="30"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34" fillId="0" borderId="0" applyFont="0" applyFill="0" applyBorder="0" applyAlignment="0" applyProtection="0"/>
    <xf numFmtId="0" fontId="102" fillId="0" borderId="0"/>
    <xf numFmtId="44" fontId="102" fillId="0" borderId="0" applyFont="0" applyFill="0" applyBorder="0" applyAlignment="0" applyProtection="0"/>
    <xf numFmtId="0" fontId="6" fillId="0" borderId="0"/>
    <xf numFmtId="9" fontId="6" fillId="0" borderId="0" applyFont="0" applyFill="0" applyBorder="0" applyAlignment="0" applyProtection="0"/>
    <xf numFmtId="0" fontId="111" fillId="0" borderId="0"/>
    <xf numFmtId="0" fontId="3" fillId="0" borderId="0"/>
    <xf numFmtId="9" fontId="3" fillId="0" borderId="0" applyFont="0" applyFill="0" applyBorder="0" applyAlignment="0" applyProtection="0"/>
    <xf numFmtId="0" fontId="2" fillId="0" borderId="0"/>
  </cellStyleXfs>
  <cellXfs count="690">
    <xf numFmtId="171" fontId="0" fillId="0" borderId="0" xfId="0" applyAlignment="1"/>
    <xf numFmtId="171" fontId="26" fillId="0" borderId="0" xfId="0" applyFont="1" applyAlignment="1"/>
    <xf numFmtId="171" fontId="26" fillId="0" borderId="0" xfId="0" applyFont="1" applyAlignment="1">
      <alignment horizontal="right"/>
    </xf>
    <xf numFmtId="0" fontId="26" fillId="0" borderId="0" xfId="0" applyNumberFormat="1" applyFont="1" applyAlignment="1" applyProtection="1">
      <protection locked="0"/>
    </xf>
    <xf numFmtId="0" fontId="26" fillId="0" borderId="0" xfId="0" applyNumberFormat="1" applyFont="1" applyProtection="1">
      <protection locked="0"/>
    </xf>
    <xf numFmtId="0" fontId="26" fillId="0" borderId="0" xfId="0" applyNumberFormat="1" applyFont="1"/>
    <xf numFmtId="3" fontId="26" fillId="0" borderId="0" xfId="0" applyNumberFormat="1" applyFont="1" applyAlignment="1"/>
    <xf numFmtId="0" fontId="26" fillId="0" borderId="0" xfId="0" applyNumberFormat="1" applyFont="1" applyAlignment="1" applyProtection="1">
      <alignment horizontal="center"/>
      <protection locked="0"/>
    </xf>
    <xf numFmtId="49" fontId="26" fillId="0" borderId="0" xfId="0" applyNumberFormat="1" applyFont="1"/>
    <xf numFmtId="0" fontId="26" fillId="0" borderId="1" xfId="0" applyNumberFormat="1" applyFont="1" applyBorder="1" applyAlignment="1" applyProtection="1">
      <alignment horizontal="center"/>
      <protection locked="0"/>
    </xf>
    <xf numFmtId="3" fontId="26" fillId="0" borderId="0" xfId="0" applyNumberFormat="1" applyFont="1"/>
    <xf numFmtId="42" fontId="26" fillId="0" borderId="0" xfId="0" applyNumberFormat="1" applyFont="1"/>
    <xf numFmtId="0" fontId="26" fillId="0" borderId="1" xfId="0" applyNumberFormat="1" applyFont="1" applyBorder="1" applyAlignment="1" applyProtection="1">
      <alignment horizontal="centerContinuous"/>
      <protection locked="0"/>
    </xf>
    <xf numFmtId="166" fontId="26" fillId="0" borderId="0" xfId="0" applyNumberFormat="1" applyFont="1" applyAlignment="1"/>
    <xf numFmtId="3" fontId="26" fillId="0" borderId="1" xfId="0" applyNumberFormat="1" applyFont="1" applyBorder="1" applyAlignment="1"/>
    <xf numFmtId="3" fontId="26" fillId="0" borderId="0" xfId="0" applyNumberFormat="1" applyFont="1" applyAlignment="1">
      <alignment horizontal="fill"/>
    </xf>
    <xf numFmtId="42" fontId="26" fillId="0" borderId="2" xfId="0" applyNumberFormat="1" applyFont="1" applyBorder="1" applyAlignment="1" applyProtection="1">
      <alignment horizontal="right"/>
      <protection locked="0"/>
    </xf>
    <xf numFmtId="3" fontId="26" fillId="0" borderId="0" xfId="0" applyNumberFormat="1" applyFont="1" applyFill="1" applyBorder="1"/>
    <xf numFmtId="167" fontId="26" fillId="0" borderId="0" xfId="0" applyNumberFormat="1" applyFont="1"/>
    <xf numFmtId="167" fontId="26" fillId="0" borderId="0" xfId="0" applyNumberFormat="1" applyFont="1" applyAlignment="1">
      <alignment horizontal="center"/>
    </xf>
    <xf numFmtId="171" fontId="26" fillId="0" borderId="0" xfId="0" applyFont="1" applyAlignment="1">
      <alignment horizontal="center"/>
    </xf>
    <xf numFmtId="170" fontId="26" fillId="0" borderId="0" xfId="0" applyNumberFormat="1" applyFont="1" applyAlignment="1"/>
    <xf numFmtId="170" fontId="26" fillId="0" borderId="0" xfId="0" applyNumberFormat="1" applyFont="1" applyProtection="1">
      <protection locked="0"/>
    </xf>
    <xf numFmtId="49" fontId="26" fillId="0" borderId="0" xfId="0" applyNumberFormat="1" applyFont="1" applyAlignment="1">
      <alignment horizontal="left"/>
    </xf>
    <xf numFmtId="49" fontId="26" fillId="0" borderId="0" xfId="0" applyNumberFormat="1" applyFont="1" applyAlignment="1">
      <alignment horizontal="center"/>
    </xf>
    <xf numFmtId="3" fontId="27" fillId="0" borderId="0" xfId="0" applyNumberFormat="1" applyFont="1" applyAlignment="1">
      <alignment horizontal="center"/>
    </xf>
    <xf numFmtId="0" fontId="27" fillId="0" borderId="0" xfId="0" applyNumberFormat="1" applyFont="1" applyAlignment="1" applyProtection="1">
      <alignment horizontal="center"/>
      <protection locked="0"/>
    </xf>
    <xf numFmtId="171" fontId="27" fillId="0" borderId="0" xfId="0" applyFont="1" applyAlignment="1">
      <alignment horizontal="center"/>
    </xf>
    <xf numFmtId="3" fontId="27" fillId="0" borderId="0" xfId="0" applyNumberFormat="1" applyFont="1" applyAlignment="1"/>
    <xf numFmtId="0" fontId="27" fillId="0" borderId="0" xfId="0" applyNumberFormat="1" applyFont="1" applyAlignment="1"/>
    <xf numFmtId="165" fontId="26" fillId="0" borderId="0" xfId="0" applyNumberFormat="1" applyFont="1" applyAlignment="1"/>
    <xf numFmtId="164" fontId="26" fillId="0" borderId="0" xfId="0" applyNumberFormat="1" applyFont="1" applyAlignment="1">
      <alignment horizontal="center"/>
    </xf>
    <xf numFmtId="165" fontId="26" fillId="0" borderId="0" xfId="0" applyNumberFormat="1" applyFont="1" applyAlignment="1">
      <alignment horizontal="right"/>
    </xf>
    <xf numFmtId="171" fontId="26" fillId="0" borderId="1" xfId="0" applyFont="1" applyBorder="1" applyAlignment="1"/>
    <xf numFmtId="3" fontId="26" fillId="0" borderId="2" xfId="0" applyNumberFormat="1" applyFont="1" applyBorder="1" applyAlignment="1"/>
    <xf numFmtId="3" fontId="26" fillId="0" borderId="0" xfId="0" applyNumberFormat="1" applyFont="1" applyBorder="1" applyAlignment="1"/>
    <xf numFmtId="3" fontId="26" fillId="0" borderId="0" xfId="0" applyNumberFormat="1" applyFont="1" applyFill="1" applyAlignment="1">
      <alignment horizontal="right"/>
    </xf>
    <xf numFmtId="166" fontId="26" fillId="0" borderId="0" xfId="0" applyNumberFormat="1" applyFont="1" applyAlignment="1">
      <alignment horizontal="right"/>
    </xf>
    <xf numFmtId="10" fontId="26" fillId="0" borderId="0" xfId="0" applyNumberFormat="1" applyFont="1" applyAlignment="1">
      <alignment horizontal="left"/>
    </xf>
    <xf numFmtId="166" fontId="26" fillId="0" borderId="0" xfId="0" applyNumberFormat="1" applyFont="1" applyAlignment="1">
      <alignment horizontal="center"/>
    </xf>
    <xf numFmtId="164" fontId="26" fillId="0" borderId="0" xfId="0" applyNumberFormat="1" applyFont="1" applyAlignment="1">
      <alignment horizontal="left"/>
    </xf>
    <xf numFmtId="10" fontId="26" fillId="0" borderId="0" xfId="0" applyNumberFormat="1" applyFont="1" applyFill="1" applyAlignment="1">
      <alignment horizontal="right"/>
    </xf>
    <xf numFmtId="168" fontId="26" fillId="0" borderId="0" xfId="0" applyNumberFormat="1" applyFont="1" applyFill="1" applyAlignment="1">
      <alignment horizontal="right"/>
    </xf>
    <xf numFmtId="164" fontId="26" fillId="0" borderId="0" xfId="0" applyNumberFormat="1" applyFont="1" applyAlignment="1" applyProtection="1">
      <alignment horizontal="left"/>
      <protection locked="0"/>
    </xf>
    <xf numFmtId="0" fontId="26" fillId="0" borderId="1" xfId="0" applyNumberFormat="1" applyFont="1" applyBorder="1" applyProtection="1">
      <protection locked="0"/>
    </xf>
    <xf numFmtId="0" fontId="26" fillId="0" borderId="1" xfId="0" applyNumberFormat="1" applyFont="1" applyBorder="1"/>
    <xf numFmtId="3" fontId="26" fillId="0" borderId="0" xfId="0" applyNumberFormat="1" applyFont="1" applyAlignment="1">
      <alignment horizontal="center"/>
    </xf>
    <xf numFmtId="49" fontId="26" fillId="0" borderId="0" xfId="0" applyNumberFormat="1" applyFont="1" applyAlignment="1"/>
    <xf numFmtId="165" fontId="26" fillId="0" borderId="0" xfId="0" applyNumberFormat="1" applyFont="1"/>
    <xf numFmtId="166" fontId="26" fillId="0" borderId="0" xfId="0" applyNumberFormat="1" applyFont="1"/>
    <xf numFmtId="3" fontId="26" fillId="0" borderId="1" xfId="0" applyNumberFormat="1" applyFont="1" applyBorder="1" applyAlignment="1">
      <alignment horizontal="center"/>
    </xf>
    <xf numFmtId="4" fontId="26" fillId="0" borderId="0" xfId="0" applyNumberFormat="1" applyFont="1" applyAlignment="1"/>
    <xf numFmtId="3" fontId="26" fillId="0" borderId="0" xfId="0" applyNumberFormat="1" applyFont="1" applyBorder="1" applyAlignment="1">
      <alignment horizontal="center"/>
    </xf>
    <xf numFmtId="166" fontId="26" fillId="0" borderId="0" xfId="0" applyNumberFormat="1" applyFont="1" applyAlignment="1" applyProtection="1">
      <alignment horizontal="center"/>
      <protection locked="0"/>
    </xf>
    <xf numFmtId="0" fontId="26" fillId="0" borderId="1" xfId="0" applyNumberFormat="1" applyFont="1" applyBorder="1" applyAlignment="1"/>
    <xf numFmtId="9" fontId="26" fillId="0" borderId="0" xfId="0" applyNumberFormat="1" applyFont="1" applyAlignment="1"/>
    <xf numFmtId="168" fontId="26" fillId="0" borderId="0" xfId="0" applyNumberFormat="1" applyFont="1" applyAlignment="1"/>
    <xf numFmtId="3" fontId="26" fillId="0" borderId="0" xfId="0" quotePrefix="1" applyNumberFormat="1" applyFont="1" applyAlignment="1"/>
    <xf numFmtId="168" fontId="26" fillId="0" borderId="1" xfId="0" applyNumberFormat="1" applyFont="1" applyBorder="1" applyAlignment="1"/>
    <xf numFmtId="0" fontId="28" fillId="0" borderId="0" xfId="0" applyNumberFormat="1" applyFont="1" applyProtection="1">
      <protection locked="0"/>
    </xf>
    <xf numFmtId="171" fontId="28" fillId="0" borderId="0" xfId="0" applyFont="1" applyAlignment="1"/>
    <xf numFmtId="171" fontId="26" fillId="0" borderId="0" xfId="0" applyFont="1" applyFill="1" applyAlignment="1" applyProtection="1"/>
    <xf numFmtId="169" fontId="26" fillId="0" borderId="0" xfId="0" applyNumberFormat="1" applyFont="1" applyFill="1" applyBorder="1" applyProtection="1"/>
    <xf numFmtId="1" fontId="26" fillId="0" borderId="0" xfId="0" applyNumberFormat="1" applyFont="1" applyFill="1" applyProtection="1"/>
    <xf numFmtId="1" fontId="26" fillId="0" borderId="0" xfId="0" applyNumberFormat="1" applyFont="1" applyFill="1" applyAlignment="1" applyProtection="1"/>
    <xf numFmtId="3" fontId="26" fillId="0" borderId="0" xfId="0" applyNumberFormat="1" applyFont="1" applyAlignment="1" applyProtection="1"/>
    <xf numFmtId="171" fontId="26" fillId="0" borderId="0" xfId="0" applyNumberFormat="1" applyFont="1" applyAlignment="1" applyProtection="1">
      <protection locked="0"/>
    </xf>
    <xf numFmtId="169" fontId="26" fillId="0" borderId="0" xfId="0" applyNumberFormat="1" applyFont="1" applyFill="1" applyBorder="1" applyAlignment="1" applyProtection="1"/>
    <xf numFmtId="3" fontId="26" fillId="0" borderId="0" xfId="0" applyNumberFormat="1" applyFont="1" applyFill="1" applyAlignment="1" applyProtection="1"/>
    <xf numFmtId="169" fontId="26" fillId="0" borderId="0" xfId="0" applyNumberFormat="1" applyFont="1" applyProtection="1">
      <protection locked="0"/>
    </xf>
    <xf numFmtId="170" fontId="26" fillId="0" borderId="0" xfId="0" applyNumberFormat="1" applyFont="1" applyFill="1" applyProtection="1">
      <protection locked="0"/>
    </xf>
    <xf numFmtId="0" fontId="26" fillId="0" borderId="0" xfId="0" applyNumberFormat="1" applyFont="1" applyBorder="1" applyProtection="1">
      <protection locked="0"/>
    </xf>
    <xf numFmtId="0" fontId="26" fillId="0" borderId="0" xfId="0" applyNumberFormat="1" applyFont="1" applyBorder="1" applyAlignment="1" applyProtection="1">
      <protection locked="0"/>
    </xf>
    <xf numFmtId="3" fontId="28" fillId="0" borderId="0" xfId="0" applyNumberFormat="1" applyFont="1" applyAlignment="1"/>
    <xf numFmtId="0" fontId="28" fillId="0" borderId="0" xfId="0" applyNumberFormat="1" applyFont="1" applyFill="1"/>
    <xf numFmtId="10" fontId="28" fillId="0" borderId="0" xfId="0" applyNumberFormat="1" applyFont="1" applyFill="1"/>
    <xf numFmtId="3" fontId="26" fillId="0" borderId="0" xfId="0" applyNumberFormat="1" applyFont="1" applyAlignment="1">
      <alignment horizontal="right"/>
    </xf>
    <xf numFmtId="0" fontId="26" fillId="0" borderId="0" xfId="0" applyNumberFormat="1" applyFont="1" applyAlignment="1" applyProtection="1">
      <alignment horizontal="left" indent="8"/>
      <protection locked="0"/>
    </xf>
    <xf numFmtId="171" fontId="26" fillId="0" borderId="0" xfId="0" applyFont="1" applyBorder="1" applyAlignment="1"/>
    <xf numFmtId="9" fontId="26" fillId="0" borderId="1" xfId="0" applyNumberFormat="1" applyFont="1" applyBorder="1" applyAlignment="1"/>
    <xf numFmtId="0" fontId="26" fillId="0" borderId="0" xfId="0" applyNumberFormat="1" applyFont="1" applyAlignment="1" applyProtection="1">
      <alignment horizontal="center" vertical="top" wrapText="1"/>
      <protection locked="0"/>
    </xf>
    <xf numFmtId="0" fontId="26" fillId="0" borderId="0" xfId="0" applyNumberFormat="1" applyFont="1" applyFill="1" applyAlignment="1" applyProtection="1">
      <alignment horizontal="left" vertical="top" wrapText="1"/>
      <protection locked="0"/>
    </xf>
    <xf numFmtId="171" fontId="26" fillId="0" borderId="0" xfId="0" applyFont="1" applyAlignment="1">
      <alignment horizontal="center" vertical="top" wrapText="1"/>
    </xf>
    <xf numFmtId="0" fontId="26" fillId="0" borderId="0" xfId="0" applyNumberFormat="1" applyFont="1" applyFill="1" applyAlignment="1" applyProtection="1">
      <alignment horizontal="center"/>
      <protection locked="0"/>
    </xf>
    <xf numFmtId="171" fontId="26" fillId="0" borderId="0" xfId="0" applyFont="1" applyFill="1" applyAlignment="1"/>
    <xf numFmtId="3" fontId="26" fillId="0" borderId="0" xfId="0" applyNumberFormat="1" applyFont="1" applyFill="1" applyAlignment="1"/>
    <xf numFmtId="3" fontId="26" fillId="0" borderId="2" xfId="0" applyNumberFormat="1" applyFont="1" applyFill="1" applyBorder="1" applyAlignment="1"/>
    <xf numFmtId="0" fontId="26" fillId="0" borderId="0" xfId="0" applyNumberFormat="1" applyFont="1" applyFill="1"/>
    <xf numFmtId="0" fontId="26" fillId="0" borderId="0" xfId="0" applyNumberFormat="1" applyFont="1" applyAlignment="1"/>
    <xf numFmtId="171" fontId="26" fillId="0" borderId="0" xfId="0" applyFont="1" applyAlignment="1">
      <alignment horizontal="center" vertical="top"/>
    </xf>
    <xf numFmtId="0" fontId="26" fillId="0" borderId="0" xfId="0" applyNumberFormat="1" applyFont="1" applyFill="1" applyAlignment="1">
      <alignment horizontal="left" vertical="top"/>
    </xf>
    <xf numFmtId="0" fontId="26" fillId="0" borderId="0" xfId="0" applyNumberFormat="1" applyFont="1" applyFill="1" applyAlignment="1">
      <alignment vertical="top"/>
    </xf>
    <xf numFmtId="0" fontId="26" fillId="0" borderId="0" xfId="0" applyNumberFormat="1" applyFont="1" applyFill="1" applyProtection="1">
      <protection locked="0"/>
    </xf>
    <xf numFmtId="0" fontId="36" fillId="0" borderId="0" xfId="3" applyFill="1" applyBorder="1" applyAlignment="1">
      <alignment horizontal="left" vertical="top"/>
    </xf>
    <xf numFmtId="0" fontId="36" fillId="0" borderId="0" xfId="3" applyFill="1" applyBorder="1" applyAlignment="1">
      <alignment horizontal="left" vertical="top"/>
    </xf>
    <xf numFmtId="0" fontId="46" fillId="0" borderId="0" xfId="3" applyFont="1" applyFill="1" applyBorder="1" applyAlignment="1">
      <alignment horizontal="left" vertical="top" wrapText="1"/>
    </xf>
    <xf numFmtId="0" fontId="46" fillId="0" borderId="0" xfId="3" applyFont="1" applyFill="1" applyBorder="1" applyAlignment="1">
      <alignment horizontal="center" vertical="top" wrapText="1"/>
    </xf>
    <xf numFmtId="0" fontId="46" fillId="0" borderId="16" xfId="3" applyFont="1" applyFill="1" applyBorder="1" applyAlignment="1">
      <alignment horizontal="left" vertical="top" wrapText="1"/>
    </xf>
    <xf numFmtId="49" fontId="59" fillId="0" borderId="0" xfId="3" applyNumberFormat="1" applyFont="1" applyFill="1" applyBorder="1" applyAlignment="1">
      <alignment horizontal="left" vertical="top"/>
    </xf>
    <xf numFmtId="3" fontId="36" fillId="0" borderId="0" xfId="3" applyNumberFormat="1" applyFill="1" applyBorder="1" applyAlignment="1">
      <alignment horizontal="left" vertical="top"/>
    </xf>
    <xf numFmtId="0" fontId="45" fillId="0" borderId="8" xfId="3" applyFont="1" applyFill="1" applyBorder="1" applyAlignment="1">
      <alignment vertical="top"/>
    </xf>
    <xf numFmtId="0" fontId="46" fillId="0" borderId="16" xfId="3" applyFont="1" applyFill="1" applyBorder="1" applyAlignment="1">
      <alignment horizontal="left" vertical="top"/>
    </xf>
    <xf numFmtId="0" fontId="46" fillId="0" borderId="16" xfId="3" quotePrefix="1" applyFont="1" applyFill="1" applyBorder="1" applyAlignment="1">
      <alignment horizontal="left" vertical="top"/>
    </xf>
    <xf numFmtId="0" fontId="50" fillId="0" borderId="0" xfId="3" applyFont="1" applyFill="1" applyBorder="1" applyAlignment="1">
      <alignment horizontal="left" vertical="top"/>
    </xf>
    <xf numFmtId="0" fontId="53" fillId="0" borderId="16" xfId="3" applyFont="1" applyFill="1" applyBorder="1" applyAlignment="1">
      <alignment horizontal="left" vertical="top"/>
    </xf>
    <xf numFmtId="0" fontId="45" fillId="0" borderId="0" xfId="3" applyFont="1" applyFill="1" applyBorder="1" applyAlignment="1">
      <alignment horizontal="left" vertical="top"/>
    </xf>
    <xf numFmtId="0" fontId="55" fillId="0" borderId="11" xfId="3" applyFont="1" applyFill="1" applyBorder="1" applyAlignment="1">
      <alignment horizontal="center" vertical="center" wrapText="1"/>
    </xf>
    <xf numFmtId="0" fontId="55" fillId="0" borderId="10" xfId="3" quotePrefix="1" applyFont="1" applyFill="1" applyBorder="1" applyAlignment="1">
      <alignment horizontal="center" vertical="center" wrapText="1"/>
    </xf>
    <xf numFmtId="0" fontId="55" fillId="0" borderId="10" xfId="3" applyFont="1" applyFill="1" applyBorder="1" applyAlignment="1">
      <alignment horizontal="center" vertical="center" wrapText="1"/>
    </xf>
    <xf numFmtId="0" fontId="55" fillId="0" borderId="25" xfId="3" applyFont="1" applyFill="1" applyBorder="1" applyAlignment="1">
      <alignment horizontal="center" vertical="center" wrapText="1"/>
    </xf>
    <xf numFmtId="0" fontId="55" fillId="0" borderId="16" xfId="3" applyFont="1" applyFill="1" applyBorder="1" applyAlignment="1">
      <alignment horizontal="center" vertical="center" wrapText="1"/>
    </xf>
    <xf numFmtId="0" fontId="55" fillId="0" borderId="12" xfId="3" applyFont="1" applyFill="1" applyBorder="1" applyAlignment="1">
      <alignment horizontal="center" vertical="top" wrapText="1"/>
    </xf>
    <xf numFmtId="0" fontId="55" fillId="0" borderId="17" xfId="3" applyFont="1" applyFill="1" applyBorder="1" applyAlignment="1">
      <alignment horizontal="center" vertical="top" wrapText="1"/>
    </xf>
    <xf numFmtId="0" fontId="45" fillId="0" borderId="14" xfId="3" applyFont="1" applyFill="1" applyBorder="1" applyAlignment="1">
      <alignment horizontal="left" vertical="top"/>
    </xf>
    <xf numFmtId="0" fontId="45" fillId="0" borderId="13" xfId="3" applyFont="1" applyFill="1" applyBorder="1" applyAlignment="1">
      <alignment horizontal="left" vertical="top"/>
    </xf>
    <xf numFmtId="0" fontId="45" fillId="0" borderId="15" xfId="3" applyFont="1" applyFill="1" applyBorder="1" applyAlignment="1">
      <alignment horizontal="left" vertical="top"/>
    </xf>
    <xf numFmtId="0" fontId="53" fillId="0" borderId="14" xfId="3" applyFont="1" applyFill="1" applyBorder="1" applyAlignment="1">
      <alignment horizontal="left" vertical="top"/>
    </xf>
    <xf numFmtId="0" fontId="45" fillId="0" borderId="31" xfId="3" applyFont="1" applyFill="1" applyBorder="1" applyAlignment="1">
      <alignment horizontal="left" vertical="top"/>
    </xf>
    <xf numFmtId="0" fontId="45" fillId="0" borderId="16" xfId="3" applyFont="1" applyFill="1" applyBorder="1" applyAlignment="1">
      <alignment horizontal="left" vertical="top"/>
    </xf>
    <xf numFmtId="0" fontId="53" fillId="0" borderId="16" xfId="3" applyFont="1" applyFill="1" applyBorder="1" applyAlignment="1">
      <alignment vertical="top"/>
    </xf>
    <xf numFmtId="0" fontId="50" fillId="0" borderId="16" xfId="3" applyFont="1" applyFill="1" applyBorder="1" applyAlignment="1">
      <alignment horizontal="left" vertical="top"/>
    </xf>
    <xf numFmtId="0" fontId="45" fillId="0" borderId="16" xfId="3" applyFont="1" applyFill="1" applyBorder="1" applyAlignment="1">
      <alignment horizontal="right" vertical="top"/>
    </xf>
    <xf numFmtId="0" fontId="45" fillId="0" borderId="16" xfId="3" applyFont="1" applyFill="1" applyBorder="1" applyAlignment="1">
      <alignment vertical="top"/>
    </xf>
    <xf numFmtId="49" fontId="54" fillId="0" borderId="18" xfId="3" applyNumberFormat="1" applyFont="1" applyFill="1" applyBorder="1" applyAlignment="1">
      <alignment horizontal="left" vertical="top"/>
    </xf>
    <xf numFmtId="49" fontId="54" fillId="0" borderId="19" xfId="3" applyNumberFormat="1" applyFont="1" applyFill="1" applyBorder="1" applyAlignment="1">
      <alignment horizontal="left" vertical="top"/>
    </xf>
    <xf numFmtId="0" fontId="45" fillId="0" borderId="18" xfId="3" applyFont="1" applyFill="1" applyBorder="1" applyAlignment="1">
      <alignment horizontal="center" vertical="center" wrapText="1"/>
    </xf>
    <xf numFmtId="0" fontId="45" fillId="0" borderId="20" xfId="3" applyFont="1" applyFill="1" applyBorder="1" applyAlignment="1">
      <alignment horizontal="center" vertical="center" wrapText="1"/>
    </xf>
    <xf numFmtId="49" fontId="59" fillId="0" borderId="18" xfId="3" applyNumberFormat="1" applyFont="1" applyFill="1" applyBorder="1" applyAlignment="1">
      <alignment horizontal="left" vertical="top"/>
    </xf>
    <xf numFmtId="49" fontId="59" fillId="0" borderId="19" xfId="3" applyNumberFormat="1" applyFont="1" applyFill="1" applyBorder="1" applyAlignment="1">
      <alignment horizontal="left" vertical="top"/>
    </xf>
    <xf numFmtId="49" fontId="59" fillId="0" borderId="20" xfId="3" applyNumberFormat="1" applyFont="1" applyFill="1" applyBorder="1" applyAlignment="1">
      <alignment horizontal="left" vertical="top"/>
    </xf>
    <xf numFmtId="0" fontId="45" fillId="0" borderId="18" xfId="3" quotePrefix="1" applyFont="1" applyFill="1" applyBorder="1" applyAlignment="1">
      <alignment horizontal="left" vertical="top"/>
    </xf>
    <xf numFmtId="0" fontId="45" fillId="0" borderId="19" xfId="3" quotePrefix="1" applyFont="1" applyFill="1" applyBorder="1" applyAlignment="1">
      <alignment horizontal="left" vertical="top"/>
    </xf>
    <xf numFmtId="0" fontId="45" fillId="0" borderId="20" xfId="3" quotePrefix="1" applyFont="1" applyFill="1" applyBorder="1" applyAlignment="1">
      <alignment horizontal="left" vertical="top"/>
    </xf>
    <xf numFmtId="0" fontId="45" fillId="0" borderId="37" xfId="3" applyFont="1" applyFill="1" applyBorder="1" applyAlignment="1">
      <alignment horizontal="center" vertical="center" wrapText="1"/>
    </xf>
    <xf numFmtId="0" fontId="45" fillId="0" borderId="38" xfId="3" applyFont="1" applyFill="1" applyBorder="1" applyAlignment="1">
      <alignment horizontal="center" vertical="center" wrapText="1"/>
    </xf>
    <xf numFmtId="0" fontId="55" fillId="0" borderId="0" xfId="3" applyFont="1" applyFill="1" applyBorder="1" applyAlignment="1">
      <alignment horizontal="center" vertical="center" wrapText="1"/>
    </xf>
    <xf numFmtId="0" fontId="45" fillId="0" borderId="0" xfId="3" applyFont="1" applyFill="1" applyBorder="1" applyAlignment="1">
      <alignment vertical="top" wrapText="1"/>
    </xf>
    <xf numFmtId="0" fontId="45" fillId="0" borderId="0" xfId="3" applyFont="1" applyFill="1" applyBorder="1" applyAlignment="1">
      <alignment vertical="top"/>
    </xf>
    <xf numFmtId="0" fontId="45" fillId="0" borderId="0" xfId="3" applyFont="1" applyFill="1" applyBorder="1" applyAlignment="1">
      <alignment horizontal="right" vertical="top" wrapText="1"/>
    </xf>
    <xf numFmtId="0" fontId="53" fillId="0" borderId="0" xfId="3" applyFont="1" applyFill="1" applyBorder="1" applyAlignment="1">
      <alignment vertical="top" wrapText="1"/>
    </xf>
    <xf numFmtId="3" fontId="45" fillId="0" borderId="0" xfId="3" applyNumberFormat="1" applyFont="1" applyFill="1" applyBorder="1" applyAlignment="1">
      <alignment vertical="top"/>
    </xf>
    <xf numFmtId="3" fontId="45" fillId="0" borderId="0" xfId="3" applyNumberFormat="1" applyFont="1" applyFill="1" applyBorder="1" applyAlignment="1">
      <alignment horizontal="right" vertical="top" wrapText="1"/>
    </xf>
    <xf numFmtId="3" fontId="53" fillId="0" borderId="0" xfId="3" applyNumberFormat="1" applyFont="1" applyFill="1" applyBorder="1" applyAlignment="1">
      <alignment vertical="top"/>
    </xf>
    <xf numFmtId="0" fontId="45" fillId="0" borderId="0" xfId="3" quotePrefix="1" applyFont="1" applyFill="1" applyBorder="1" applyAlignment="1">
      <alignment horizontal="left" vertical="top" wrapText="1"/>
    </xf>
    <xf numFmtId="0" fontId="60" fillId="0" borderId="0" xfId="3" applyFont="1" applyFill="1" applyBorder="1" applyAlignment="1">
      <alignment vertical="top" wrapText="1"/>
    </xf>
    <xf numFmtId="0" fontId="50" fillId="0" borderId="0" xfId="3" quotePrefix="1" applyFont="1" applyFill="1" applyBorder="1" applyAlignment="1">
      <alignment horizontal="left" vertical="top" wrapText="1"/>
    </xf>
    <xf numFmtId="3" fontId="50" fillId="0" borderId="0" xfId="3" applyNumberFormat="1" applyFont="1" applyFill="1" applyBorder="1" applyAlignment="1">
      <alignment vertical="top"/>
    </xf>
    <xf numFmtId="0" fontId="50" fillId="0" borderId="0" xfId="3" applyFont="1" applyFill="1" applyBorder="1" applyAlignment="1">
      <alignment vertical="top" wrapText="1"/>
    </xf>
    <xf numFmtId="0" fontId="45" fillId="0" borderId="0" xfId="3" applyFont="1" applyFill="1" applyBorder="1" applyAlignment="1">
      <alignment horizontal="center" vertical="center" wrapText="1"/>
    </xf>
    <xf numFmtId="0" fontId="45" fillId="0" borderId="0" xfId="3" applyFont="1" applyFill="1" applyBorder="1" applyAlignment="1">
      <alignment horizontal="left" vertical="top" wrapText="1"/>
    </xf>
    <xf numFmtId="3" fontId="45" fillId="0" borderId="0" xfId="3" applyNumberFormat="1" applyFont="1" applyFill="1" applyBorder="1" applyAlignment="1">
      <alignment horizontal="left" vertical="top" wrapText="1"/>
    </xf>
    <xf numFmtId="0" fontId="58" fillId="0" borderId="0" xfId="3" applyFont="1" applyFill="1" applyBorder="1" applyAlignment="1">
      <alignment vertical="top" wrapText="1"/>
    </xf>
    <xf numFmtId="0" fontId="53" fillId="0" borderId="0" xfId="3" quotePrefix="1" applyFont="1" applyFill="1" applyBorder="1" applyAlignment="1">
      <alignment horizontal="left" vertical="top" wrapText="1"/>
    </xf>
    <xf numFmtId="0" fontId="53" fillId="0" borderId="0" xfId="3" applyFont="1" applyFill="1" applyBorder="1" applyAlignment="1">
      <alignment horizontal="left" vertical="top" wrapText="1"/>
    </xf>
    <xf numFmtId="0" fontId="53" fillId="0" borderId="0" xfId="3" applyFont="1" applyFill="1" applyBorder="1" applyAlignment="1">
      <alignment horizontal="center" vertical="top" wrapText="1"/>
    </xf>
    <xf numFmtId="171" fontId="0" fillId="0" borderId="0" xfId="0" applyFill="1" applyBorder="1" applyAlignment="1"/>
    <xf numFmtId="0" fontId="45" fillId="0" borderId="0" xfId="3" applyFont="1" applyFill="1" applyBorder="1" applyAlignment="1">
      <alignment horizontal="center" vertical="top" wrapText="1"/>
    </xf>
    <xf numFmtId="0" fontId="46" fillId="0" borderId="0" xfId="4" applyFill="1" applyBorder="1" applyAlignment="1">
      <alignment horizontal="left" vertical="top"/>
    </xf>
    <xf numFmtId="0" fontId="46" fillId="0" borderId="0" xfId="4" applyFill="1" applyBorder="1" applyAlignment="1">
      <alignment vertical="top"/>
    </xf>
    <xf numFmtId="0" fontId="50" fillId="0" borderId="0" xfId="4" applyFont="1" applyFill="1" applyBorder="1" applyAlignment="1">
      <alignment horizontal="left" vertical="top"/>
    </xf>
    <xf numFmtId="0" fontId="51" fillId="0" borderId="16" xfId="4" quotePrefix="1" applyFont="1" applyFill="1" applyBorder="1" applyAlignment="1">
      <alignment horizontal="center" vertical="center" wrapText="1"/>
    </xf>
    <xf numFmtId="0" fontId="45" fillId="0" borderId="16" xfId="4" applyFont="1" applyFill="1" applyBorder="1" applyAlignment="1">
      <alignment horizontal="left" vertical="center"/>
    </xf>
    <xf numFmtId="0" fontId="51" fillId="0" borderId="16" xfId="4" applyFont="1" applyFill="1" applyBorder="1" applyAlignment="1">
      <alignment horizontal="center" vertical="center" wrapText="1"/>
    </xf>
    <xf numFmtId="0" fontId="46" fillId="0" borderId="16" xfId="4" applyFill="1" applyBorder="1" applyAlignment="1">
      <alignment horizontal="center" wrapText="1"/>
    </xf>
    <xf numFmtId="0" fontId="53" fillId="0" borderId="16" xfId="4" applyFont="1" applyFill="1" applyBorder="1" applyAlignment="1">
      <alignment vertical="top"/>
    </xf>
    <xf numFmtId="0" fontId="50" fillId="0" borderId="16" xfId="4" applyFont="1" applyFill="1" applyBorder="1" applyAlignment="1">
      <alignment horizontal="left" vertical="top"/>
    </xf>
    <xf numFmtId="0" fontId="45" fillId="0" borderId="16" xfId="4" applyFont="1" applyFill="1" applyBorder="1" applyAlignment="1">
      <alignment vertical="top"/>
    </xf>
    <xf numFmtId="0" fontId="54" fillId="0" borderId="5" xfId="4" quotePrefix="1" applyFont="1" applyFill="1" applyBorder="1" applyAlignment="1">
      <alignment horizontal="left" vertical="top"/>
    </xf>
    <xf numFmtId="0" fontId="54" fillId="0" borderId="6" xfId="4" quotePrefix="1" applyFont="1" applyFill="1" applyBorder="1" applyAlignment="1">
      <alignment horizontal="left" vertical="top"/>
    </xf>
    <xf numFmtId="0" fontId="46" fillId="0" borderId="16" xfId="4" applyFill="1" applyBorder="1" applyAlignment="1">
      <alignment vertical="top"/>
    </xf>
    <xf numFmtId="0" fontId="46" fillId="0" borderId="16" xfId="4" applyFont="1" applyFill="1" applyBorder="1" applyAlignment="1">
      <alignment vertical="top"/>
    </xf>
    <xf numFmtId="173" fontId="37" fillId="0" borderId="16" xfId="4" applyNumberFormat="1" applyFont="1" applyFill="1" applyBorder="1" applyAlignment="1">
      <alignment horizontal="center" vertical="center"/>
    </xf>
    <xf numFmtId="0" fontId="50" fillId="0" borderId="16" xfId="4" applyFont="1" applyFill="1" applyBorder="1" applyAlignment="1">
      <alignment vertical="top"/>
    </xf>
    <xf numFmtId="0" fontId="50" fillId="0" borderId="16" xfId="4" applyFont="1" applyFill="1" applyBorder="1" applyAlignment="1">
      <alignment horizontal="center" vertical="center"/>
    </xf>
    <xf numFmtId="173" fontId="38" fillId="0" borderId="16" xfId="4" applyNumberFormat="1" applyFont="1" applyFill="1" applyBorder="1" applyAlignment="1">
      <alignment horizontal="center" vertical="center"/>
    </xf>
    <xf numFmtId="0" fontId="46" fillId="0" borderId="16" xfId="4" applyFill="1" applyBorder="1" applyAlignment="1">
      <alignment horizontal="center" vertical="center"/>
    </xf>
    <xf numFmtId="174" fontId="37" fillId="0" borderId="16" xfId="4" applyNumberFormat="1" applyFont="1" applyFill="1" applyBorder="1" applyAlignment="1">
      <alignment horizontal="center" vertical="center"/>
    </xf>
    <xf numFmtId="175" fontId="50" fillId="0" borderId="16" xfId="2" applyNumberFormat="1" applyFont="1" applyFill="1" applyBorder="1" applyAlignment="1">
      <alignment horizontal="right" vertical="top"/>
    </xf>
    <xf numFmtId="0" fontId="44" fillId="0" borderId="16" xfId="4" quotePrefix="1" applyFont="1" applyFill="1" applyBorder="1" applyAlignment="1">
      <alignment vertical="top"/>
    </xf>
    <xf numFmtId="0" fontId="44" fillId="0" borderId="16" xfId="4" applyFont="1" applyFill="1" applyBorder="1" applyAlignment="1">
      <alignment vertical="top"/>
    </xf>
    <xf numFmtId="37" fontId="45" fillId="0" borderId="16" xfId="4" applyNumberFormat="1" applyFont="1" applyFill="1" applyBorder="1" applyAlignment="1">
      <alignment horizontal="right" vertical="top"/>
    </xf>
    <xf numFmtId="0" fontId="45" fillId="0" borderId="16" xfId="3" quotePrefix="1" applyFont="1" applyFill="1" applyBorder="1" applyAlignment="1">
      <alignment horizontal="left" vertical="top"/>
    </xf>
    <xf numFmtId="0" fontId="60" fillId="0" borderId="16" xfId="3" applyFont="1" applyFill="1" applyBorder="1" applyAlignment="1">
      <alignment vertical="top"/>
    </xf>
    <xf numFmtId="0" fontId="50" fillId="0" borderId="16" xfId="3" quotePrefix="1" applyFont="1" applyFill="1" applyBorder="1" applyAlignment="1">
      <alignment horizontal="left" vertical="top"/>
    </xf>
    <xf numFmtId="0" fontId="50" fillId="0" borderId="16" xfId="3" applyFont="1" applyFill="1" applyBorder="1" applyAlignment="1">
      <alignment vertical="top"/>
    </xf>
    <xf numFmtId="0" fontId="45" fillId="0" borderId="18" xfId="3" applyFont="1" applyFill="1" applyBorder="1" applyAlignment="1">
      <alignment vertical="top"/>
    </xf>
    <xf numFmtId="0" fontId="58" fillId="0" borderId="16" xfId="3" applyFont="1" applyFill="1" applyBorder="1" applyAlignment="1">
      <alignment vertical="top"/>
    </xf>
    <xf numFmtId="0" fontId="53" fillId="0" borderId="18" xfId="3" quotePrefix="1" applyFont="1" applyFill="1" applyBorder="1" applyAlignment="1">
      <alignment horizontal="left" vertical="top"/>
    </xf>
    <xf numFmtId="0" fontId="53" fillId="0" borderId="16" xfId="3" quotePrefix="1" applyFont="1" applyFill="1" applyBorder="1" applyAlignment="1">
      <alignment horizontal="left" vertical="top"/>
    </xf>
    <xf numFmtId="175" fontId="45" fillId="0" borderId="16" xfId="2" applyNumberFormat="1" applyFont="1" applyFill="1" applyBorder="1" applyAlignment="1">
      <alignment horizontal="right" vertical="top"/>
    </xf>
    <xf numFmtId="175" fontId="53" fillId="0" borderId="16" xfId="2" applyNumberFormat="1" applyFont="1" applyFill="1" applyBorder="1" applyAlignment="1">
      <alignment horizontal="right" vertical="top"/>
    </xf>
    <xf numFmtId="175" fontId="46" fillId="0" borderId="16" xfId="2" applyNumberFormat="1" applyFont="1" applyFill="1" applyBorder="1" applyAlignment="1">
      <alignment horizontal="right" vertical="top" wrapText="1"/>
    </xf>
    <xf numFmtId="175" fontId="46" fillId="0" borderId="16" xfId="2" applyNumberFormat="1" applyFont="1" applyFill="1" applyBorder="1" applyAlignment="1">
      <alignment horizontal="left" vertical="top" wrapText="1"/>
    </xf>
    <xf numFmtId="175" fontId="46" fillId="0" borderId="16" xfId="2" applyNumberFormat="1" applyFont="1" applyFill="1" applyBorder="1" applyAlignment="1">
      <alignment horizontal="right" vertical="top"/>
    </xf>
    <xf numFmtId="175" fontId="46" fillId="0" borderId="30" xfId="2" applyNumberFormat="1" applyFont="1" applyFill="1" applyBorder="1" applyAlignment="1">
      <alignment horizontal="left" vertical="top"/>
    </xf>
    <xf numFmtId="175" fontId="46" fillId="0" borderId="16" xfId="2" quotePrefix="1" applyNumberFormat="1" applyFont="1" applyFill="1" applyBorder="1" applyAlignment="1">
      <alignment horizontal="left" vertical="top"/>
    </xf>
    <xf numFmtId="175" fontId="46" fillId="0" borderId="16" xfId="2" applyNumberFormat="1" applyFont="1" applyFill="1" applyBorder="1" applyAlignment="1">
      <alignment vertical="top"/>
    </xf>
    <xf numFmtId="175" fontId="46" fillId="0" borderId="16" xfId="2" applyNumberFormat="1" applyFont="1" applyFill="1" applyBorder="1" applyAlignment="1">
      <alignment horizontal="left" vertical="top"/>
    </xf>
    <xf numFmtId="175" fontId="50" fillId="0" borderId="16" xfId="2" quotePrefix="1" applyNumberFormat="1" applyFont="1" applyFill="1" applyBorder="1" applyAlignment="1">
      <alignment horizontal="left" vertical="top"/>
    </xf>
    <xf numFmtId="175" fontId="50" fillId="0" borderId="16" xfId="2" applyNumberFormat="1" applyFont="1" applyFill="1" applyBorder="1" applyAlignment="1">
      <alignment horizontal="left" vertical="top"/>
    </xf>
    <xf numFmtId="0" fontId="45" fillId="0" borderId="26" xfId="3" applyNumberFormat="1" applyFont="1" applyFill="1" applyBorder="1" applyAlignment="1">
      <alignment horizontal="left" vertical="top"/>
    </xf>
    <xf numFmtId="0" fontId="53" fillId="0" borderId="26" xfId="3" applyNumberFormat="1" applyFont="1" applyFill="1" applyBorder="1" applyAlignment="1">
      <alignment horizontal="left" vertical="top"/>
    </xf>
    <xf numFmtId="0" fontId="53" fillId="0" borderId="27" xfId="3" applyNumberFormat="1" applyFont="1" applyFill="1" applyBorder="1" applyAlignment="1">
      <alignment horizontal="left" vertical="top"/>
    </xf>
    <xf numFmtId="175" fontId="45" fillId="0" borderId="13" xfId="2" applyNumberFormat="1" applyFont="1" applyFill="1" applyBorder="1" applyAlignment="1">
      <alignment vertical="top"/>
    </xf>
    <xf numFmtId="175" fontId="45" fillId="0" borderId="32" xfId="2" applyNumberFormat="1" applyFont="1" applyFill="1" applyBorder="1" applyAlignment="1">
      <alignment vertical="top"/>
    </xf>
    <xf numFmtId="175" fontId="45" fillId="0" borderId="16" xfId="2" applyNumberFormat="1" applyFont="1" applyFill="1" applyBorder="1" applyAlignment="1">
      <alignment vertical="top"/>
    </xf>
    <xf numFmtId="175" fontId="45" fillId="0" borderId="13" xfId="2" applyNumberFormat="1" applyFont="1" applyFill="1" applyBorder="1" applyAlignment="1">
      <alignment horizontal="right" vertical="top"/>
    </xf>
    <xf numFmtId="175" fontId="53" fillId="0" borderId="13" xfId="2" applyNumberFormat="1" applyFont="1" applyFill="1" applyBorder="1" applyAlignment="1">
      <alignment horizontal="right" vertical="top"/>
    </xf>
    <xf numFmtId="175" fontId="53" fillId="0" borderId="28" xfId="2" applyNumberFormat="1" applyFont="1" applyFill="1" applyBorder="1" applyAlignment="1">
      <alignment horizontal="right" vertical="top"/>
    </xf>
    <xf numFmtId="0" fontId="45" fillId="0" borderId="30" xfId="3" applyFont="1" applyFill="1" applyBorder="1" applyAlignment="1">
      <alignment horizontal="left" vertical="top" wrapText="1"/>
    </xf>
    <xf numFmtId="37" fontId="53" fillId="0" borderId="13" xfId="4" applyNumberFormat="1" applyFont="1" applyFill="1" applyBorder="1" applyAlignment="1">
      <alignment horizontal="right" vertical="top"/>
    </xf>
    <xf numFmtId="175" fontId="55" fillId="0" borderId="16" xfId="2" applyNumberFormat="1" applyFont="1" applyFill="1" applyBorder="1" applyAlignment="1">
      <alignment horizontal="center" vertical="center" wrapText="1"/>
    </xf>
    <xf numFmtId="172" fontId="63" fillId="0" borderId="0" xfId="7" applyNumberFormat="1" applyFont="1"/>
    <xf numFmtId="0" fontId="25" fillId="0" borderId="0" xfId="19"/>
    <xf numFmtId="175" fontId="25" fillId="0" borderId="0" xfId="6" applyNumberFormat="1" applyFont="1"/>
    <xf numFmtId="175" fontId="25" fillId="0" borderId="5" xfId="6" applyNumberFormat="1" applyFont="1" applyBorder="1"/>
    <xf numFmtId="0" fontId="25" fillId="0" borderId="0" xfId="19" applyAlignment="1">
      <alignment horizontal="left" indent="1"/>
    </xf>
    <xf numFmtId="0" fontId="35" fillId="0" borderId="0" xfId="19" applyFont="1"/>
    <xf numFmtId="0" fontId="62" fillId="0" borderId="0" xfId="19" applyFont="1" applyAlignment="1">
      <alignment horizontal="center"/>
    </xf>
    <xf numFmtId="175" fontId="25" fillId="2" borderId="16" xfId="6" applyNumberFormat="1" applyFont="1" applyFill="1" applyBorder="1"/>
    <xf numFmtId="0" fontId="65" fillId="0" borderId="0" xfId="19" applyFont="1"/>
    <xf numFmtId="175" fontId="25" fillId="0" borderId="0" xfId="6" applyNumberFormat="1" applyFont="1" applyFill="1" applyBorder="1"/>
    <xf numFmtId="0" fontId="25" fillId="0" borderId="0" xfId="19" applyAlignment="1">
      <alignment horizontal="center"/>
    </xf>
    <xf numFmtId="0" fontId="25" fillId="0" borderId="0" xfId="22"/>
    <xf numFmtId="175" fontId="25" fillId="0" borderId="0" xfId="6" applyNumberFormat="1" applyFont="1"/>
    <xf numFmtId="0" fontId="25" fillId="0" borderId="0" xfId="22" applyAlignment="1">
      <alignment horizontal="left" indent="1"/>
    </xf>
    <xf numFmtId="0" fontId="35" fillId="0" borderId="0" xfId="22" applyFont="1"/>
    <xf numFmtId="172" fontId="25" fillId="0" borderId="0" xfId="7" applyNumberFormat="1" applyFont="1"/>
    <xf numFmtId="172" fontId="25" fillId="0" borderId="0" xfId="22" applyNumberFormat="1"/>
    <xf numFmtId="175" fontId="63" fillId="0" borderId="0" xfId="6" applyNumberFormat="1" applyFont="1"/>
    <xf numFmtId="175" fontId="25" fillId="2" borderId="16" xfId="6" applyNumberFormat="1" applyFont="1" applyFill="1" applyBorder="1"/>
    <xf numFmtId="0" fontId="64" fillId="0" borderId="0" xfId="22" applyFont="1"/>
    <xf numFmtId="0" fontId="66" fillId="0" borderId="0" xfId="22" applyFont="1"/>
    <xf numFmtId="0" fontId="25" fillId="0" borderId="0" xfId="22" applyFill="1"/>
    <xf numFmtId="0" fontId="25" fillId="0" borderId="0" xfId="26"/>
    <xf numFmtId="0" fontId="25" fillId="0" borderId="0" xfId="26" applyAlignment="1">
      <alignment horizontal="left" indent="1"/>
    </xf>
    <xf numFmtId="0" fontId="35" fillId="0" borderId="0" xfId="26" applyFont="1"/>
    <xf numFmtId="0" fontId="64" fillId="0" borderId="0" xfId="26" applyFont="1"/>
    <xf numFmtId="0" fontId="66" fillId="0" borderId="0" xfId="26" applyFont="1"/>
    <xf numFmtId="0" fontId="25" fillId="0" borderId="0" xfId="26" applyFill="1"/>
    <xf numFmtId="0" fontId="25" fillId="0" borderId="0" xfId="25"/>
    <xf numFmtId="175" fontId="25" fillId="0" borderId="0" xfId="6" applyNumberFormat="1" applyFont="1"/>
    <xf numFmtId="0" fontId="25" fillId="0" borderId="0" xfId="25" applyAlignment="1">
      <alignment horizontal="left" indent="1"/>
    </xf>
    <xf numFmtId="0" fontId="35" fillId="0" borderId="0" xfId="25" applyFont="1"/>
    <xf numFmtId="0" fontId="62" fillId="0" borderId="0" xfId="25" applyFont="1" applyAlignment="1">
      <alignment horizontal="center"/>
    </xf>
    <xf numFmtId="172" fontId="25" fillId="0" borderId="0" xfId="7" applyNumberFormat="1" applyFont="1"/>
    <xf numFmtId="175" fontId="63" fillId="0" borderId="0" xfId="6" applyNumberFormat="1" applyFont="1"/>
    <xf numFmtId="0" fontId="65" fillId="0" borderId="0" xfId="25" applyFont="1"/>
    <xf numFmtId="0" fontId="25" fillId="0" borderId="0" xfId="25" applyAlignment="1">
      <alignment horizontal="center"/>
    </xf>
    <xf numFmtId="0" fontId="35" fillId="0" borderId="0" xfId="25" applyFont="1" applyAlignment="1">
      <alignment horizontal="center"/>
    </xf>
    <xf numFmtId="0" fontId="25" fillId="0" borderId="0" xfId="7" applyNumberFormat="1" applyFont="1"/>
    <xf numFmtId="0" fontId="25" fillId="0" borderId="0" xfId="6" applyNumberFormat="1" applyFont="1"/>
    <xf numFmtId="0" fontId="25" fillId="0" borderId="0" xfId="25" applyNumberFormat="1"/>
    <xf numFmtId="172" fontId="25" fillId="2" borderId="16" xfId="25" applyNumberFormat="1" applyFill="1" applyBorder="1"/>
    <xf numFmtId="172" fontId="25" fillId="0" borderId="0" xfId="25" applyNumberFormat="1" applyFill="1" applyBorder="1"/>
    <xf numFmtId="0" fontId="25" fillId="0" borderId="0" xfId="21"/>
    <xf numFmtId="175" fontId="25" fillId="0" borderId="0" xfId="6" applyNumberFormat="1" applyFont="1"/>
    <xf numFmtId="0" fontId="25" fillId="0" borderId="0" xfId="21" applyAlignment="1">
      <alignment horizontal="left" indent="1"/>
    </xf>
    <xf numFmtId="0" fontId="35" fillId="0" borderId="0" xfId="21" applyFont="1"/>
    <xf numFmtId="172" fontId="25" fillId="0" borderId="0" xfId="7" applyNumberFormat="1" applyFont="1"/>
    <xf numFmtId="0" fontId="65" fillId="0" borderId="0" xfId="21" applyFont="1"/>
    <xf numFmtId="0" fontId="79" fillId="0" borderId="0" xfId="21" applyFont="1"/>
    <xf numFmtId="172" fontId="25" fillId="0" borderId="0" xfId="21" applyNumberFormat="1" applyFill="1" applyBorder="1"/>
    <xf numFmtId="172" fontId="25" fillId="0" borderId="16" xfId="21" applyNumberFormat="1" applyFill="1" applyBorder="1"/>
    <xf numFmtId="0" fontId="25" fillId="0" borderId="0" xfId="21" applyFill="1" applyBorder="1" applyAlignment="1">
      <alignment horizontal="left" indent="1"/>
    </xf>
    <xf numFmtId="0" fontId="81" fillId="0" borderId="0" xfId="21" applyFont="1"/>
    <xf numFmtId="0" fontId="25" fillId="0" borderId="0" xfId="23"/>
    <xf numFmtId="0" fontId="25" fillId="0" borderId="0" xfId="23" applyFill="1"/>
    <xf numFmtId="0" fontId="25" fillId="0" borderId="0" xfId="28"/>
    <xf numFmtId="0" fontId="35" fillId="0" borderId="0" xfId="28" applyFont="1"/>
    <xf numFmtId="0" fontId="62" fillId="0" borderId="0" xfId="28" applyFont="1" applyAlignment="1">
      <alignment horizontal="center"/>
    </xf>
    <xf numFmtId="0" fontId="25" fillId="0" borderId="0" xfId="28" applyFill="1"/>
    <xf numFmtId="176" fontId="80" fillId="0" borderId="0" xfId="8" applyFont="1" applyAlignment="1">
      <alignment horizontal="left" indent="1"/>
    </xf>
    <xf numFmtId="0" fontId="35" fillId="0" borderId="0" xfId="28" applyFont="1" applyAlignment="1">
      <alignment horizontal="left" indent="1"/>
    </xf>
    <xf numFmtId="0" fontId="25" fillId="0" borderId="0" xfId="24"/>
    <xf numFmtId="0" fontId="25" fillId="0" borderId="0" xfId="24" applyAlignment="1">
      <alignment horizontal="left" indent="1"/>
    </xf>
    <xf numFmtId="0" fontId="35" fillId="0" borderId="0" xfId="24" applyFont="1"/>
    <xf numFmtId="0" fontId="62" fillId="0" borderId="0" xfId="24" applyFont="1" applyAlignment="1">
      <alignment horizontal="center"/>
    </xf>
    <xf numFmtId="0" fontId="65" fillId="0" borderId="0" xfId="24" applyFont="1"/>
    <xf numFmtId="176" fontId="26" fillId="0" borderId="0" xfId="8" applyFont="1"/>
    <xf numFmtId="0" fontId="25" fillId="0" borderId="0" xfId="24" applyFill="1"/>
    <xf numFmtId="176" fontId="26" fillId="0" borderId="0" xfId="8" applyFont="1" applyAlignment="1">
      <alignment horizontal="left" indent="1"/>
    </xf>
    <xf numFmtId="0" fontId="25" fillId="0" borderId="0" xfId="24" applyFont="1"/>
    <xf numFmtId="0" fontId="35" fillId="0" borderId="0" xfId="24" applyFont="1" applyAlignment="1">
      <alignment horizontal="left" indent="1"/>
    </xf>
    <xf numFmtId="0" fontId="25" fillId="0" borderId="0" xfId="29"/>
    <xf numFmtId="172" fontId="25" fillId="0" borderId="0" xfId="7" applyNumberFormat="1" applyFont="1"/>
    <xf numFmtId="0" fontId="65" fillId="0" borderId="0" xfId="29" applyFont="1"/>
    <xf numFmtId="0" fontId="25" fillId="0" borderId="0" xfId="29" applyFont="1" applyFill="1"/>
    <xf numFmtId="0" fontId="25" fillId="0" borderId="0" xfId="29" applyAlignment="1">
      <alignment horizontal="left" indent="2"/>
    </xf>
    <xf numFmtId="0" fontId="25" fillId="0" borderId="0" xfId="29" applyFont="1"/>
    <xf numFmtId="0" fontId="70" fillId="3" borderId="0" xfId="9" applyFont="1" applyFill="1" applyAlignment="1">
      <alignment vertical="center"/>
    </xf>
    <xf numFmtId="0" fontId="25" fillId="0" borderId="0" xfId="31"/>
    <xf numFmtId="0" fontId="65" fillId="0" borderId="0" xfId="31" applyFont="1"/>
    <xf numFmtId="0" fontId="26" fillId="0" borderId="0" xfId="10" applyNumberFormat="1" applyFont="1" applyAlignment="1" applyProtection="1">
      <protection locked="0"/>
    </xf>
    <xf numFmtId="0" fontId="26" fillId="0" borderId="0" xfId="10" applyNumberFormat="1" applyFont="1" applyBorder="1" applyAlignment="1" applyProtection="1">
      <protection locked="0"/>
    </xf>
    <xf numFmtId="0" fontId="71" fillId="0" borderId="0" xfId="9" applyFont="1" applyAlignment="1">
      <alignment vertical="center"/>
    </xf>
    <xf numFmtId="0" fontId="30" fillId="0" borderId="0" xfId="9" applyAlignment="1">
      <alignment horizontal="center" vertical="center"/>
    </xf>
    <xf numFmtId="0" fontId="30" fillId="0" borderId="39" xfId="9" applyFont="1" applyBorder="1" applyAlignment="1">
      <alignment horizontal="center" vertical="center"/>
    </xf>
    <xf numFmtId="0" fontId="30" fillId="0" borderId="39" xfId="9" applyBorder="1" applyAlignment="1">
      <alignment horizontal="left" vertical="center" wrapText="1" indent="1"/>
    </xf>
    <xf numFmtId="172" fontId="72" fillId="0" borderId="39" xfId="11" applyNumberFormat="1" applyFont="1" applyBorder="1" applyAlignment="1">
      <alignment vertical="center"/>
    </xf>
    <xf numFmtId="0" fontId="30" fillId="0" borderId="39" xfId="9" applyFont="1" applyBorder="1" applyAlignment="1">
      <alignment horizontal="left" vertical="center" wrapText="1" indent="1"/>
    </xf>
    <xf numFmtId="0" fontId="73" fillId="0" borderId="40" xfId="9" applyFont="1" applyBorder="1" applyAlignment="1">
      <alignment horizontal="center" vertical="center"/>
    </xf>
    <xf numFmtId="0" fontId="30" fillId="0" borderId="1" xfId="9" applyBorder="1" applyAlignment="1">
      <alignment horizontal="left" vertical="center" wrapText="1" indent="1"/>
    </xf>
    <xf numFmtId="0" fontId="30" fillId="0" borderId="1" xfId="9" applyBorder="1" applyAlignment="1">
      <alignment vertical="center"/>
    </xf>
    <xf numFmtId="172" fontId="74" fillId="0" borderId="39" xfId="11" applyNumberFormat="1" applyFont="1" applyBorder="1" applyAlignment="1">
      <alignment vertical="center"/>
    </xf>
    <xf numFmtId="44" fontId="25" fillId="0" borderId="0" xfId="11" applyFont="1" applyAlignment="1">
      <alignment vertical="center"/>
    </xf>
    <xf numFmtId="171" fontId="75" fillId="0" borderId="0" xfId="10" applyFont="1" applyAlignment="1"/>
    <xf numFmtId="171" fontId="75" fillId="0" borderId="0" xfId="10" applyFont="1" applyAlignment="1">
      <alignment horizontal="left" indent="6"/>
    </xf>
    <xf numFmtId="4" fontId="30" fillId="0" borderId="0" xfId="9" applyNumberFormat="1"/>
    <xf numFmtId="0" fontId="70" fillId="0" borderId="0" xfId="9" applyFont="1" applyAlignment="1">
      <alignment vertical="center"/>
    </xf>
    <xf numFmtId="0" fontId="70" fillId="0" borderId="0" xfId="9" applyFont="1" applyAlignment="1">
      <alignment horizontal="left" vertical="center" wrapText="1" indent="1"/>
    </xf>
    <xf numFmtId="0" fontId="73" fillId="0" borderId="39" xfId="9" applyFont="1" applyFill="1" applyBorder="1" applyAlignment="1">
      <alignment horizontal="center" vertical="center"/>
    </xf>
    <xf numFmtId="0" fontId="73" fillId="0" borderId="39" xfId="9" applyFont="1" applyFill="1" applyBorder="1" applyAlignment="1">
      <alignment horizontal="left" vertical="center" wrapText="1" indent="1"/>
    </xf>
    <xf numFmtId="0" fontId="73" fillId="0" borderId="39" xfId="9" applyFont="1" applyFill="1" applyBorder="1" applyAlignment="1">
      <alignment horizontal="center" vertical="center" wrapText="1"/>
    </xf>
    <xf numFmtId="0" fontId="80" fillId="0" borderId="0" xfId="9" applyFont="1" applyAlignment="1">
      <alignment vertical="center"/>
    </xf>
    <xf numFmtId="0" fontId="45" fillId="0" borderId="30" xfId="3" applyFont="1" applyFill="1" applyBorder="1" applyAlignment="1">
      <alignment horizontal="right" vertical="top"/>
    </xf>
    <xf numFmtId="0" fontId="45" fillId="0" borderId="36" xfId="3" applyFont="1" applyFill="1" applyBorder="1" applyAlignment="1">
      <alignment horizontal="right" vertical="top"/>
    </xf>
    <xf numFmtId="0" fontId="54" fillId="0" borderId="4" xfId="4" quotePrefix="1" applyFont="1" applyFill="1" applyBorder="1" applyAlignment="1">
      <alignment vertical="top"/>
    </xf>
    <xf numFmtId="171" fontId="0" fillId="0" borderId="0" xfId="0" applyFill="1" applyAlignment="1"/>
    <xf numFmtId="172" fontId="0" fillId="0" borderId="0" xfId="1" applyNumberFormat="1" applyFont="1" applyAlignment="1"/>
    <xf numFmtId="0" fontId="62" fillId="6" borderId="0" xfId="26" applyFont="1" applyFill="1" applyAlignment="1">
      <alignment horizontal="center"/>
    </xf>
    <xf numFmtId="175" fontId="24" fillId="6" borderId="0" xfId="6" applyNumberFormat="1" applyFont="1" applyFill="1" applyBorder="1"/>
    <xf numFmtId="172" fontId="25" fillId="6" borderId="0" xfId="7" applyNumberFormat="1" applyFont="1" applyFill="1"/>
    <xf numFmtId="175" fontId="63" fillId="6" borderId="0" xfId="6" applyNumberFormat="1" applyFont="1" applyFill="1" applyBorder="1"/>
    <xf numFmtId="175" fontId="63" fillId="6" borderId="0" xfId="6" applyNumberFormat="1" applyFont="1" applyFill="1"/>
    <xf numFmtId="172" fontId="63" fillId="6" borderId="0" xfId="7" applyNumberFormat="1" applyFont="1" applyFill="1"/>
    <xf numFmtId="0" fontId="25" fillId="6" borderId="0" xfId="26" applyFill="1" applyAlignment="1">
      <alignment horizontal="center"/>
    </xf>
    <xf numFmtId="0" fontId="25" fillId="6" borderId="0" xfId="26" applyFill="1"/>
    <xf numFmtId="171" fontId="0" fillId="6" borderId="0" xfId="0" applyFill="1" applyAlignment="1"/>
    <xf numFmtId="171" fontId="80" fillId="6" borderId="0" xfId="0" applyFont="1" applyFill="1" applyAlignment="1">
      <alignment horizontal="center"/>
    </xf>
    <xf numFmtId="171" fontId="84" fillId="6" borderId="0" xfId="0" applyFont="1" applyFill="1" applyAlignment="1">
      <alignment horizontal="center"/>
    </xf>
    <xf numFmtId="171" fontId="80" fillId="6" borderId="0" xfId="0" applyFont="1" applyFill="1" applyAlignment="1"/>
    <xf numFmtId="172" fontId="80" fillId="6" borderId="0" xfId="1" applyNumberFormat="1" applyFont="1" applyFill="1" applyAlignment="1"/>
    <xf numFmtId="10" fontId="80" fillId="6" borderId="0" xfId="32" applyNumberFormat="1" applyFont="1" applyFill="1" applyAlignment="1"/>
    <xf numFmtId="172" fontId="85" fillId="6" borderId="0" xfId="1" applyNumberFormat="1" applyFont="1" applyFill="1" applyAlignment="1"/>
    <xf numFmtId="10" fontId="84" fillId="6" borderId="0" xfId="32" applyNumberFormat="1" applyFont="1" applyFill="1" applyAlignment="1"/>
    <xf numFmtId="0" fontId="24" fillId="0" borderId="0" xfId="29" applyFont="1"/>
    <xf numFmtId="171" fontId="25" fillId="0" borderId="0" xfId="29" applyNumberFormat="1"/>
    <xf numFmtId="171" fontId="24" fillId="6" borderId="0" xfId="29" applyNumberFormat="1" applyFont="1" applyFill="1"/>
    <xf numFmtId="172" fontId="25" fillId="6" borderId="0" xfId="7" applyNumberFormat="1" applyFont="1" applyFill="1" applyBorder="1"/>
    <xf numFmtId="0" fontId="35" fillId="0" borderId="0" xfId="24" applyFont="1" applyAlignment="1">
      <alignment horizontal="center"/>
    </xf>
    <xf numFmtId="172" fontId="25" fillId="8" borderId="0" xfId="7" applyNumberFormat="1" applyFont="1" applyFill="1"/>
    <xf numFmtId="175" fontId="25" fillId="8" borderId="0" xfId="6" applyNumberFormat="1" applyFont="1" applyFill="1"/>
    <xf numFmtId="175" fontId="25" fillId="8" borderId="0" xfId="6" applyNumberFormat="1" applyFont="1" applyFill="1" applyBorder="1"/>
    <xf numFmtId="175" fontId="25" fillId="8" borderId="5" xfId="6" applyNumberFormat="1" applyFont="1" applyFill="1" applyBorder="1"/>
    <xf numFmtId="172" fontId="25" fillId="0" borderId="16" xfId="7" applyNumberFormat="1" applyFont="1" applyFill="1" applyBorder="1"/>
    <xf numFmtId="0" fontId="88" fillId="3" borderId="0" xfId="19" applyFont="1" applyFill="1" applyAlignment="1">
      <alignment horizontal="left"/>
    </xf>
    <xf numFmtId="0" fontId="88" fillId="3" borderId="0" xfId="22" applyFont="1" applyFill="1"/>
    <xf numFmtId="171" fontId="80" fillId="7" borderId="0" xfId="0" applyFont="1" applyFill="1" applyAlignment="1"/>
    <xf numFmtId="169" fontId="80" fillId="7" borderId="0" xfId="0" applyNumberFormat="1" applyFont="1" applyFill="1" applyAlignment="1"/>
    <xf numFmtId="169" fontId="84" fillId="7" borderId="0" xfId="0" applyNumberFormat="1" applyFont="1" applyFill="1" applyAlignment="1"/>
    <xf numFmtId="171" fontId="0" fillId="7" borderId="0" xfId="0" applyFill="1" applyAlignment="1">
      <alignment horizontal="center"/>
    </xf>
    <xf numFmtId="171" fontId="0" fillId="7" borderId="0" xfId="0" applyFill="1" applyAlignment="1"/>
    <xf numFmtId="171" fontId="84" fillId="7" borderId="0" xfId="0" applyFont="1" applyFill="1" applyAlignment="1">
      <alignment horizontal="center"/>
    </xf>
    <xf numFmtId="171" fontId="89" fillId="3" borderId="0" xfId="0" applyFont="1" applyFill="1" applyAlignment="1"/>
    <xf numFmtId="0" fontId="25" fillId="0" borderId="0" xfId="21" applyFont="1" applyFill="1"/>
    <xf numFmtId="171" fontId="86" fillId="8" borderId="0" xfId="0" applyFont="1" applyFill="1" applyAlignment="1"/>
    <xf numFmtId="171" fontId="0" fillId="8" borderId="0" xfId="0" applyFill="1" applyAlignment="1"/>
    <xf numFmtId="0" fontId="90" fillId="3" borderId="0" xfId="24" applyFont="1" applyFill="1"/>
    <xf numFmtId="0" fontId="65" fillId="3" borderId="0" xfId="24" applyFont="1" applyFill="1"/>
    <xf numFmtId="171" fontId="87" fillId="8" borderId="0" xfId="0" applyFont="1" applyFill="1" applyAlignment="1"/>
    <xf numFmtId="171" fontId="23" fillId="8" borderId="0" xfId="29" applyNumberFormat="1" applyFont="1" applyFill="1"/>
    <xf numFmtId="0" fontId="25" fillId="8" borderId="0" xfId="29" applyFill="1"/>
    <xf numFmtId="0" fontId="91" fillId="0" borderId="0" xfId="9" applyFont="1" applyAlignment="1">
      <alignment horizontal="left" vertical="center"/>
    </xf>
    <xf numFmtId="0" fontId="92" fillId="3" borderId="0" xfId="9" applyFont="1" applyFill="1" applyAlignment="1">
      <alignment vertical="center"/>
    </xf>
    <xf numFmtId="0" fontId="70" fillId="3" borderId="0" xfId="9" applyFont="1" applyFill="1" applyAlignment="1">
      <alignment horizontal="left" vertical="center" wrapText="1" indent="1"/>
    </xf>
    <xf numFmtId="171" fontId="87" fillId="8" borderId="0" xfId="0" quotePrefix="1" applyFont="1" applyFill="1" applyAlignment="1">
      <alignment horizontal="left"/>
    </xf>
    <xf numFmtId="171" fontId="0" fillId="6" borderId="0" xfId="0" quotePrefix="1" applyFill="1" applyAlignment="1">
      <alignment horizontal="left"/>
    </xf>
    <xf numFmtId="175" fontId="53" fillId="0" borderId="41" xfId="2" applyNumberFormat="1" applyFont="1" applyFill="1" applyBorder="1" applyAlignment="1">
      <alignment horizontal="right" vertical="top"/>
    </xf>
    <xf numFmtId="171" fontId="22" fillId="6" borderId="0" xfId="29" applyNumberFormat="1" applyFont="1" applyFill="1"/>
    <xf numFmtId="171" fontId="22" fillId="6" borderId="0" xfId="29" quotePrefix="1" applyNumberFormat="1" applyFont="1" applyFill="1" applyAlignment="1">
      <alignment horizontal="left"/>
    </xf>
    <xf numFmtId="172" fontId="25" fillId="6" borderId="8" xfId="7" applyNumberFormat="1" applyFont="1" applyFill="1" applyBorder="1"/>
    <xf numFmtId="172" fontId="22" fillId="6" borderId="0" xfId="7" applyNumberFormat="1" applyFont="1" applyFill="1" applyBorder="1"/>
    <xf numFmtId="0" fontId="22" fillId="0" borderId="0" xfId="29" quotePrefix="1" applyFont="1" applyAlignment="1">
      <alignment horizontal="left"/>
    </xf>
    <xf numFmtId="171" fontId="82" fillId="0" borderId="0" xfId="0" applyFont="1" applyFill="1" applyAlignment="1"/>
    <xf numFmtId="171" fontId="80" fillId="0" borderId="0" xfId="0" applyFont="1" applyFill="1" applyAlignment="1"/>
    <xf numFmtId="171" fontId="80" fillId="0" borderId="0" xfId="0" applyFont="1" applyFill="1" applyAlignment="1">
      <alignment horizontal="center"/>
    </xf>
    <xf numFmtId="171" fontId="84" fillId="0" borderId="0" xfId="0" applyFont="1" applyFill="1" applyAlignment="1">
      <alignment horizontal="center"/>
    </xf>
    <xf numFmtId="10" fontId="80" fillId="0" borderId="0" xfId="32" applyNumberFormat="1" applyFont="1" applyFill="1" applyAlignment="1"/>
    <xf numFmtId="10" fontId="84" fillId="0" borderId="0" xfId="32" applyNumberFormat="1" applyFont="1" applyFill="1" applyAlignment="1"/>
    <xf numFmtId="2" fontId="80" fillId="8" borderId="0" xfId="0" applyNumberFormat="1" applyFont="1" applyFill="1" applyAlignment="1">
      <alignment horizontal="left"/>
    </xf>
    <xf numFmtId="2" fontId="93" fillId="8" borderId="0" xfId="0" applyNumberFormat="1" applyFont="1" applyFill="1" applyAlignment="1">
      <alignment horizontal="center"/>
    </xf>
    <xf numFmtId="4" fontId="93" fillId="8" borderId="0" xfId="0" applyNumberFormat="1" applyFont="1" applyFill="1" applyAlignment="1">
      <alignment horizontal="center"/>
    </xf>
    <xf numFmtId="0" fontId="45" fillId="0" borderId="0" xfId="4" applyFont="1" applyFill="1" applyBorder="1" applyAlignment="1">
      <alignment horizontal="left" vertical="top"/>
    </xf>
    <xf numFmtId="0" fontId="54" fillId="0" borderId="0" xfId="4" quotePrefix="1" applyFont="1" applyFill="1" applyBorder="1" applyAlignment="1">
      <alignment horizontal="left" vertical="top"/>
    </xf>
    <xf numFmtId="0" fontId="44" fillId="0" borderId="36" xfId="4" quotePrefix="1" applyFont="1" applyFill="1" applyBorder="1" applyAlignment="1">
      <alignment vertical="top"/>
    </xf>
    <xf numFmtId="0" fontId="44" fillId="0" borderId="36" xfId="4" applyFont="1" applyFill="1" applyBorder="1" applyAlignment="1">
      <alignment vertical="top"/>
    </xf>
    <xf numFmtId="37" fontId="45" fillId="0" borderId="36" xfId="4" applyNumberFormat="1" applyFont="1" applyFill="1" applyBorder="1" applyAlignment="1">
      <alignment horizontal="right" vertical="top"/>
    </xf>
    <xf numFmtId="0" fontId="45" fillId="0" borderId="36" xfId="4" applyFont="1" applyFill="1" applyBorder="1" applyAlignment="1">
      <alignment vertical="top"/>
    </xf>
    <xf numFmtId="0" fontId="21" fillId="0" borderId="0" xfId="29" quotePrefix="1" applyFont="1" applyAlignment="1">
      <alignment horizontal="left"/>
    </xf>
    <xf numFmtId="37" fontId="53" fillId="0" borderId="16" xfId="4" applyNumberFormat="1" applyFont="1" applyFill="1" applyBorder="1" applyAlignment="1">
      <alignment horizontal="right" vertical="top"/>
    </xf>
    <xf numFmtId="0" fontId="45" fillId="0" borderId="35" xfId="3" applyFont="1" applyFill="1" applyBorder="1" applyAlignment="1">
      <alignment horizontal="center" vertical="top"/>
    </xf>
    <xf numFmtId="0" fontId="55" fillId="0" borderId="16" xfId="3" applyFont="1" applyFill="1" applyBorder="1" applyAlignment="1">
      <alignment horizontal="center" vertical="top" wrapText="1"/>
    </xf>
    <xf numFmtId="49" fontId="54" fillId="0" borderId="16" xfId="3" applyNumberFormat="1" applyFont="1" applyFill="1" applyBorder="1" applyAlignment="1">
      <alignment horizontal="left" vertical="top"/>
    </xf>
    <xf numFmtId="0" fontId="20" fillId="0" borderId="0" xfId="23" applyFont="1"/>
    <xf numFmtId="0" fontId="94" fillId="0" borderId="0" xfId="23" applyFont="1"/>
    <xf numFmtId="171" fontId="95" fillId="0" borderId="0" xfId="0" applyFont="1" applyAlignment="1"/>
    <xf numFmtId="172" fontId="20" fillId="8" borderId="0" xfId="7" applyNumberFormat="1" applyFont="1" applyFill="1"/>
    <xf numFmtId="172" fontId="20" fillId="0" borderId="0" xfId="7" applyNumberFormat="1" applyFont="1"/>
    <xf numFmtId="0" fontId="20" fillId="0" borderId="0" xfId="23" applyFont="1" applyFill="1"/>
    <xf numFmtId="176" fontId="95" fillId="0" borderId="0" xfId="8" applyFont="1"/>
    <xf numFmtId="43" fontId="95" fillId="0" borderId="0" xfId="8" applyNumberFormat="1" applyFont="1"/>
    <xf numFmtId="0" fontId="98" fillId="0" borderId="0" xfId="23" applyFont="1"/>
    <xf numFmtId="171" fontId="95" fillId="0" borderId="0" xfId="0" applyFont="1" applyFill="1" applyAlignment="1"/>
    <xf numFmtId="0" fontId="20" fillId="0" borderId="0" xfId="28" applyFont="1"/>
    <xf numFmtId="0" fontId="20" fillId="0" borderId="0" xfId="28" applyFont="1" applyAlignment="1">
      <alignment horizontal="left" indent="1"/>
    </xf>
    <xf numFmtId="175" fontId="20" fillId="0" borderId="0" xfId="6" applyNumberFormat="1" applyFont="1" applyFill="1"/>
    <xf numFmtId="175" fontId="20" fillId="0" borderId="0" xfId="6" applyNumberFormat="1" applyFont="1" applyFill="1" applyBorder="1"/>
    <xf numFmtId="0" fontId="94" fillId="0" borderId="0" xfId="28" applyFont="1"/>
    <xf numFmtId="0" fontId="20" fillId="8" borderId="0" xfId="28" applyFont="1" applyFill="1" applyAlignment="1">
      <alignment horizontal="left" indent="1"/>
    </xf>
    <xf numFmtId="0" fontId="20" fillId="0" borderId="0" xfId="28" applyFont="1" applyFill="1"/>
    <xf numFmtId="0" fontId="20" fillId="0" borderId="0" xfId="28" applyFont="1" applyFill="1" applyAlignment="1">
      <alignment horizontal="left" indent="1"/>
    </xf>
    <xf numFmtId="172" fontId="20" fillId="0" borderId="16" xfId="7" applyNumberFormat="1" applyFont="1" applyFill="1" applyBorder="1"/>
    <xf numFmtId="0" fontId="25" fillId="0" borderId="0" xfId="26" applyFont="1" applyAlignment="1">
      <alignment horizontal="left"/>
    </xf>
    <xf numFmtId="171" fontId="75" fillId="0" borderId="0" xfId="0" applyFont="1" applyAlignment="1"/>
    <xf numFmtId="0" fontId="18" fillId="0" borderId="0" xfId="23" quotePrefix="1" applyFont="1" applyAlignment="1">
      <alignment horizontal="left"/>
    </xf>
    <xf numFmtId="175" fontId="45" fillId="0" borderId="18" xfId="2" applyNumberFormat="1" applyFont="1" applyFill="1" applyBorder="1" applyAlignment="1">
      <alignment horizontal="right" vertical="top"/>
    </xf>
    <xf numFmtId="2" fontId="80" fillId="0" borderId="0" xfId="0" applyNumberFormat="1" applyFont="1" applyFill="1" applyAlignment="1">
      <alignment horizontal="left"/>
    </xf>
    <xf numFmtId="172" fontId="22" fillId="0" borderId="0" xfId="7" applyNumberFormat="1" applyFont="1" applyFill="1" applyBorder="1"/>
    <xf numFmtId="2" fontId="93" fillId="8" borderId="0" xfId="0" applyNumberFormat="1" applyFont="1" applyFill="1" applyAlignment="1">
      <alignment horizontal="left"/>
    </xf>
    <xf numFmtId="172" fontId="35" fillId="8" borderId="0" xfId="7" applyNumberFormat="1" applyFont="1" applyFill="1" applyBorder="1"/>
    <xf numFmtId="2" fontId="80" fillId="8" borderId="5" xfId="0" applyNumberFormat="1" applyFont="1" applyFill="1" applyBorder="1" applyAlignment="1">
      <alignment horizontal="left"/>
    </xf>
    <xf numFmtId="172" fontId="63" fillId="8" borderId="0" xfId="7" applyNumberFormat="1" applyFont="1" applyFill="1"/>
    <xf numFmtId="0" fontId="17" fillId="0" borderId="0" xfId="28" applyFont="1" applyFill="1" applyAlignment="1">
      <alignment horizontal="left" indent="1"/>
    </xf>
    <xf numFmtId="175" fontId="63" fillId="0" borderId="0" xfId="6" applyNumberFormat="1" applyFont="1" applyFill="1"/>
    <xf numFmtId="0" fontId="17" fillId="0" borderId="0" xfId="28" applyFont="1"/>
    <xf numFmtId="0" fontId="45" fillId="0" borderId="0" xfId="3" quotePrefix="1" applyFont="1" applyFill="1" applyBorder="1" applyAlignment="1">
      <alignment horizontal="left" vertical="top"/>
    </xf>
    <xf numFmtId="175" fontId="36" fillId="0" borderId="16" xfId="2" applyNumberFormat="1" applyFont="1" applyFill="1" applyBorder="1" applyAlignment="1">
      <alignment horizontal="right" vertical="top"/>
    </xf>
    <xf numFmtId="175" fontId="45" fillId="0" borderId="36" xfId="2" applyNumberFormat="1" applyFont="1" applyFill="1" applyBorder="1" applyAlignment="1">
      <alignment horizontal="right" vertical="top"/>
    </xf>
    <xf numFmtId="172" fontId="20" fillId="0" borderId="0" xfId="7" applyNumberFormat="1" applyFont="1" applyFill="1"/>
    <xf numFmtId="172" fontId="20" fillId="0" borderId="5" xfId="7" applyNumberFormat="1" applyFont="1" applyFill="1" applyBorder="1"/>
    <xf numFmtId="0" fontId="45" fillId="0" borderId="16" xfId="0" applyNumberFormat="1" applyFont="1" applyFill="1" applyBorder="1" applyAlignment="1">
      <alignment horizontal="left" vertical="top" wrapText="1"/>
    </xf>
    <xf numFmtId="0" fontId="53" fillId="0" borderId="16" xfId="0" applyNumberFormat="1" applyFont="1" applyFill="1" applyBorder="1" applyAlignment="1">
      <alignment horizontal="left" vertical="top" wrapText="1"/>
    </xf>
    <xf numFmtId="175" fontId="53" fillId="0" borderId="0" xfId="3" applyNumberFormat="1" applyFont="1" applyFill="1" applyBorder="1" applyAlignment="1">
      <alignment horizontal="left" vertical="top"/>
    </xf>
    <xf numFmtId="169" fontId="0" fillId="0" borderId="0" xfId="0" applyNumberFormat="1" applyAlignment="1"/>
    <xf numFmtId="10" fontId="0" fillId="0" borderId="0" xfId="32" applyNumberFormat="1" applyFont="1" applyAlignment="1"/>
    <xf numFmtId="10" fontId="100" fillId="0" borderId="0" xfId="32" applyNumberFormat="1" applyFont="1" applyAlignment="1"/>
    <xf numFmtId="169" fontId="100" fillId="0" borderId="0" xfId="0" applyNumberFormat="1" applyFont="1" applyAlignment="1"/>
    <xf numFmtId="174" fontId="53" fillId="0" borderId="3" xfId="2" applyNumberFormat="1" applyFont="1" applyFill="1" applyBorder="1" applyAlignment="1">
      <alignment horizontal="right" vertical="top"/>
    </xf>
    <xf numFmtId="172" fontId="59" fillId="0" borderId="0" xfId="1" applyNumberFormat="1" applyFont="1" applyFill="1" applyAlignment="1"/>
    <xf numFmtId="171" fontId="14" fillId="0" borderId="0" xfId="29" applyNumberFormat="1" applyFont="1"/>
    <xf numFmtId="37" fontId="25" fillId="0" borderId="0" xfId="29" applyNumberFormat="1"/>
    <xf numFmtId="44" fontId="25" fillId="0" borderId="0" xfId="29" applyNumberFormat="1"/>
    <xf numFmtId="0" fontId="14" fillId="0" borderId="0" xfId="29" quotePrefix="1" applyFont="1" applyAlignment="1">
      <alignment horizontal="left"/>
    </xf>
    <xf numFmtId="0" fontId="14" fillId="0" borderId="0" xfId="29" applyFont="1"/>
    <xf numFmtId="0" fontId="14" fillId="0" borderId="0" xfId="29" quotePrefix="1" applyFont="1" applyAlignment="1">
      <alignment horizontal="left" indent="1"/>
    </xf>
    <xf numFmtId="171" fontId="101" fillId="0" borderId="0" xfId="0" applyFont="1" applyAlignment="1"/>
    <xf numFmtId="171" fontId="101" fillId="0" borderId="0" xfId="0" applyFont="1" applyFill="1" applyAlignment="1"/>
    <xf numFmtId="172" fontId="80" fillId="0" borderId="0" xfId="1" applyNumberFormat="1" applyFont="1" applyAlignment="1"/>
    <xf numFmtId="172" fontId="13" fillId="8" borderId="0" xfId="7" applyNumberFormat="1" applyFont="1" applyFill="1"/>
    <xf numFmtId="0" fontId="26" fillId="0" borderId="0" xfId="0" applyNumberFormat="1" applyFont="1" applyFill="1" applyBorder="1" applyAlignment="1" applyProtection="1">
      <protection locked="0"/>
    </xf>
    <xf numFmtId="0" fontId="26" fillId="0" borderId="1" xfId="0" applyNumberFormat="1" applyFont="1" applyFill="1" applyBorder="1" applyAlignment="1" applyProtection="1">
      <protection locked="0"/>
    </xf>
    <xf numFmtId="172" fontId="80" fillId="8" borderId="0" xfId="1" applyNumberFormat="1" applyFont="1" applyFill="1" applyAlignment="1">
      <alignment horizontal="right"/>
    </xf>
    <xf numFmtId="169" fontId="80" fillId="0" borderId="0" xfId="0" applyNumberFormat="1" applyFont="1" applyFill="1" applyAlignment="1"/>
    <xf numFmtId="171" fontId="80" fillId="0" borderId="0" xfId="0" applyFont="1" applyAlignment="1"/>
    <xf numFmtId="172" fontId="80" fillId="0" borderId="0" xfId="1" applyNumberFormat="1" applyFont="1" applyFill="1" applyAlignment="1"/>
    <xf numFmtId="164" fontId="80" fillId="0" borderId="0" xfId="32" applyNumberFormat="1" applyFont="1" applyFill="1" applyAlignment="1"/>
    <xf numFmtId="0" fontId="12" fillId="8" borderId="0" xfId="28" applyFont="1" applyFill="1" applyAlignment="1">
      <alignment horizontal="left" indent="1"/>
    </xf>
    <xf numFmtId="172" fontId="11" fillId="8" borderId="0" xfId="7" applyNumberFormat="1" applyFont="1" applyFill="1"/>
    <xf numFmtId="0" fontId="11" fillId="8" borderId="0" xfId="28" applyFont="1" applyFill="1" applyAlignment="1">
      <alignment horizontal="left" indent="1"/>
    </xf>
    <xf numFmtId="175" fontId="80" fillId="0" borderId="0" xfId="2" applyNumberFormat="1" applyFont="1" applyAlignment="1"/>
    <xf numFmtId="178" fontId="80" fillId="0" borderId="0" xfId="32" applyNumberFormat="1" applyFont="1" applyAlignment="1"/>
    <xf numFmtId="171" fontId="103" fillId="0" borderId="0" xfId="0" applyFont="1" applyAlignment="1">
      <alignment horizontal="centerContinuous"/>
    </xf>
    <xf numFmtId="171" fontId="0" fillId="0" borderId="0" xfId="0" applyAlignment="1">
      <alignment horizontal="centerContinuous"/>
    </xf>
    <xf numFmtId="0" fontId="46" fillId="0" borderId="16" xfId="4" applyFill="1" applyBorder="1" applyAlignment="1">
      <alignment horizontal="center" wrapText="1"/>
    </xf>
    <xf numFmtId="172" fontId="80" fillId="8" borderId="5" xfId="1" applyNumberFormat="1" applyFont="1" applyFill="1" applyBorder="1" applyAlignment="1">
      <alignment horizontal="right"/>
    </xf>
    <xf numFmtId="172" fontId="80" fillId="0" borderId="0" xfId="1" applyNumberFormat="1" applyFont="1" applyFill="1" applyAlignment="1">
      <alignment horizontal="right"/>
    </xf>
    <xf numFmtId="172" fontId="80" fillId="0" borderId="5" xfId="1" applyNumberFormat="1" applyFont="1" applyFill="1" applyBorder="1" applyAlignment="1">
      <alignment horizontal="right"/>
    </xf>
    <xf numFmtId="0" fontId="14" fillId="0" borderId="5" xfId="29" quotePrefix="1" applyFont="1" applyBorder="1" applyAlignment="1">
      <alignment horizontal="left"/>
    </xf>
    <xf numFmtId="171" fontId="0" fillId="0" borderId="16" xfId="0" applyBorder="1" applyAlignment="1"/>
    <xf numFmtId="0" fontId="25" fillId="8" borderId="0" xfId="21" applyFill="1"/>
    <xf numFmtId="0" fontId="10" fillId="8" borderId="0" xfId="21" quotePrefix="1" applyFont="1" applyFill="1" applyAlignment="1">
      <alignment horizontal="left" indent="1"/>
    </xf>
    <xf numFmtId="0" fontId="18" fillId="8" borderId="0" xfId="21" quotePrefix="1" applyFont="1" applyFill="1" applyAlignment="1">
      <alignment horizontal="left"/>
    </xf>
    <xf numFmtId="0" fontId="17" fillId="8" borderId="0" xfId="21" quotePrefix="1" applyFont="1" applyFill="1" applyAlignment="1">
      <alignment horizontal="left" indent="1"/>
    </xf>
    <xf numFmtId="0" fontId="16" fillId="8" borderId="0" xfId="21" applyFont="1" applyFill="1" applyAlignment="1">
      <alignment horizontal="left" indent="1"/>
    </xf>
    <xf numFmtId="0" fontId="16" fillId="8" borderId="0" xfId="21" applyFont="1" applyFill="1"/>
    <xf numFmtId="0" fontId="25" fillId="8" borderId="0" xfId="21" applyFill="1" applyAlignment="1">
      <alignment horizontal="left" indent="1"/>
    </xf>
    <xf numFmtId="172" fontId="15" fillId="0" borderId="0" xfId="7" applyNumberFormat="1" applyFont="1" applyFill="1"/>
    <xf numFmtId="0" fontId="9" fillId="0" borderId="0" xfId="23" quotePrefix="1" applyFont="1" applyFill="1" applyAlignment="1">
      <alignment horizontal="left"/>
    </xf>
    <xf numFmtId="172" fontId="25" fillId="0" borderId="0" xfId="29" applyNumberFormat="1"/>
    <xf numFmtId="3" fontId="26" fillId="0" borderId="0" xfId="0" applyNumberFormat="1" applyFont="1" applyFill="1" applyAlignment="1">
      <alignment vertical="top" wrapText="1"/>
    </xf>
    <xf numFmtId="10" fontId="26" fillId="0" borderId="0" xfId="0" applyNumberFormat="1" applyFont="1" applyFill="1"/>
    <xf numFmtId="171" fontId="0" fillId="0" borderId="0" xfId="0" applyFont="1" applyFill="1" applyBorder="1" applyAlignment="1"/>
    <xf numFmtId="3" fontId="0" fillId="0" borderId="0" xfId="0" applyNumberFormat="1" applyFont="1" applyFill="1" applyBorder="1" applyAlignment="1"/>
    <xf numFmtId="0" fontId="0" fillId="0" borderId="0" xfId="0" applyNumberFormat="1" applyFont="1" applyFill="1" applyBorder="1" applyAlignment="1"/>
    <xf numFmtId="171" fontId="33" fillId="0" borderId="0" xfId="0" applyFont="1" applyFill="1" applyBorder="1"/>
    <xf numFmtId="171" fontId="31" fillId="0" borderId="0" xfId="0" applyFont="1" applyFill="1" applyBorder="1"/>
    <xf numFmtId="171" fontId="31" fillId="0" borderId="0" xfId="0" applyFont="1" applyFill="1" applyBorder="1" applyAlignment="1">
      <alignment horizontal="left" wrapText="1"/>
    </xf>
    <xf numFmtId="171" fontId="31" fillId="0" borderId="0" xfId="0" applyFont="1" applyFill="1" applyBorder="1" applyAlignment="1"/>
    <xf numFmtId="171" fontId="29" fillId="0" borderId="0" xfId="0" applyFont="1" applyFill="1" applyBorder="1" applyAlignment="1"/>
    <xf numFmtId="171" fontId="26" fillId="0" borderId="0" xfId="0" applyFont="1" applyFill="1" applyBorder="1" applyAlignment="1"/>
    <xf numFmtId="171" fontId="32" fillId="0" borderId="0" xfId="0" applyFont="1" applyFill="1" applyBorder="1" applyAlignment="1"/>
    <xf numFmtId="169" fontId="0" fillId="0" borderId="0" xfId="0" applyNumberFormat="1" applyFill="1" applyBorder="1" applyAlignment="1"/>
    <xf numFmtId="169" fontId="0" fillId="0" borderId="0" xfId="0" applyNumberFormat="1" applyFont="1" applyFill="1" applyBorder="1" applyAlignment="1"/>
    <xf numFmtId="0" fontId="26" fillId="0" borderId="0" xfId="0" applyNumberFormat="1" applyFont="1" applyAlignment="1" applyProtection="1">
      <alignment horizontal="left"/>
      <protection locked="0"/>
    </xf>
    <xf numFmtId="3" fontId="26" fillId="9" borderId="0" xfId="0" applyNumberFormat="1" applyFont="1" applyFill="1"/>
    <xf numFmtId="3" fontId="26" fillId="8" borderId="0" xfId="0" applyNumberFormat="1" applyFont="1" applyFill="1" applyAlignment="1"/>
    <xf numFmtId="3" fontId="26" fillId="0" borderId="42" xfId="0" applyNumberFormat="1" applyFont="1" applyBorder="1" applyAlignment="1"/>
    <xf numFmtId="3" fontId="26" fillId="9" borderId="0" xfId="0" applyNumberFormat="1" applyFont="1" applyFill="1" applyBorder="1"/>
    <xf numFmtId="3" fontId="26" fillId="9" borderId="1" xfId="0" applyNumberFormat="1" applyFont="1" applyFill="1" applyBorder="1"/>
    <xf numFmtId="170" fontId="26" fillId="9" borderId="0" xfId="0" applyNumberFormat="1" applyFont="1" applyFill="1" applyProtection="1">
      <protection locked="0"/>
    </xf>
    <xf numFmtId="0" fontId="26" fillId="0" borderId="0" xfId="0" applyNumberFormat="1" applyFont="1" applyAlignment="1" applyProtection="1">
      <alignment horizontal="right"/>
      <protection locked="0"/>
    </xf>
    <xf numFmtId="0" fontId="26" fillId="0" borderId="0" xfId="0" applyNumberFormat="1" applyFont="1" applyAlignment="1">
      <alignment horizontal="left"/>
    </xf>
    <xf numFmtId="3" fontId="26" fillId="9" borderId="0" xfId="0" applyNumberFormat="1" applyFont="1" applyFill="1" applyBorder="1" applyAlignment="1"/>
    <xf numFmtId="3" fontId="26" fillId="9" borderId="1" xfId="0" applyNumberFormat="1" applyFont="1" applyFill="1" applyBorder="1" applyAlignment="1"/>
    <xf numFmtId="3" fontId="26" fillId="9" borderId="0" xfId="0" applyNumberFormat="1" applyFont="1" applyFill="1" applyAlignment="1"/>
    <xf numFmtId="0" fontId="26" fillId="0" borderId="0" xfId="0" applyNumberFormat="1" applyFont="1" applyFill="1" applyAlignment="1"/>
    <xf numFmtId="169" fontId="26" fillId="9" borderId="0" xfId="0" applyNumberFormat="1" applyFont="1" applyFill="1" applyAlignment="1"/>
    <xf numFmtId="169" fontId="26" fillId="9" borderId="0" xfId="0" applyNumberFormat="1" applyFont="1" applyFill="1" applyBorder="1" applyProtection="1"/>
    <xf numFmtId="169" fontId="26" fillId="9" borderId="0" xfId="0" applyNumberFormat="1" applyFont="1" applyFill="1" applyBorder="1" applyAlignment="1" applyProtection="1">
      <protection locked="0"/>
    </xf>
    <xf numFmtId="0" fontId="26" fillId="0" borderId="0" xfId="0" applyNumberFormat="1" applyFont="1" applyFill="1" applyBorder="1" applyProtection="1">
      <protection locked="0"/>
    </xf>
    <xf numFmtId="0" fontId="26" fillId="0" borderId="1" xfId="0" applyNumberFormat="1" applyFont="1" applyFill="1" applyBorder="1" applyProtection="1">
      <protection locked="0"/>
    </xf>
    <xf numFmtId="169" fontId="26" fillId="9" borderId="1" xfId="0" applyNumberFormat="1" applyFont="1" applyFill="1" applyBorder="1" applyAlignment="1" applyProtection="1">
      <protection locked="0"/>
    </xf>
    <xf numFmtId="169" fontId="26" fillId="0" borderId="0" xfId="0" applyNumberFormat="1" applyFont="1" applyAlignment="1" applyProtection="1">
      <alignment horizontal="right"/>
      <protection locked="0"/>
    </xf>
    <xf numFmtId="171" fontId="0" fillId="0" borderId="0" xfId="0" applyFont="1" applyAlignment="1">
      <alignment horizontal="center"/>
    </xf>
    <xf numFmtId="171" fontId="0" fillId="0" borderId="0" xfId="0" applyBorder="1" applyAlignment="1"/>
    <xf numFmtId="171" fontId="0" fillId="0" borderId="0" xfId="0" quotePrefix="1" applyFill="1" applyAlignment="1">
      <alignment horizontal="left"/>
    </xf>
    <xf numFmtId="0" fontId="8" fillId="0" borderId="0" xfId="28" applyFont="1" applyFill="1"/>
    <xf numFmtId="0" fontId="26" fillId="0" borderId="0" xfId="0" applyNumberFormat="1" applyFont="1" applyAlignment="1">
      <alignment horizontal="right"/>
    </xf>
    <xf numFmtId="0" fontId="26" fillId="0" borderId="0" xfId="0" applyNumberFormat="1" applyFont="1" applyAlignment="1">
      <alignment horizontal="center"/>
    </xf>
    <xf numFmtId="0" fontId="26" fillId="0" borderId="0" xfId="0" applyNumberFormat="1" applyFont="1" applyFill="1" applyAlignment="1" applyProtection="1">
      <alignment vertical="top" wrapText="1"/>
      <protection locked="0"/>
    </xf>
    <xf numFmtId="0" fontId="8" fillId="0" borderId="0" xfId="26" quotePrefix="1" applyFont="1" applyFill="1" applyAlignment="1">
      <alignment horizontal="left"/>
    </xf>
    <xf numFmtId="0" fontId="25" fillId="0" borderId="0" xfId="26" applyFill="1" applyAlignment="1">
      <alignment horizontal="left" indent="1"/>
    </xf>
    <xf numFmtId="0" fontId="7" fillId="0" borderId="0" xfId="26" quotePrefix="1" applyFont="1" applyFill="1" applyAlignment="1">
      <alignment horizontal="left"/>
    </xf>
    <xf numFmtId="0" fontId="7" fillId="0" borderId="0" xfId="26" applyFont="1" applyFill="1"/>
    <xf numFmtId="0" fontId="5" fillId="0" borderId="0" xfId="25" quotePrefix="1" applyFont="1" applyAlignment="1">
      <alignment horizontal="left"/>
    </xf>
    <xf numFmtId="49" fontId="107" fillId="9" borderId="0" xfId="0" applyNumberFormat="1" applyFont="1" applyFill="1" applyProtection="1">
      <protection locked="0"/>
    </xf>
    <xf numFmtId="0" fontId="26" fillId="8" borderId="0" xfId="0" applyNumberFormat="1" applyFont="1" applyFill="1" applyProtection="1">
      <protection locked="0"/>
    </xf>
    <xf numFmtId="171" fontId="26" fillId="8" borderId="0" xfId="0" applyFont="1" applyFill="1" applyAlignment="1"/>
    <xf numFmtId="0" fontId="26" fillId="8" borderId="0" xfId="0" applyNumberFormat="1" applyFont="1" applyFill="1"/>
    <xf numFmtId="0" fontId="26" fillId="8" borderId="0" xfId="0" quotePrefix="1" applyNumberFormat="1" applyFont="1" applyFill="1" applyAlignment="1" applyProtection="1">
      <alignment horizontal="right"/>
      <protection locked="0"/>
    </xf>
    <xf numFmtId="49" fontId="107" fillId="8" borderId="0" xfId="0" applyNumberFormat="1" applyFont="1" applyFill="1" applyProtection="1">
      <protection locked="0"/>
    </xf>
    <xf numFmtId="171" fontId="26" fillId="0" borderId="7" xfId="0" applyFont="1" applyBorder="1" applyAlignment="1" applyProtection="1">
      <protection locked="0"/>
    </xf>
    <xf numFmtId="171" fontId="26" fillId="0" borderId="8" xfId="0" applyFont="1" applyBorder="1" applyAlignment="1" applyProtection="1">
      <protection locked="0"/>
    </xf>
    <xf numFmtId="171" fontId="26" fillId="0" borderId="9" xfId="0" applyFont="1" applyBorder="1" applyAlignment="1" applyProtection="1">
      <protection locked="0"/>
    </xf>
    <xf numFmtId="171" fontId="26" fillId="0" borderId="3" xfId="0" applyFont="1" applyBorder="1" applyAlignment="1" applyProtection="1">
      <protection locked="0"/>
    </xf>
    <xf numFmtId="171" fontId="26" fillId="0" borderId="0" xfId="0" applyFont="1" applyBorder="1" applyAlignment="1" applyProtection="1">
      <protection locked="0"/>
    </xf>
    <xf numFmtId="171" fontId="26" fillId="0" borderId="43" xfId="0" applyFont="1" applyBorder="1" applyAlignment="1" applyProtection="1">
      <protection locked="0"/>
    </xf>
    <xf numFmtId="10" fontId="108" fillId="2" borderId="43" xfId="32" applyNumberFormat="1" applyFont="1" applyFill="1" applyBorder="1" applyAlignment="1" applyProtection="1">
      <protection locked="0"/>
    </xf>
    <xf numFmtId="171" fontId="107" fillId="0" borderId="3" xfId="0" applyFont="1" applyBorder="1" applyAlignment="1" applyProtection="1">
      <protection locked="0"/>
    </xf>
    <xf numFmtId="171" fontId="109" fillId="0" borderId="0" xfId="0" applyFont="1" applyBorder="1" applyAlignment="1" applyProtection="1">
      <protection locked="0"/>
    </xf>
    <xf numFmtId="171" fontId="26" fillId="0" borderId="4" xfId="0" applyFont="1" applyBorder="1" applyAlignment="1" applyProtection="1">
      <protection locked="0"/>
    </xf>
    <xf numFmtId="171" fontId="26" fillId="0" borderId="5" xfId="0" applyFont="1" applyBorder="1" applyAlignment="1" applyProtection="1">
      <protection locked="0"/>
    </xf>
    <xf numFmtId="171" fontId="26" fillId="0" borderId="6" xfId="0" applyFont="1" applyBorder="1" applyAlignment="1" applyProtection="1">
      <protection locked="0"/>
    </xf>
    <xf numFmtId="171" fontId="26" fillId="0" borderId="0" xfId="0" applyFont="1" applyAlignment="1" applyProtection="1">
      <protection locked="0"/>
    </xf>
    <xf numFmtId="3" fontId="26" fillId="0" borderId="0" xfId="0" applyNumberFormat="1" applyFont="1" applyAlignment="1" applyProtection="1">
      <protection locked="0"/>
    </xf>
    <xf numFmtId="168" fontId="26" fillId="0" borderId="0" xfId="0" applyNumberFormat="1" applyFont="1" applyAlignment="1" applyProtection="1">
      <protection locked="0"/>
    </xf>
    <xf numFmtId="10" fontId="26" fillId="9" borderId="0" xfId="0" applyNumberFormat="1" applyFont="1" applyFill="1" applyAlignment="1" applyProtection="1"/>
    <xf numFmtId="10" fontId="26" fillId="8" borderId="0" xfId="0" applyNumberFormat="1" applyFont="1" applyFill="1" applyAlignment="1" applyProtection="1">
      <alignment vertical="top" wrapText="1"/>
      <protection locked="0"/>
    </xf>
    <xf numFmtId="0" fontId="36" fillId="0" borderId="16" xfId="3" quotePrefix="1" applyFont="1" applyFill="1" applyBorder="1" applyAlignment="1">
      <alignment horizontal="left" vertical="top"/>
    </xf>
    <xf numFmtId="2" fontId="110" fillId="0" borderId="0" xfId="0" applyNumberFormat="1" applyFont="1" applyFill="1" applyAlignment="1">
      <alignment horizontal="right"/>
    </xf>
    <xf numFmtId="2" fontId="110" fillId="0" borderId="0" xfId="0" applyNumberFormat="1" applyFont="1" applyAlignment="1">
      <alignment horizontal="right"/>
    </xf>
    <xf numFmtId="0" fontId="111" fillId="0" borderId="0" xfId="37" applyFont="1" applyAlignment="1"/>
    <xf numFmtId="0" fontId="111" fillId="0" borderId="0" xfId="37" applyBorder="1"/>
    <xf numFmtId="171" fontId="3" fillId="6" borderId="0" xfId="29" quotePrefix="1" applyNumberFormat="1" applyFont="1" applyFill="1" applyAlignment="1">
      <alignment horizontal="left"/>
    </xf>
    <xf numFmtId="0" fontId="3" fillId="0" borderId="0" xfId="28" quotePrefix="1" applyFont="1" applyAlignment="1">
      <alignment horizontal="left"/>
    </xf>
    <xf numFmtId="172" fontId="20" fillId="0" borderId="0" xfId="28" applyNumberFormat="1" applyFont="1" applyFill="1"/>
    <xf numFmtId="0" fontId="35" fillId="0" borderId="0" xfId="38" quotePrefix="1" applyFont="1" applyAlignment="1">
      <alignment horizontal="left"/>
    </xf>
    <xf numFmtId="0" fontId="3" fillId="0" borderId="0" xfId="38"/>
    <xf numFmtId="0" fontId="3" fillId="0" borderId="0" xfId="38" applyBorder="1" applyAlignment="1"/>
    <xf numFmtId="0" fontId="35" fillId="0" borderId="5" xfId="38" applyFont="1" applyBorder="1" applyAlignment="1">
      <alignment horizontal="centerContinuous"/>
    </xf>
    <xf numFmtId="0" fontId="3" fillId="0" borderId="0" xfId="38" applyAlignment="1">
      <alignment horizontal="center"/>
    </xf>
    <xf numFmtId="0" fontId="3" fillId="0" borderId="8" xfId="38" quotePrefix="1" applyBorder="1" applyAlignment="1">
      <alignment horizontal="centerContinuous"/>
    </xf>
    <xf numFmtId="0" fontId="3" fillId="0" borderId="8" xfId="38" applyBorder="1" applyAlignment="1">
      <alignment horizontal="centerContinuous"/>
    </xf>
    <xf numFmtId="0" fontId="104" fillId="0" borderId="0" xfId="38" applyFont="1" applyAlignment="1">
      <alignment horizontal="centerContinuous"/>
    </xf>
    <xf numFmtId="0" fontId="3" fillId="0" borderId="5" xfId="38" quotePrefix="1" applyBorder="1" applyAlignment="1">
      <alignment horizontal="centerContinuous"/>
    </xf>
    <xf numFmtId="0" fontId="3" fillId="0" borderId="5" xfId="38" applyBorder="1" applyAlignment="1">
      <alignment horizontal="centerContinuous"/>
    </xf>
    <xf numFmtId="0" fontId="3" fillId="0" borderId="0" xfId="38" quotePrefix="1" applyAlignment="1">
      <alignment horizontal="center"/>
    </xf>
    <xf numFmtId="0" fontId="104" fillId="0" borderId="0" xfId="38" quotePrefix="1" applyFont="1" applyAlignment="1">
      <alignment horizontal="center"/>
    </xf>
    <xf numFmtId="0" fontId="104" fillId="0" borderId="0" xfId="38" applyFont="1" applyAlignment="1">
      <alignment horizontal="center"/>
    </xf>
    <xf numFmtId="0" fontId="105" fillId="0" borderId="0" xfId="38" applyFont="1" applyAlignment="1">
      <alignment horizontal="center"/>
    </xf>
    <xf numFmtId="17" fontId="3" fillId="0" borderId="0" xfId="38" applyNumberFormat="1"/>
    <xf numFmtId="3" fontId="106" fillId="0" borderId="0" xfId="38" applyNumberFormat="1" applyFont="1"/>
    <xf numFmtId="3" fontId="3" fillId="0" borderId="0" xfId="38" applyNumberFormat="1"/>
    <xf numFmtId="17" fontId="3" fillId="0" borderId="0" xfId="38" applyNumberFormat="1" applyFill="1"/>
    <xf numFmtId="3" fontId="106" fillId="0" borderId="0" xfId="38" applyNumberFormat="1" applyFont="1" applyFill="1"/>
    <xf numFmtId="3" fontId="3" fillId="0" borderId="0" xfId="38" applyNumberFormat="1" applyFill="1"/>
    <xf numFmtId="17" fontId="3" fillId="0" borderId="5" xfId="38" applyNumberFormat="1" applyBorder="1"/>
    <xf numFmtId="3" fontId="106" fillId="0" borderId="5" xfId="38" applyNumberFormat="1" applyFont="1" applyBorder="1"/>
    <xf numFmtId="3" fontId="3" fillId="0" borderId="5" xfId="38" applyNumberFormat="1" applyBorder="1"/>
    <xf numFmtId="17" fontId="35" fillId="0" borderId="0" xfId="38" applyNumberFormat="1" applyFont="1" applyAlignment="1">
      <alignment horizontal="right"/>
    </xf>
    <xf numFmtId="3" fontId="35" fillId="0" borderId="0" xfId="38" applyNumberFormat="1" applyFont="1"/>
    <xf numFmtId="0" fontId="35" fillId="0" borderId="0" xfId="38" applyFont="1"/>
    <xf numFmtId="0" fontId="35" fillId="0" borderId="5" xfId="38" quotePrefix="1" applyFont="1" applyBorder="1" applyAlignment="1">
      <alignment horizontal="centerContinuous"/>
    </xf>
    <xf numFmtId="0" fontId="3" fillId="0" borderId="5" xfId="38" applyBorder="1"/>
    <xf numFmtId="3" fontId="35" fillId="2" borderId="0" xfId="38" applyNumberFormat="1" applyFont="1" applyFill="1"/>
    <xf numFmtId="3" fontId="106" fillId="0" borderId="0" xfId="39" applyNumberFormat="1" applyFont="1" applyFill="1" applyBorder="1"/>
    <xf numFmtId="3" fontId="35" fillId="0" borderId="0" xfId="38" applyNumberFormat="1" applyFont="1" applyFill="1"/>
    <xf numFmtId="0" fontId="35" fillId="2" borderId="0" xfId="38" applyFont="1" applyFill="1"/>
    <xf numFmtId="0" fontId="3" fillId="2" borderId="0" xfId="38" applyFill="1"/>
    <xf numFmtId="9" fontId="26" fillId="0" borderId="0" xfId="32" applyFont="1" applyAlignment="1"/>
    <xf numFmtId="169" fontId="108" fillId="0" borderId="0" xfId="0" applyNumberFormat="1" applyFont="1" applyAlignment="1"/>
    <xf numFmtId="169" fontId="0" fillId="0" borderId="0" xfId="1" applyNumberFormat="1" applyFont="1" applyFill="1" applyBorder="1" applyAlignment="1"/>
    <xf numFmtId="169" fontId="26" fillId="0" borderId="0" xfId="0" applyNumberFormat="1" applyFont="1" applyFill="1" applyBorder="1" applyAlignment="1"/>
    <xf numFmtId="0" fontId="112" fillId="0" borderId="0" xfId="40" applyFont="1"/>
    <xf numFmtId="0" fontId="62" fillId="0" borderId="0" xfId="28" quotePrefix="1" applyFont="1" applyAlignment="1">
      <alignment horizontal="center"/>
    </xf>
    <xf numFmtId="0" fontId="35" fillId="0" borderId="0" xfId="28" applyFont="1" applyAlignment="1">
      <alignment horizontal="center"/>
    </xf>
    <xf numFmtId="175" fontId="63" fillId="0" borderId="0" xfId="6" applyNumberFormat="1" applyFont="1" applyFill="1" applyBorder="1"/>
    <xf numFmtId="172" fontId="20" fillId="0" borderId="0" xfId="7" applyNumberFormat="1" applyFont="1" applyFill="1" applyBorder="1"/>
    <xf numFmtId="0" fontId="20" fillId="0" borderId="0" xfId="28" applyFont="1" applyFill="1" applyBorder="1"/>
    <xf numFmtId="172" fontId="13" fillId="0" borderId="0" xfId="7" applyNumberFormat="1" applyFont="1" applyFill="1" applyBorder="1"/>
    <xf numFmtId="172" fontId="11" fillId="0" borderId="0" xfId="7" applyNumberFormat="1" applyFont="1" applyFill="1" applyBorder="1"/>
    <xf numFmtId="172" fontId="63" fillId="0" borderId="0" xfId="7" applyNumberFormat="1" applyFont="1" applyFill="1" applyBorder="1"/>
    <xf numFmtId="0" fontId="26" fillId="0" borderId="0" xfId="0" applyNumberFormat="1" applyFont="1" applyFill="1" applyAlignment="1">
      <alignment vertical="top" wrapText="1"/>
    </xf>
    <xf numFmtId="0" fontId="26" fillId="0" borderId="0" xfId="0" applyNumberFormat="1" applyFont="1" applyFill="1" applyAlignment="1" applyProtection="1">
      <alignment vertical="top" wrapText="1"/>
      <protection locked="0"/>
    </xf>
    <xf numFmtId="0" fontId="26" fillId="0" borderId="0" xfId="0" quotePrefix="1" applyNumberFormat="1" applyFont="1" applyFill="1" applyAlignment="1" applyProtection="1">
      <alignment horizontal="left" vertical="top" wrapText="1"/>
      <protection locked="0"/>
    </xf>
    <xf numFmtId="0" fontId="26" fillId="0" borderId="0" xfId="0" applyNumberFormat="1" applyFont="1" applyAlignment="1" applyProtection="1">
      <alignment vertical="top" wrapText="1"/>
      <protection locked="0"/>
    </xf>
    <xf numFmtId="0" fontId="0" fillId="0" borderId="0" xfId="0" applyNumberFormat="1" applyFill="1" applyBorder="1" applyAlignment="1">
      <alignment horizontal="center"/>
    </xf>
    <xf numFmtId="0" fontId="0" fillId="0" borderId="0" xfId="0" applyNumberFormat="1" applyFont="1" applyFill="1" applyBorder="1" applyAlignment="1">
      <alignment horizontal="center"/>
    </xf>
    <xf numFmtId="0" fontId="26" fillId="0" borderId="0" xfId="0" applyNumberFormat="1" applyFont="1" applyAlignment="1">
      <alignment horizontal="right"/>
    </xf>
    <xf numFmtId="0" fontId="26" fillId="0" borderId="0" xfId="0" applyNumberFormat="1" applyFont="1" applyAlignment="1">
      <alignment horizontal="left" wrapText="1"/>
    </xf>
    <xf numFmtId="0" fontId="26" fillId="0" borderId="0" xfId="0" applyNumberFormat="1" applyFont="1" applyAlignment="1">
      <alignment horizontal="center"/>
    </xf>
    <xf numFmtId="49" fontId="45" fillId="0" borderId="7" xfId="3" applyNumberFormat="1" applyFont="1" applyFill="1" applyBorder="1" applyAlignment="1">
      <alignment horizontal="center" vertical="center"/>
    </xf>
    <xf numFmtId="49" fontId="45" fillId="0" borderId="8" xfId="3" applyNumberFormat="1" applyFont="1" applyFill="1" applyBorder="1" applyAlignment="1">
      <alignment horizontal="center" vertical="center"/>
    </xf>
    <xf numFmtId="49" fontId="45" fillId="0" borderId="33" xfId="3" applyNumberFormat="1" applyFont="1" applyFill="1" applyBorder="1" applyAlignment="1">
      <alignment horizontal="center" vertical="center"/>
    </xf>
    <xf numFmtId="49" fontId="45" fillId="0" borderId="34" xfId="3" applyNumberFormat="1" applyFont="1" applyFill="1" applyBorder="1" applyAlignment="1">
      <alignment horizontal="center" vertical="center"/>
    </xf>
    <xf numFmtId="0" fontId="45" fillId="0" borderId="18" xfId="3" applyFont="1" applyFill="1" applyBorder="1" applyAlignment="1">
      <alignment horizontal="center" vertical="top"/>
    </xf>
    <xf numFmtId="0" fontId="45" fillId="0" borderId="19" xfId="3" applyFont="1" applyFill="1" applyBorder="1" applyAlignment="1">
      <alignment horizontal="center" vertical="top"/>
    </xf>
    <xf numFmtId="0" fontId="45" fillId="0" borderId="20" xfId="3" applyFont="1" applyFill="1" applyBorder="1" applyAlignment="1">
      <alignment horizontal="center" vertical="top"/>
    </xf>
    <xf numFmtId="0" fontId="55" fillId="0" borderId="18" xfId="3" applyFont="1" applyFill="1" applyBorder="1" applyAlignment="1">
      <alignment horizontal="center" vertical="center" wrapText="1"/>
    </xf>
    <xf numFmtId="0" fontId="45" fillId="0" borderId="19" xfId="3" applyFont="1" applyFill="1" applyBorder="1" applyAlignment="1">
      <alignment horizontal="center" vertical="center" wrapText="1"/>
    </xf>
    <xf numFmtId="0" fontId="45" fillId="0" borderId="20" xfId="3" applyFont="1" applyFill="1" applyBorder="1" applyAlignment="1">
      <alignment horizontal="center" vertical="center" wrapText="1"/>
    </xf>
    <xf numFmtId="0" fontId="45" fillId="0" borderId="16" xfId="3" quotePrefix="1" applyFont="1" applyFill="1" applyBorder="1" applyAlignment="1">
      <alignment horizontal="left" vertical="top" wrapText="1"/>
    </xf>
    <xf numFmtId="0" fontId="45" fillId="0" borderId="16" xfId="3" applyFont="1" applyFill="1" applyBorder="1" applyAlignment="1">
      <alignment horizontal="left" vertical="top" wrapText="1"/>
    </xf>
    <xf numFmtId="0" fontId="44" fillId="0" borderId="16" xfId="3" applyFont="1" applyFill="1" applyBorder="1" applyAlignment="1">
      <alignment horizontal="center" vertical="center" wrapText="1"/>
    </xf>
    <xf numFmtId="0" fontId="46" fillId="0" borderId="16" xfId="3" applyFont="1" applyFill="1" applyBorder="1" applyAlignment="1">
      <alignment horizontal="center" vertical="center" wrapText="1"/>
    </xf>
    <xf numFmtId="0" fontId="46" fillId="0" borderId="16" xfId="3" applyFont="1" applyFill="1" applyBorder="1" applyAlignment="1">
      <alignment horizontal="center" vertical="top" wrapText="1"/>
    </xf>
    <xf numFmtId="49" fontId="46" fillId="0" borderId="16" xfId="3" applyNumberFormat="1" applyFont="1" applyFill="1" applyBorder="1" applyAlignment="1">
      <alignment horizontal="center" vertical="top" wrapText="1"/>
    </xf>
    <xf numFmtId="0" fontId="46" fillId="0" borderId="4" xfId="3" applyFont="1" applyFill="1" applyBorder="1" applyAlignment="1">
      <alignment horizontal="left" vertical="top" wrapText="1"/>
    </xf>
    <xf numFmtId="0" fontId="46" fillId="0" borderId="5" xfId="3" applyFont="1" applyFill="1" applyBorder="1" applyAlignment="1">
      <alignment horizontal="left" vertical="top" wrapText="1"/>
    </xf>
    <xf numFmtId="0" fontId="46" fillId="0" borderId="6" xfId="3" applyFont="1" applyFill="1" applyBorder="1" applyAlignment="1">
      <alignment horizontal="left" vertical="top" wrapText="1"/>
    </xf>
    <xf numFmtId="0" fontId="50" fillId="0" borderId="18" xfId="3" applyFont="1" applyFill="1" applyBorder="1" applyAlignment="1">
      <alignment horizontal="center" vertical="top"/>
    </xf>
    <xf numFmtId="0" fontId="50" fillId="0" borderId="19" xfId="3" applyFont="1" applyFill="1" applyBorder="1" applyAlignment="1">
      <alignment horizontal="center" vertical="top"/>
    </xf>
    <xf numFmtId="0" fontId="50" fillId="0" borderId="20" xfId="3" applyFont="1" applyFill="1" applyBorder="1" applyAlignment="1">
      <alignment horizontal="center" vertical="top"/>
    </xf>
    <xf numFmtId="0" fontId="45" fillId="0" borderId="7" xfId="3" applyFont="1" applyFill="1" applyBorder="1" applyAlignment="1">
      <alignment horizontal="center" vertical="top" wrapText="1"/>
    </xf>
    <xf numFmtId="0" fontId="45" fillId="0" borderId="8" xfId="3" applyFont="1" applyFill="1" applyBorder="1" applyAlignment="1">
      <alignment horizontal="center" vertical="top" wrapText="1"/>
    </xf>
    <xf numFmtId="0" fontId="45" fillId="0" borderId="9" xfId="3" applyFont="1" applyFill="1" applyBorder="1" applyAlignment="1">
      <alignment horizontal="center" vertical="top" wrapText="1"/>
    </xf>
    <xf numFmtId="0" fontId="45" fillId="0" borderId="7" xfId="3" applyFont="1" applyFill="1" applyBorder="1" applyAlignment="1">
      <alignment horizontal="center" vertical="center" wrapText="1"/>
    </xf>
    <xf numFmtId="0" fontId="45" fillId="0" borderId="9" xfId="3" applyFont="1" applyFill="1" applyBorder="1" applyAlignment="1">
      <alignment horizontal="center" vertical="center" wrapText="1"/>
    </xf>
    <xf numFmtId="0" fontId="45" fillId="0" borderId="4" xfId="3" applyFont="1" applyFill="1" applyBorder="1" applyAlignment="1">
      <alignment horizontal="center" vertical="center" wrapText="1"/>
    </xf>
    <xf numFmtId="0" fontId="45" fillId="0" borderId="6" xfId="3" applyFont="1" applyFill="1" applyBorder="1" applyAlignment="1">
      <alignment horizontal="center" vertical="center" wrapText="1"/>
    </xf>
    <xf numFmtId="0" fontId="45" fillId="0" borderId="18" xfId="3" quotePrefix="1" applyFont="1" applyFill="1" applyBorder="1" applyAlignment="1">
      <alignment horizontal="left" vertical="top" wrapText="1"/>
    </xf>
    <xf numFmtId="0" fontId="45" fillId="0" borderId="19" xfId="3" applyFont="1" applyFill="1" applyBorder="1" applyAlignment="1">
      <alignment horizontal="left" vertical="top" wrapText="1"/>
    </xf>
    <xf numFmtId="0" fontId="45" fillId="0" borderId="20" xfId="3" applyFont="1" applyFill="1" applyBorder="1" applyAlignment="1">
      <alignment horizontal="left" vertical="top" wrapText="1"/>
    </xf>
    <xf numFmtId="0" fontId="45" fillId="0" borderId="18" xfId="3" applyFont="1" applyFill="1" applyBorder="1" applyAlignment="1">
      <alignment horizontal="left" vertical="top" wrapText="1"/>
    </xf>
    <xf numFmtId="0" fontId="45" fillId="0" borderId="0" xfId="3" quotePrefix="1" applyFont="1" applyFill="1" applyBorder="1" applyAlignment="1">
      <alignment horizontal="left" vertical="top"/>
    </xf>
    <xf numFmtId="0" fontId="45" fillId="0" borderId="29" xfId="4" applyFont="1" applyFill="1" applyBorder="1" applyAlignment="1">
      <alignment horizontal="left" vertical="top" wrapText="1"/>
    </xf>
    <xf numFmtId="0" fontId="45" fillId="0" borderId="21" xfId="4" applyFont="1" applyFill="1" applyBorder="1" applyAlignment="1">
      <alignment horizontal="left" vertical="top" wrapText="1"/>
    </xf>
    <xf numFmtId="0" fontId="45" fillId="0" borderId="22" xfId="4" applyFont="1" applyFill="1" applyBorder="1" applyAlignment="1">
      <alignment horizontal="left" vertical="top" wrapText="1"/>
    </xf>
    <xf numFmtId="0" fontId="44" fillId="0" borderId="7" xfId="4" applyFont="1" applyFill="1" applyBorder="1" applyAlignment="1">
      <alignment horizontal="center" vertical="center" wrapText="1"/>
    </xf>
    <xf numFmtId="0" fontId="44" fillId="0" borderId="9" xfId="4" applyFont="1" applyFill="1" applyBorder="1" applyAlignment="1">
      <alignment horizontal="center" vertical="center" wrapText="1"/>
    </xf>
    <xf numFmtId="0" fontId="44" fillId="0" borderId="4" xfId="4" applyFont="1" applyFill="1" applyBorder="1" applyAlignment="1">
      <alignment horizontal="center" vertical="center" wrapText="1"/>
    </xf>
    <xf numFmtId="0" fontId="44" fillId="0" borderId="6" xfId="4" applyFont="1" applyFill="1" applyBorder="1" applyAlignment="1">
      <alignment horizontal="center" vertical="center" wrapText="1"/>
    </xf>
    <xf numFmtId="0" fontId="45" fillId="0" borderId="24" xfId="4" applyFont="1" applyFill="1" applyBorder="1" applyAlignment="1">
      <alignment horizontal="center" vertical="top" wrapText="1"/>
    </xf>
    <xf numFmtId="0" fontId="45" fillId="0" borderId="11" xfId="4" applyFont="1" applyFill="1" applyBorder="1" applyAlignment="1">
      <alignment horizontal="center" vertical="top" wrapText="1"/>
    </xf>
    <xf numFmtId="0" fontId="45" fillId="0" borderId="23" xfId="4" applyFont="1" applyFill="1" applyBorder="1" applyAlignment="1">
      <alignment horizontal="center" vertical="top" wrapText="1"/>
    </xf>
    <xf numFmtId="0" fontId="45" fillId="0" borderId="18" xfId="4" quotePrefix="1" applyFont="1" applyFill="1" applyBorder="1" applyAlignment="1">
      <alignment horizontal="left" vertical="top" wrapText="1"/>
    </xf>
    <xf numFmtId="0" fontId="45" fillId="0" borderId="19" xfId="4" applyFont="1" applyFill="1" applyBorder="1" applyAlignment="1">
      <alignment horizontal="left" vertical="top" wrapText="1"/>
    </xf>
    <xf numFmtId="0" fontId="45" fillId="0" borderId="20" xfId="4" applyFont="1" applyFill="1" applyBorder="1" applyAlignment="1">
      <alignment horizontal="left" vertical="top" wrapText="1"/>
    </xf>
    <xf numFmtId="0" fontId="45" fillId="0" borderId="16" xfId="4" applyFont="1" applyFill="1" applyBorder="1" applyAlignment="1">
      <alignment horizontal="center" vertical="center" wrapText="1"/>
    </xf>
    <xf numFmtId="0" fontId="50" fillId="0" borderId="18" xfId="4" applyFont="1" applyFill="1" applyBorder="1" applyAlignment="1">
      <alignment horizontal="center" vertical="top" wrapText="1"/>
    </xf>
    <xf numFmtId="0" fontId="50" fillId="0" borderId="19" xfId="4" applyFont="1" applyFill="1" applyBorder="1" applyAlignment="1">
      <alignment horizontal="center" vertical="top" wrapText="1"/>
    </xf>
    <xf numFmtId="0" fontId="50" fillId="0" borderId="20" xfId="4" applyFont="1" applyFill="1" applyBorder="1" applyAlignment="1">
      <alignment horizontal="center" vertical="top" wrapText="1"/>
    </xf>
    <xf numFmtId="0" fontId="50" fillId="0" borderId="18" xfId="4" applyFont="1" applyFill="1" applyBorder="1" applyAlignment="1">
      <alignment horizontal="center" vertical="top"/>
    </xf>
    <xf numFmtId="0" fontId="50" fillId="0" borderId="19" xfId="4" applyFont="1" applyFill="1" applyBorder="1" applyAlignment="1">
      <alignment horizontal="center" vertical="top"/>
    </xf>
    <xf numFmtId="0" fontId="50" fillId="0" borderId="20" xfId="4" applyFont="1" applyFill="1" applyBorder="1" applyAlignment="1">
      <alignment horizontal="center" vertical="top"/>
    </xf>
    <xf numFmtId="0" fontId="46" fillId="0" borderId="16" xfId="4" applyFill="1" applyBorder="1" applyAlignment="1">
      <alignment horizontal="center" wrapText="1"/>
    </xf>
    <xf numFmtId="0" fontId="46" fillId="0" borderId="16" xfId="4" applyFont="1" applyFill="1" applyBorder="1" applyAlignment="1">
      <alignment horizontal="center" vertical="top" wrapText="1"/>
    </xf>
    <xf numFmtId="0" fontId="44" fillId="0" borderId="16" xfId="4" applyFont="1" applyFill="1" applyBorder="1" applyAlignment="1">
      <alignment horizontal="center" vertical="center" wrapText="1"/>
    </xf>
    <xf numFmtId="0" fontId="46" fillId="0" borderId="16" xfId="4" quotePrefix="1" applyFill="1" applyBorder="1" applyAlignment="1">
      <alignment horizontal="left" vertical="top" wrapText="1"/>
    </xf>
    <xf numFmtId="0" fontId="46" fillId="0" borderId="16" xfId="4" applyFill="1" applyBorder="1" applyAlignment="1">
      <alignment horizontal="left" vertical="top" wrapText="1"/>
    </xf>
    <xf numFmtId="0" fontId="36" fillId="0" borderId="16" xfId="4" quotePrefix="1" applyFont="1" applyFill="1" applyBorder="1" applyAlignment="1">
      <alignment horizontal="left" vertical="top" wrapText="1"/>
    </xf>
    <xf numFmtId="0" fontId="46" fillId="0" borderId="16" xfId="4" applyFill="1" applyBorder="1" applyAlignment="1">
      <alignment horizontal="center" vertical="top" wrapText="1"/>
    </xf>
    <xf numFmtId="0" fontId="19" fillId="0" borderId="0" xfId="19" quotePrefix="1" applyFont="1" applyAlignment="1">
      <alignment horizontal="left"/>
    </xf>
    <xf numFmtId="0" fontId="25" fillId="0" borderId="0" xfId="19" applyAlignment="1">
      <alignment horizontal="left"/>
    </xf>
    <xf numFmtId="0" fontId="4" fillId="0" borderId="0" xfId="19" quotePrefix="1" applyFont="1" applyAlignment="1">
      <alignment horizontal="left"/>
    </xf>
    <xf numFmtId="0" fontId="25" fillId="0" borderId="0" xfId="22" applyFont="1" applyAlignment="1">
      <alignment horizontal="left"/>
    </xf>
    <xf numFmtId="0" fontId="25" fillId="0" borderId="0" xfId="25" applyAlignment="1">
      <alignment horizontal="left"/>
    </xf>
    <xf numFmtId="0" fontId="22" fillId="0" borderId="0" xfId="21" applyFont="1" applyAlignment="1">
      <alignment horizontal="left"/>
    </xf>
    <xf numFmtId="171" fontId="93" fillId="8" borderId="0" xfId="0" quotePrefix="1" applyFont="1" applyFill="1" applyAlignment="1">
      <alignment horizontal="center"/>
    </xf>
    <xf numFmtId="171" fontId="93" fillId="8" borderId="0" xfId="0" applyFont="1" applyFill="1" applyAlignment="1">
      <alignment horizontal="center"/>
    </xf>
    <xf numFmtId="171" fontId="27" fillId="0" borderId="0" xfId="0" quotePrefix="1" applyFont="1" applyFill="1" applyBorder="1" applyAlignment="1">
      <alignment horizontal="left"/>
    </xf>
    <xf numFmtId="171" fontId="27" fillId="0" borderId="0" xfId="0" applyFont="1" applyFill="1" applyBorder="1" applyAlignment="1"/>
    <xf numFmtId="169" fontId="108" fillId="0" borderId="0" xfId="0" applyNumberFormat="1" applyFont="1" applyFill="1" applyBorder="1" applyAlignment="1"/>
    <xf numFmtId="1" fontId="26" fillId="0" borderId="0" xfId="0" applyNumberFormat="1" applyFont="1" applyFill="1" applyBorder="1" applyAlignment="1">
      <alignment horizontal="center"/>
    </xf>
    <xf numFmtId="171" fontId="26" fillId="0" borderId="0" xfId="0" applyFont="1" applyFill="1" applyBorder="1" applyAlignment="1">
      <alignment horizontal="center"/>
    </xf>
    <xf numFmtId="0" fontId="26" fillId="0" borderId="0" xfId="0" applyNumberFormat="1" applyFont="1" applyFill="1" applyBorder="1" applyAlignment="1" applyProtection="1">
      <alignment horizontal="center"/>
      <protection locked="0"/>
    </xf>
    <xf numFmtId="9" fontId="26" fillId="0" borderId="0" xfId="32" applyFont="1" applyFill="1" applyBorder="1" applyAlignment="1"/>
    <xf numFmtId="169" fontId="108" fillId="0" borderId="0" xfId="0" applyNumberFormat="1" applyFont="1" applyFill="1" applyBorder="1" applyAlignment="1" applyProtection="1">
      <protection locked="0"/>
    </xf>
    <xf numFmtId="171" fontId="26" fillId="0" borderId="0" xfId="0" applyFont="1" applyFill="1" applyBorder="1" applyAlignment="1" applyProtection="1">
      <protection locked="0"/>
    </xf>
  </cellXfs>
  <cellStyles count="41">
    <cellStyle name="Comma" xfId="2" builtinId="3"/>
    <cellStyle name="Comma 2" xfId="12"/>
    <cellStyle name="Comma 3" xfId="6"/>
    <cellStyle name="Currency" xfId="1" builtinId="4"/>
    <cellStyle name="Currency 2" xfId="11"/>
    <cellStyle name="Currency 3" xfId="18"/>
    <cellStyle name="Currency 4" xfId="7"/>
    <cellStyle name="Currency 5" xfId="34"/>
    <cellStyle name="Grey" xfId="13"/>
    <cellStyle name="Input [yellow]" xfId="14"/>
    <cellStyle name="Normal" xfId="0" builtinId="0"/>
    <cellStyle name="Normal - Style1" xfId="15"/>
    <cellStyle name="Normal 10" xfId="21"/>
    <cellStyle name="Normal 11" xfId="23"/>
    <cellStyle name="Normal 12" xfId="28"/>
    <cellStyle name="Normal 13" xfId="24"/>
    <cellStyle name="Normal 14" xfId="27"/>
    <cellStyle name="Normal 15" xfId="29"/>
    <cellStyle name="Normal 16" xfId="30"/>
    <cellStyle name="Normal 17" xfId="31"/>
    <cellStyle name="Normal 18" xfId="33"/>
    <cellStyle name="Normal 19" xfId="35"/>
    <cellStyle name="Normal 2" xfId="3"/>
    <cellStyle name="Normal 2 2" xfId="16"/>
    <cellStyle name="Normal 2 3" xfId="9"/>
    <cellStyle name="Normal 20" xfId="38"/>
    <cellStyle name="Normal 21" xfId="40"/>
    <cellStyle name="Normal 3" xfId="4"/>
    <cellStyle name="Normal 3 2" xfId="10"/>
    <cellStyle name="Normal 4" xfId="5"/>
    <cellStyle name="Normal 5" xfId="19"/>
    <cellStyle name="Normal 6" xfId="22"/>
    <cellStyle name="Normal 7" xfId="20"/>
    <cellStyle name="Normal 8" xfId="26"/>
    <cellStyle name="Normal 9" xfId="25"/>
    <cellStyle name="Normal_Debt Service" xfId="8"/>
    <cellStyle name="Normal_Yearly" xfId="37"/>
    <cellStyle name="Percent" xfId="32" builtinId="5"/>
    <cellStyle name="Percent [2]" xfId="17"/>
    <cellStyle name="Percent 2" xfId="36"/>
    <cellStyle name="Percent 3" xfId="3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CCECFF"/>
      <color rgb="FF99CCFF"/>
      <color rgb="FFCCFFF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21</xdr:row>
          <xdr:rowOff>0</xdr:rowOff>
        </xdr:from>
        <xdr:to>
          <xdr:col>8</xdr:col>
          <xdr:colOff>495300</xdr:colOff>
          <xdr:row>60</xdr:row>
          <xdr:rowOff>114300</xdr:rowOff>
        </xdr:to>
        <xdr:sp macro="" textlink="">
          <xdr:nvSpPr>
            <xdr:cNvPr id="1032" name="Object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0</xdr:colOff>
          <xdr:row>5</xdr:row>
          <xdr:rowOff>0</xdr:rowOff>
        </xdr:from>
        <xdr:to>
          <xdr:col>19</xdr:col>
          <xdr:colOff>495300</xdr:colOff>
          <xdr:row>47</xdr:row>
          <xdr:rowOff>57150</xdr:rowOff>
        </xdr:to>
        <xdr:sp macro="" textlink="">
          <xdr:nvSpPr>
            <xdr:cNvPr id="21505" name="AutoShape 1" hidden="1">
              <a:extLst>
                <a:ext uri="{63B3BB69-23CF-44E3-9099-C40C66FF867C}">
                  <a14:compatExt spid="_x0000_s21505"/>
                </a:ext>
                <a:ext uri="{FF2B5EF4-FFF2-40B4-BE49-F238E27FC236}">
                  <a16:creationId xmlns:a16="http://schemas.microsoft.com/office/drawing/2014/main" id="{00000000-0008-0000-0400-000001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5.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5:J19"/>
  <sheetViews>
    <sheetView workbookViewId="0"/>
  </sheetViews>
  <sheetFormatPr defaultRowHeight="15"/>
  <sheetData>
    <row r="5" spans="2:10" ht="23.25">
      <c r="B5" s="462" t="s">
        <v>739</v>
      </c>
      <c r="C5" s="463"/>
      <c r="D5" s="463"/>
      <c r="E5" s="463"/>
      <c r="F5" s="463"/>
      <c r="G5" s="463"/>
      <c r="H5" s="463"/>
      <c r="I5" s="463"/>
      <c r="J5" s="463"/>
    </row>
    <row r="6" spans="2:10">
      <c r="B6" s="463" t="s">
        <v>814</v>
      </c>
      <c r="C6" s="463"/>
      <c r="D6" s="463"/>
      <c r="E6" s="463"/>
      <c r="F6" s="463"/>
      <c r="G6" s="463"/>
      <c r="H6" s="463"/>
      <c r="I6" s="463"/>
      <c r="J6" s="463"/>
    </row>
    <row r="10" spans="2:10">
      <c r="B10" t="s">
        <v>740</v>
      </c>
    </row>
    <row r="12" spans="2:10">
      <c r="B12" t="s">
        <v>731</v>
      </c>
    </row>
    <row r="13" spans="2:10">
      <c r="B13" t="s">
        <v>732</v>
      </c>
    </row>
    <row r="14" spans="2:10">
      <c r="B14" t="s">
        <v>733</v>
      </c>
    </row>
    <row r="15" spans="2:10">
      <c r="B15" t="s">
        <v>734</v>
      </c>
    </row>
    <row r="16" spans="2:10">
      <c r="B16" t="s">
        <v>735</v>
      </c>
    </row>
    <row r="17" spans="2:2">
      <c r="B17" t="s">
        <v>736</v>
      </c>
    </row>
    <row r="18" spans="2:2">
      <c r="B18" t="s">
        <v>737</v>
      </c>
    </row>
    <row r="19" spans="2:2">
      <c r="B19" t="s">
        <v>738</v>
      </c>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2015" shapeId="1032" r:id="rId4">
          <objectPr defaultSize="0" r:id="rId5">
            <anchor moveWithCells="1">
              <from>
                <xdr:col>1</xdr:col>
                <xdr:colOff>0</xdr:colOff>
                <xdr:row>21</xdr:row>
                <xdr:rowOff>0</xdr:rowOff>
              </from>
              <to>
                <xdr:col>8</xdr:col>
                <xdr:colOff>495300</xdr:colOff>
                <xdr:row>60</xdr:row>
                <xdr:rowOff>114300</xdr:rowOff>
              </to>
            </anchor>
          </objectPr>
        </oleObject>
      </mc:Choice>
      <mc:Fallback>
        <oleObject progId="Acrobat.Document.2015" shapeId="1032"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zoomScaleNormal="100" workbookViewId="0"/>
  </sheetViews>
  <sheetFormatPr defaultRowHeight="15"/>
  <cols>
    <col min="1" max="1" width="34.109375" bestFit="1" customWidth="1"/>
    <col min="2" max="2" width="16.6640625" customWidth="1"/>
    <col min="3" max="3" width="13.33203125" customWidth="1"/>
    <col min="4" max="4" width="11.33203125" customWidth="1"/>
    <col min="5" max="5" width="10.88671875" bestFit="1" customWidth="1"/>
  </cols>
  <sheetData>
    <row r="1" spans="1:11 16384:16384" ht="18.75">
      <c r="A1" s="413" t="str">
        <f>'6 - WP - Divisor'!A1</f>
        <v>Jasper-Newton Electric Cooperative</v>
      </c>
      <c r="B1" s="238"/>
      <c r="C1" s="238"/>
      <c r="D1" s="238"/>
      <c r="E1" s="238"/>
      <c r="F1" s="238"/>
      <c r="G1" s="238"/>
      <c r="H1" s="238"/>
      <c r="I1" s="234"/>
      <c r="J1" s="234"/>
      <c r="K1" s="234"/>
    </row>
    <row r="2" spans="1:11 16384:16384" ht="18.75">
      <c r="A2" s="413" t="str">
        <f>'6 - WP - Divisor'!A2</f>
        <v>For the Year ended 12/31/2017</v>
      </c>
      <c r="B2" s="238"/>
      <c r="C2" s="238"/>
      <c r="D2" s="238"/>
      <c r="E2" s="238"/>
      <c r="F2" s="238"/>
      <c r="G2" s="238"/>
      <c r="H2" s="238"/>
      <c r="I2" s="234"/>
      <c r="J2" s="234"/>
      <c r="K2" s="234"/>
    </row>
    <row r="3" spans="1:11 16384:16384" ht="18.75">
      <c r="A3" s="237"/>
      <c r="B3" s="238"/>
      <c r="C3" s="238"/>
      <c r="D3" s="238"/>
      <c r="E3" s="238"/>
      <c r="F3" s="238"/>
      <c r="G3" s="238"/>
      <c r="H3" s="238"/>
      <c r="I3" s="234"/>
      <c r="J3" s="234"/>
      <c r="K3" s="234"/>
    </row>
    <row r="4" spans="1:11 16384:16384" ht="18.75">
      <c r="A4" s="237" t="s">
        <v>549</v>
      </c>
      <c r="B4" s="236"/>
      <c r="C4" s="236"/>
      <c r="D4" s="236"/>
      <c r="E4" s="234"/>
      <c r="F4" s="234"/>
      <c r="G4" s="234"/>
      <c r="H4" s="234"/>
      <c r="I4" s="234"/>
      <c r="J4" s="234"/>
      <c r="K4" s="234"/>
    </row>
    <row r="7" spans="1:11 16384:16384" ht="15.75">
      <c r="A7" s="234"/>
      <c r="B7" s="236" t="s">
        <v>550</v>
      </c>
      <c r="C7" s="234"/>
      <c r="D7" s="234"/>
      <c r="E7" s="234"/>
      <c r="F7" s="234"/>
      <c r="G7" s="234"/>
      <c r="H7" s="234"/>
      <c r="I7" s="234"/>
      <c r="J7" s="234"/>
      <c r="K7" s="234"/>
    </row>
    <row r="9" spans="1:11 16384:16384" ht="15.75">
      <c r="A9" s="234"/>
      <c r="B9" s="320" t="s">
        <v>44</v>
      </c>
      <c r="C9" s="320" t="s">
        <v>543</v>
      </c>
      <c r="D9" s="320" t="s">
        <v>6</v>
      </c>
      <c r="E9" s="234"/>
      <c r="F9" s="234"/>
      <c r="G9" s="234"/>
      <c r="H9" s="234"/>
      <c r="I9" s="234"/>
      <c r="J9" s="234"/>
      <c r="K9" s="234"/>
    </row>
    <row r="10" spans="1:11 16384:16384" ht="15.75">
      <c r="A10" s="521"/>
      <c r="B10" s="321">
        <f>D10*$D$23</f>
        <v>86154.588892902655</v>
      </c>
      <c r="C10" s="322">
        <f>D10-B10</f>
        <v>564193.77110709739</v>
      </c>
      <c r="D10" s="322">
        <f>E25</f>
        <v>650348.36</v>
      </c>
      <c r="E10" s="234"/>
      <c r="F10" s="234"/>
      <c r="G10" s="234"/>
      <c r="H10" s="234"/>
      <c r="I10" s="234"/>
      <c r="J10" s="234"/>
      <c r="K10" s="234"/>
    </row>
    <row r="11" spans="1:11 16384:16384" ht="18">
      <c r="A11" s="521"/>
      <c r="B11" s="323">
        <v>0</v>
      </c>
      <c r="C11" s="324">
        <v>0</v>
      </c>
      <c r="D11" s="325">
        <v>0</v>
      </c>
      <c r="E11" s="234"/>
      <c r="F11" s="234"/>
      <c r="G11" s="234"/>
      <c r="H11" s="234"/>
      <c r="I11" s="234"/>
      <c r="J11" s="234"/>
      <c r="K11" s="234"/>
    </row>
    <row r="12" spans="1:11 16384:16384" ht="15.75">
      <c r="A12" s="234"/>
      <c r="B12" s="322">
        <f>B11+B10</f>
        <v>86154.588892902655</v>
      </c>
      <c r="C12" s="322">
        <f>C11+C10</f>
        <v>564193.77110709739</v>
      </c>
      <c r="D12" s="322">
        <f>D11+D10</f>
        <v>650348.36</v>
      </c>
      <c r="E12" s="523" t="s">
        <v>787</v>
      </c>
      <c r="F12" s="239"/>
      <c r="G12" s="239"/>
      <c r="H12" s="239"/>
      <c r="I12" s="234"/>
      <c r="J12" s="234"/>
      <c r="K12" s="239"/>
    </row>
    <row r="13" spans="1:11 16384:16384" ht="15.75">
      <c r="A13" s="234"/>
      <c r="B13" s="326" t="s">
        <v>551</v>
      </c>
      <c r="C13" s="327"/>
      <c r="D13" s="327"/>
      <c r="E13" s="524" t="s">
        <v>788</v>
      </c>
      <c r="F13" s="239"/>
      <c r="G13" s="239"/>
      <c r="H13" s="239"/>
      <c r="I13" s="239"/>
      <c r="J13" s="239"/>
      <c r="K13" s="239"/>
    </row>
    <row r="14" spans="1:11 16384:16384" ht="15.75">
      <c r="A14" s="234"/>
      <c r="B14" s="326" t="s">
        <v>552</v>
      </c>
      <c r="C14" s="327"/>
      <c r="D14" s="327"/>
      <c r="E14" s="522"/>
      <c r="F14" s="239"/>
      <c r="G14" s="239"/>
      <c r="H14" s="239"/>
      <c r="I14" s="239"/>
      <c r="J14" s="239"/>
      <c r="K14" s="239"/>
    </row>
    <row r="15" spans="1:11 16384:16384" ht="15.75">
      <c r="A15" s="234"/>
      <c r="B15" s="327"/>
      <c r="C15" s="327"/>
      <c r="D15" s="327"/>
      <c r="E15" s="239"/>
      <c r="F15" s="239"/>
      <c r="G15" s="239"/>
      <c r="H15" s="239"/>
      <c r="I15" s="239"/>
      <c r="J15" s="239"/>
      <c r="K15" s="234"/>
    </row>
    <row r="16" spans="1:11 16384:16384">
      <c r="B16" s="328" t="s">
        <v>628</v>
      </c>
      <c r="C16" s="328"/>
      <c r="D16" s="328"/>
      <c r="E16" s="328"/>
      <c r="XFD16" s="328"/>
    </row>
    <row r="17" spans="1:10">
      <c r="B17" s="328" t="s">
        <v>666</v>
      </c>
      <c r="C17" s="328"/>
      <c r="D17" s="328"/>
      <c r="E17" s="328"/>
    </row>
    <row r="18" spans="1:10" ht="15.75">
      <c r="A18" s="235"/>
      <c r="B18" s="328"/>
      <c r="C18" s="328"/>
      <c r="D18" s="328"/>
      <c r="E18" s="352"/>
    </row>
    <row r="19" spans="1:10" ht="15.75">
      <c r="B19" s="329"/>
      <c r="C19" s="329" t="s">
        <v>648</v>
      </c>
      <c r="D19" s="329" t="s">
        <v>653</v>
      </c>
      <c r="E19" s="351" t="s">
        <v>6</v>
      </c>
    </row>
    <row r="20" spans="1:10" ht="15.75">
      <c r="A20" s="235"/>
      <c r="B20" s="330" t="s">
        <v>651</v>
      </c>
      <c r="C20" s="330" t="s">
        <v>649</v>
      </c>
      <c r="D20" s="330" t="s">
        <v>654</v>
      </c>
      <c r="E20" s="353" t="s">
        <v>667</v>
      </c>
    </row>
    <row r="21" spans="1:10" ht="15.75">
      <c r="B21" s="331"/>
      <c r="C21" s="331"/>
      <c r="D21" s="328"/>
      <c r="E21" s="348"/>
    </row>
    <row r="22" spans="1:10" ht="15.75">
      <c r="B22" s="331" t="s">
        <v>540</v>
      </c>
      <c r="C22" s="332">
        <f>'3 -12h.A&amp;B Util Plt &amp; Accum Dep'!H11</f>
        <v>0</v>
      </c>
      <c r="D22" s="333">
        <f>C22/$C$25</f>
        <v>0</v>
      </c>
      <c r="E22" s="348">
        <f>D22*$E$25</f>
        <v>0</v>
      </c>
    </row>
    <row r="23" spans="1:10" ht="15.75">
      <c r="B23" s="331" t="s">
        <v>44</v>
      </c>
      <c r="C23" s="332">
        <f>'3 -12h.A&amp;B Util Plt &amp; Accum Dep'!H16</f>
        <v>17778710</v>
      </c>
      <c r="D23" s="333">
        <f t="shared" ref="D23:D24" si="0">C23/$C$25</f>
        <v>0.13247452318154943</v>
      </c>
      <c r="E23" s="349">
        <f t="shared" ref="E23:E24" si="1">D23*$E$25</f>
        <v>86154.588892902655</v>
      </c>
    </row>
    <row r="24" spans="1:10" ht="18">
      <c r="B24" s="331" t="s">
        <v>650</v>
      </c>
      <c r="C24" s="334">
        <f>'3 -12h.A&amp;B Util Plt &amp; Accum Dep'!H21</f>
        <v>116426038</v>
      </c>
      <c r="D24" s="335">
        <f t="shared" si="0"/>
        <v>0.8675254768184506</v>
      </c>
      <c r="E24" s="350">
        <f t="shared" si="1"/>
        <v>564193.77110709739</v>
      </c>
    </row>
    <row r="25" spans="1:10" ht="15.75">
      <c r="B25" s="331" t="s">
        <v>652</v>
      </c>
      <c r="C25" s="332">
        <f>SUM(C22:C24)</f>
        <v>134204748</v>
      </c>
      <c r="D25" s="333">
        <f>SUM(D22:D24)</f>
        <v>1</v>
      </c>
      <c r="E25" s="349">
        <f>'4 - 12h.G&amp;J M&amp;S Inv &amp; Pay Stat'!G10+'4 - 12h.G&amp;J M&amp;S Inv &amp; Pay Stat'!G11</f>
        <v>650348.36</v>
      </c>
      <c r="F25" s="521"/>
      <c r="G25" s="318"/>
      <c r="H25" s="318"/>
      <c r="I25" s="318"/>
      <c r="J25" s="318"/>
    </row>
    <row r="26" spans="1:10" ht="15.75">
      <c r="B26" s="331" t="s">
        <v>658</v>
      </c>
      <c r="C26" s="332">
        <f>'3 -12h.A&amp;B Util Plt &amp; Accum Dep'!H23+'3 -12h.A&amp;B Util Plt &amp; Accum Dep'!H6</f>
        <v>10415074</v>
      </c>
      <c r="D26" s="328"/>
      <c r="E26" s="348"/>
    </row>
    <row r="27" spans="1:10" ht="15.75">
      <c r="B27" s="331" t="s">
        <v>657</v>
      </c>
      <c r="C27" s="332">
        <f>C26+C25</f>
        <v>144619822</v>
      </c>
      <c r="D27" s="328"/>
      <c r="E27" s="348"/>
    </row>
    <row r="28" spans="1:10">
      <c r="C28" s="319"/>
    </row>
    <row r="29" spans="1:10">
      <c r="B29" s="367" t="s">
        <v>672</v>
      </c>
      <c r="C29" s="328"/>
      <c r="D29" s="328"/>
      <c r="E29" s="328"/>
    </row>
    <row r="30" spans="1:10">
      <c r="B30" s="328" t="s">
        <v>655</v>
      </c>
      <c r="C30" s="328"/>
      <c r="D30" s="328"/>
      <c r="E30" s="328"/>
    </row>
    <row r="31" spans="1:10">
      <c r="B31" s="328" t="s">
        <v>656</v>
      </c>
      <c r="C31" s="328"/>
      <c r="D31" s="328"/>
      <c r="E31" s="328"/>
    </row>
  </sheetData>
  <pageMargins left="0.7" right="0.7" top="0.75" bottom="0.75" header="0.3" footer="0.3"/>
  <pageSetup scale="67"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zoomScaleNormal="100" workbookViewId="0">
      <selection sqref="A1:E1"/>
    </sheetView>
  </sheetViews>
  <sheetFormatPr defaultRowHeight="15"/>
  <cols>
    <col min="1" max="1" width="41.6640625" customWidth="1"/>
  </cols>
  <sheetData>
    <row r="1" spans="1:7" ht="15.75">
      <c r="A1" s="677" t="str">
        <f>'6 - WP - Divisor'!A1</f>
        <v>Jasper-Newton Electric Cooperative</v>
      </c>
      <c r="B1" s="677"/>
      <c r="C1" s="677"/>
      <c r="D1" s="677"/>
      <c r="E1" s="677"/>
      <c r="F1" s="248"/>
      <c r="G1" s="248"/>
    </row>
    <row r="2" spans="1:7" ht="15.75">
      <c r="A2" s="677" t="str">
        <f>'6 - WP - Divisor'!A2</f>
        <v>For the Year ended 12/31/2017</v>
      </c>
      <c r="B2" s="677"/>
      <c r="C2" s="677"/>
      <c r="D2" s="677"/>
      <c r="E2" s="677"/>
      <c r="F2" s="248"/>
      <c r="G2" s="248"/>
    </row>
    <row r="3" spans="1:7" ht="33.75">
      <c r="A3" s="354" t="s">
        <v>537</v>
      </c>
    </row>
    <row r="4" spans="1:7" ht="20.25">
      <c r="A4" s="247" t="s">
        <v>553</v>
      </c>
      <c r="B4" s="243"/>
      <c r="C4" s="243"/>
      <c r="D4" s="243"/>
      <c r="E4" s="240"/>
      <c r="F4" s="240"/>
      <c r="G4" s="240"/>
    </row>
    <row r="5" spans="1:7" ht="15.75">
      <c r="A5" s="249"/>
      <c r="B5" s="249" t="s">
        <v>554</v>
      </c>
      <c r="C5" s="249"/>
      <c r="D5" s="240"/>
      <c r="E5" s="240"/>
      <c r="F5" s="240"/>
      <c r="G5" s="240"/>
    </row>
    <row r="6" spans="1:7" ht="15.75">
      <c r="A6" s="244" t="s">
        <v>555</v>
      </c>
      <c r="B6" s="244" t="s">
        <v>556</v>
      </c>
      <c r="C6" s="244" t="s">
        <v>4</v>
      </c>
      <c r="D6" s="240"/>
      <c r="E6" s="244" t="s">
        <v>557</v>
      </c>
      <c r="F6" s="240"/>
      <c r="G6" s="240"/>
    </row>
    <row r="7" spans="1:7" ht="15.75">
      <c r="A7" s="240"/>
      <c r="B7" s="240"/>
      <c r="C7" s="240"/>
      <c r="D7" s="240"/>
      <c r="E7" s="240"/>
      <c r="F7" s="240"/>
      <c r="G7" s="240"/>
    </row>
    <row r="8" spans="1:7" ht="15.75">
      <c r="A8" s="242" t="s">
        <v>558</v>
      </c>
      <c r="B8" s="250"/>
      <c r="C8" s="245">
        <v>0</v>
      </c>
      <c r="D8" s="240"/>
      <c r="E8" s="240"/>
      <c r="F8" s="240"/>
      <c r="G8" s="240"/>
    </row>
    <row r="9" spans="1:7" ht="15.75">
      <c r="A9" s="242" t="s">
        <v>559</v>
      </c>
      <c r="B9" s="251"/>
      <c r="C9" s="241">
        <v>0</v>
      </c>
      <c r="D9" s="240"/>
      <c r="E9" s="240"/>
      <c r="F9" s="240"/>
      <c r="G9" s="240"/>
    </row>
    <row r="10" spans="1:7" ht="18">
      <c r="A10" s="242" t="s">
        <v>560</v>
      </c>
      <c r="B10" s="251"/>
      <c r="C10" s="246">
        <v>0</v>
      </c>
      <c r="D10" s="240"/>
      <c r="E10" s="240"/>
      <c r="F10" s="240"/>
      <c r="G10" s="240"/>
    </row>
    <row r="11" spans="1:7" ht="15.75">
      <c r="A11" s="240"/>
      <c r="B11" s="252"/>
      <c r="C11" s="240"/>
      <c r="D11" s="240"/>
      <c r="E11" s="240"/>
      <c r="F11" s="240"/>
      <c r="G11" s="240"/>
    </row>
    <row r="12" spans="1:7" ht="15.75">
      <c r="A12" s="242" t="s">
        <v>6</v>
      </c>
      <c r="B12" s="252"/>
      <c r="C12" s="253">
        <v>0</v>
      </c>
      <c r="D12" s="240" t="s">
        <v>561</v>
      </c>
      <c r="E12" s="240"/>
      <c r="F12" s="240"/>
      <c r="G12" s="240"/>
    </row>
    <row r="13" spans="1:7" ht="15.75">
      <c r="A13" s="242"/>
      <c r="B13" s="252"/>
      <c r="C13" s="254"/>
      <c r="D13" s="240"/>
      <c r="E13" s="240"/>
      <c r="F13" s="240"/>
      <c r="G13" s="240"/>
    </row>
    <row r="15" spans="1:7" ht="15.75">
      <c r="A15" s="525" t="s">
        <v>813</v>
      </c>
      <c r="B15" s="240"/>
      <c r="C15" s="240"/>
      <c r="D15" s="240"/>
      <c r="E15" s="240"/>
      <c r="F15" s="240"/>
      <c r="G15" s="240"/>
    </row>
    <row r="16" spans="1:7" ht="15.75">
      <c r="A16" s="242" t="s">
        <v>562</v>
      </c>
      <c r="B16" s="240"/>
      <c r="C16" s="240"/>
      <c r="D16" s="240"/>
      <c r="E16" s="240"/>
      <c r="F16" s="240"/>
      <c r="G16" s="240"/>
    </row>
    <row r="17" spans="1:1" ht="15.75">
      <c r="A17" s="242" t="s">
        <v>563</v>
      </c>
    </row>
    <row r="19" spans="1:1" ht="15.75">
      <c r="A19" s="243"/>
    </row>
    <row r="20" spans="1:1" ht="15.75">
      <c r="A20" s="242"/>
    </row>
    <row r="21" spans="1:1" ht="15.75">
      <c r="A21" s="242"/>
    </row>
  </sheetData>
  <mergeCells count="2">
    <mergeCell ref="A1:E1"/>
    <mergeCell ref="A2:E2"/>
  </mergeCells>
  <pageMargins left="0.7" right="0.7" top="0.75" bottom="0.75" header="0.3" footer="0.3"/>
  <pageSetup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4"/>
  <sheetViews>
    <sheetView zoomScaleNormal="100" workbookViewId="0">
      <selection sqref="A1:E1"/>
    </sheetView>
  </sheetViews>
  <sheetFormatPr defaultRowHeight="15"/>
  <cols>
    <col min="1" max="1" width="40.44140625" customWidth="1"/>
    <col min="2" max="2" width="12.5546875" customWidth="1"/>
    <col min="3" max="3" width="14.33203125" customWidth="1"/>
    <col min="4" max="4" width="7.109375" customWidth="1"/>
    <col min="5" max="5" width="10.88671875" bestFit="1" customWidth="1"/>
  </cols>
  <sheetData>
    <row r="1" spans="1:5" ht="20.25" customHeight="1">
      <c r="A1" s="678" t="str">
        <f>'6 - WP - Divisor'!A1</f>
        <v>Jasper-Newton Electric Cooperative</v>
      </c>
      <c r="B1" s="678"/>
      <c r="C1" s="678"/>
      <c r="D1" s="678"/>
      <c r="E1" s="678"/>
    </row>
    <row r="2" spans="1:5" ht="20.25" customHeight="1">
      <c r="A2" s="678" t="str">
        <f>'6 - WP - Divisor'!A2</f>
        <v>For the Year ended 12/31/2017</v>
      </c>
      <c r="B2" s="678"/>
      <c r="C2" s="678"/>
      <c r="D2" s="678"/>
      <c r="E2" s="678"/>
    </row>
    <row r="3" spans="1:5" ht="20.25">
      <c r="A3" s="355"/>
      <c r="B3" s="261"/>
      <c r="C3" s="255"/>
      <c r="D3" s="255"/>
      <c r="E3" s="255"/>
    </row>
    <row r="4" spans="1:5" ht="20.25">
      <c r="A4" s="265" t="s">
        <v>564</v>
      </c>
      <c r="B4" s="260"/>
      <c r="C4" s="258"/>
      <c r="D4" s="258"/>
      <c r="E4" s="258"/>
    </row>
    <row r="7" spans="1:5" ht="15.75">
      <c r="A7" s="255" t="s">
        <v>565</v>
      </c>
      <c r="B7" s="259">
        <v>0</v>
      </c>
      <c r="C7" s="255" t="s">
        <v>566</v>
      </c>
      <c r="D7" s="255"/>
      <c r="E7" s="255"/>
    </row>
    <row r="10" spans="1:5" ht="15.75">
      <c r="A10" s="255" t="s">
        <v>567</v>
      </c>
      <c r="B10" s="255"/>
      <c r="C10" s="255"/>
      <c r="D10" s="255"/>
      <c r="E10" s="255"/>
    </row>
    <row r="11" spans="1:5" ht="15.75">
      <c r="A11" s="257" t="s">
        <v>568</v>
      </c>
      <c r="B11" s="341">
        <v>0</v>
      </c>
      <c r="C11" s="255" t="s">
        <v>566</v>
      </c>
      <c r="D11" s="255"/>
      <c r="E11" s="255"/>
    </row>
    <row r="12" spans="1:5" ht="15.75">
      <c r="A12" s="257" t="s">
        <v>569</v>
      </c>
      <c r="B12" s="342">
        <v>0</v>
      </c>
      <c r="C12" s="255"/>
      <c r="D12" s="255"/>
      <c r="E12" s="255"/>
    </row>
    <row r="13" spans="1:5" ht="15.75">
      <c r="A13" s="257" t="s">
        <v>570</v>
      </c>
      <c r="B13" s="342">
        <v>0</v>
      </c>
      <c r="C13" s="255"/>
      <c r="D13" s="255"/>
      <c r="E13" s="255"/>
    </row>
    <row r="14" spans="1:5" ht="15.75">
      <c r="A14" s="257" t="s">
        <v>570</v>
      </c>
      <c r="B14" s="344">
        <v>0</v>
      </c>
      <c r="C14" s="255" t="s">
        <v>566</v>
      </c>
      <c r="D14" s="255"/>
      <c r="E14" s="255"/>
    </row>
    <row r="15" spans="1:5" ht="15.75">
      <c r="A15" s="257" t="s">
        <v>571</v>
      </c>
      <c r="B15" s="256">
        <v>0</v>
      </c>
      <c r="C15" s="255"/>
      <c r="D15" s="255"/>
      <c r="E15" s="255"/>
    </row>
    <row r="18" spans="1:5" ht="15.75">
      <c r="A18" s="470" t="s">
        <v>572</v>
      </c>
      <c r="B18" s="470"/>
      <c r="C18" s="470"/>
      <c r="D18" s="470"/>
    </row>
    <row r="19" spans="1:5" ht="15.75">
      <c r="A19" s="471" t="s">
        <v>746</v>
      </c>
      <c r="B19" s="341">
        <v>62919</v>
      </c>
      <c r="C19" s="472" t="s">
        <v>661</v>
      </c>
      <c r="D19" s="470"/>
      <c r="E19" s="414"/>
    </row>
    <row r="20" spans="1:5" ht="15.75">
      <c r="A20" s="473" t="s">
        <v>713</v>
      </c>
      <c r="B20" s="342">
        <v>2389</v>
      </c>
      <c r="C20" s="472" t="s">
        <v>687</v>
      </c>
      <c r="D20" s="470"/>
      <c r="E20" s="414"/>
    </row>
    <row r="21" spans="1:5" ht="15.75">
      <c r="A21" s="474" t="s">
        <v>714</v>
      </c>
      <c r="B21" s="344">
        <v>0</v>
      </c>
      <c r="C21" s="475" t="s">
        <v>715</v>
      </c>
      <c r="D21" s="470"/>
    </row>
    <row r="22" spans="1:5" ht="15.75">
      <c r="A22" s="476" t="s">
        <v>573</v>
      </c>
      <c r="B22" s="342">
        <f>B21+B20+B19</f>
        <v>65308</v>
      </c>
      <c r="C22" s="357"/>
      <c r="D22" s="470"/>
    </row>
    <row r="25" spans="1:5" ht="15.75">
      <c r="A25" s="257" t="s">
        <v>574</v>
      </c>
      <c r="B25" s="263">
        <f>B22+B7</f>
        <v>65308</v>
      </c>
      <c r="C25" s="255" t="s">
        <v>575</v>
      </c>
      <c r="D25" s="255"/>
    </row>
    <row r="26" spans="1:5" ht="15.75">
      <c r="A26" s="257"/>
      <c r="B26" s="262"/>
      <c r="C26" s="255"/>
      <c r="D26" s="255"/>
    </row>
    <row r="27" spans="1:5" ht="15.75">
      <c r="A27" s="264" t="s">
        <v>576</v>
      </c>
      <c r="B27" s="345">
        <f>B15</f>
        <v>0</v>
      </c>
      <c r="C27" s="255" t="s">
        <v>577</v>
      </c>
      <c r="D27" s="255"/>
    </row>
    <row r="28" spans="1:5" ht="15.75">
      <c r="A28" s="255"/>
      <c r="B28" s="255"/>
      <c r="C28" s="255" t="s">
        <v>578</v>
      </c>
      <c r="D28" s="255"/>
    </row>
    <row r="29" spans="1:5" ht="15.75">
      <c r="A29" s="255"/>
      <c r="B29" s="255"/>
      <c r="C29" s="255" t="s">
        <v>579</v>
      </c>
      <c r="D29" s="255"/>
    </row>
    <row r="31" spans="1:5" ht="15.75">
      <c r="A31" s="258" t="s">
        <v>580</v>
      </c>
      <c r="B31" s="255"/>
      <c r="C31" s="258"/>
      <c r="D31" s="258"/>
    </row>
    <row r="33" spans="1:3" ht="15.75">
      <c r="A33" s="356" t="s">
        <v>668</v>
      </c>
      <c r="B33" s="357"/>
      <c r="C33" s="357"/>
    </row>
    <row r="34" spans="1:3" ht="15.75">
      <c r="A34" s="356" t="s">
        <v>669</v>
      </c>
      <c r="B34" s="357"/>
      <c r="C34" s="357"/>
    </row>
  </sheetData>
  <mergeCells count="2">
    <mergeCell ref="A1:E1"/>
    <mergeCell ref="A2:E2"/>
  </mergeCells>
  <printOptions horizontalCentered="1"/>
  <pageMargins left="0.45" right="0.45" top="0.75" bottom="0.75" header="0.3" footer="0.3"/>
  <pageSetup scale="94"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zoomScaleNormal="100" workbookViewId="0"/>
  </sheetViews>
  <sheetFormatPr defaultRowHeight="15"/>
  <sheetData>
    <row r="1" spans="1:11" ht="21">
      <c r="A1" s="394" t="str">
        <f>'6 - WP - Divisor'!A1</f>
        <v>Jasper-Newton Electric Cooperative</v>
      </c>
      <c r="B1" s="395"/>
      <c r="C1" s="395"/>
      <c r="D1" s="395"/>
      <c r="E1" s="395"/>
      <c r="F1" s="394"/>
      <c r="G1" s="394"/>
      <c r="H1" s="394"/>
      <c r="I1" s="394"/>
      <c r="J1" s="394"/>
      <c r="K1" s="266"/>
    </row>
    <row r="2" spans="1:11" ht="21">
      <c r="A2" s="394" t="str">
        <f>'6 - WP - Divisor'!A2</f>
        <v>For the Year ended 12/31/2017</v>
      </c>
      <c r="B2" s="395"/>
      <c r="C2" s="395"/>
      <c r="D2" s="395"/>
      <c r="E2" s="395"/>
      <c r="F2" s="394"/>
    </row>
    <row r="3" spans="1:11" ht="21">
      <c r="A3" s="395"/>
      <c r="B3" s="395"/>
      <c r="C3" s="395"/>
      <c r="D3" s="395"/>
      <c r="E3" s="395"/>
      <c r="F3" s="394"/>
    </row>
    <row r="4" spans="1:11" ht="21">
      <c r="A4" s="395" t="s">
        <v>581</v>
      </c>
      <c r="B4" s="395"/>
      <c r="C4" s="395"/>
      <c r="D4" s="395"/>
      <c r="E4" s="395"/>
      <c r="F4" s="394"/>
    </row>
    <row r="5" spans="1:11" ht="15.75">
      <c r="A5" s="396"/>
      <c r="B5" s="396"/>
      <c r="C5" s="396"/>
      <c r="D5" s="396"/>
      <c r="E5" s="403"/>
      <c r="F5" s="396"/>
      <c r="G5" s="396"/>
      <c r="H5" s="396"/>
      <c r="I5" s="396"/>
      <c r="J5" s="396"/>
    </row>
    <row r="6" spans="1:11" ht="15.75">
      <c r="A6" s="394" t="s">
        <v>582</v>
      </c>
      <c r="B6" s="394"/>
      <c r="C6" s="394"/>
      <c r="D6" s="394"/>
      <c r="E6" s="429">
        <v>0</v>
      </c>
      <c r="F6" s="394"/>
      <c r="G6" s="394" t="s">
        <v>583</v>
      </c>
      <c r="H6" s="394"/>
      <c r="I6" s="394"/>
      <c r="J6" s="394"/>
      <c r="K6" s="266"/>
    </row>
    <row r="7" spans="1:11" ht="15.75">
      <c r="A7" s="394" t="s">
        <v>584</v>
      </c>
      <c r="B7" s="394"/>
      <c r="C7" s="394"/>
      <c r="D7" s="394"/>
      <c r="E7" s="429">
        <v>0</v>
      </c>
      <c r="F7" s="394"/>
      <c r="G7" s="394" t="s">
        <v>585</v>
      </c>
      <c r="H7" s="394"/>
      <c r="I7" s="394"/>
      <c r="J7" s="394"/>
      <c r="K7" s="266"/>
    </row>
    <row r="8" spans="1:11" ht="15.75">
      <c r="A8" s="394" t="s">
        <v>586</v>
      </c>
      <c r="B8" s="394"/>
      <c r="C8" s="394"/>
      <c r="D8" s="394"/>
      <c r="E8" s="429">
        <v>0</v>
      </c>
      <c r="F8" s="394"/>
      <c r="G8" s="394" t="s">
        <v>587</v>
      </c>
      <c r="H8" s="394"/>
      <c r="I8" s="394"/>
      <c r="J8" s="394"/>
      <c r="K8" s="266"/>
    </row>
    <row r="9" spans="1:11" ht="15.75">
      <c r="A9" s="394" t="s">
        <v>647</v>
      </c>
      <c r="B9" s="394"/>
      <c r="C9" s="394"/>
      <c r="D9" s="394"/>
      <c r="E9" s="477">
        <v>51735</v>
      </c>
      <c r="F9" s="394"/>
      <c r="G9" s="394" t="s">
        <v>588</v>
      </c>
      <c r="H9" s="394"/>
      <c r="I9" s="394"/>
      <c r="J9" s="394"/>
      <c r="K9" s="266"/>
    </row>
    <row r="10" spans="1:11" ht="15.75">
      <c r="A10" s="394" t="s">
        <v>589</v>
      </c>
      <c r="B10" s="394"/>
      <c r="C10" s="394"/>
      <c r="D10" s="394"/>
      <c r="E10" s="429">
        <v>0</v>
      </c>
      <c r="F10" s="394"/>
      <c r="G10" s="394" t="s">
        <v>590</v>
      </c>
      <c r="H10" s="394"/>
      <c r="I10" s="394"/>
      <c r="J10" s="394"/>
      <c r="K10" s="266"/>
    </row>
    <row r="11" spans="1:11" ht="15.75">
      <c r="A11" s="394" t="s">
        <v>591</v>
      </c>
      <c r="B11" s="394"/>
      <c r="C11" s="394"/>
      <c r="D11" s="394"/>
      <c r="E11" s="430">
        <v>0</v>
      </c>
      <c r="F11" s="394"/>
      <c r="G11" s="394" t="s">
        <v>592</v>
      </c>
      <c r="H11" s="394"/>
      <c r="I11" s="394"/>
      <c r="J11" s="394"/>
      <c r="K11" s="266"/>
    </row>
    <row r="12" spans="1:11" ht="15.75">
      <c r="A12" s="394" t="s">
        <v>6</v>
      </c>
      <c r="B12" s="394"/>
      <c r="C12" s="394"/>
      <c r="D12" s="394"/>
      <c r="E12" s="398">
        <f>'1 - 12a.A Statement of Oper'!D29</f>
        <v>51735</v>
      </c>
      <c r="F12" s="394"/>
      <c r="G12" s="478" t="s">
        <v>747</v>
      </c>
      <c r="H12" s="399"/>
      <c r="I12" s="399"/>
      <c r="J12" s="399"/>
      <c r="K12" s="267"/>
    </row>
    <row r="13" spans="1:11" ht="15.75">
      <c r="A13" s="394"/>
      <c r="B13" s="394"/>
      <c r="C13" s="394"/>
      <c r="D13" s="394"/>
      <c r="E13" s="394"/>
      <c r="F13" s="394"/>
      <c r="G13" s="399" t="s">
        <v>593</v>
      </c>
      <c r="H13" s="399"/>
      <c r="I13" s="399"/>
      <c r="J13" s="399"/>
      <c r="K13" s="267"/>
    </row>
    <row r="14" spans="1:11" ht="15.75">
      <c r="A14" s="396"/>
      <c r="B14" s="396"/>
      <c r="C14" s="396"/>
      <c r="D14" s="396"/>
      <c r="E14" s="396"/>
      <c r="F14" s="396"/>
      <c r="G14" s="396"/>
      <c r="H14" s="396"/>
      <c r="I14" s="396"/>
      <c r="J14" s="396"/>
    </row>
    <row r="15" spans="1:11" ht="15.75">
      <c r="A15" s="396"/>
      <c r="B15" s="396"/>
      <c r="C15" s="396"/>
      <c r="D15" s="396"/>
      <c r="E15" s="396"/>
      <c r="F15" s="396"/>
      <c r="G15" s="396"/>
      <c r="H15" s="396"/>
      <c r="I15" s="396"/>
      <c r="J15" s="396"/>
    </row>
    <row r="16" spans="1:11" ht="15.75">
      <c r="A16" s="396"/>
      <c r="B16" s="396"/>
      <c r="C16" s="396"/>
      <c r="D16" s="396"/>
      <c r="E16" s="396"/>
      <c r="F16" s="396"/>
      <c r="G16" s="396"/>
      <c r="H16" s="396"/>
      <c r="I16" s="396"/>
      <c r="J16" s="396"/>
    </row>
    <row r="17" spans="1:10" ht="15.75">
      <c r="A17" s="396"/>
      <c r="B17" s="396"/>
      <c r="C17" s="396"/>
      <c r="D17" s="396"/>
      <c r="E17" s="396"/>
      <c r="F17" s="396"/>
      <c r="G17" s="396"/>
      <c r="H17" s="396"/>
      <c r="I17" s="396"/>
      <c r="J17" s="396"/>
    </row>
    <row r="18" spans="1:10" ht="21">
      <c r="A18" s="400" t="s">
        <v>679</v>
      </c>
      <c r="B18" s="394"/>
      <c r="C18" s="401"/>
      <c r="D18" s="396"/>
      <c r="E18" s="396"/>
      <c r="F18" s="396"/>
      <c r="G18" s="396"/>
      <c r="H18" s="396"/>
      <c r="I18" s="396"/>
      <c r="J18" s="396"/>
    </row>
    <row r="19" spans="1:10" ht="15.75">
      <c r="A19" s="400"/>
      <c r="B19" s="394"/>
      <c r="C19" s="401"/>
      <c r="D19" s="396"/>
      <c r="E19" s="396"/>
      <c r="F19" s="396"/>
      <c r="G19" s="396"/>
      <c r="H19" s="396"/>
      <c r="I19" s="396"/>
      <c r="J19" s="396"/>
    </row>
    <row r="20" spans="1:10" ht="15.75">
      <c r="A20" s="402"/>
      <c r="B20" s="394" t="s">
        <v>594</v>
      </c>
      <c r="C20" s="394"/>
      <c r="D20" s="396"/>
      <c r="E20" s="396"/>
      <c r="F20" s="396"/>
      <c r="G20" s="396"/>
      <c r="H20" s="396"/>
      <c r="I20" s="396"/>
      <c r="J20" s="396"/>
    </row>
    <row r="21" spans="1:10" ht="15.75">
      <c r="A21" s="394"/>
      <c r="B21" s="415" t="s">
        <v>709</v>
      </c>
      <c r="C21" s="394"/>
      <c r="D21" s="396"/>
      <c r="E21" s="396"/>
      <c r="F21" s="396"/>
      <c r="G21" s="396"/>
      <c r="H21" s="396"/>
      <c r="I21" s="396"/>
      <c r="J21" s="396"/>
    </row>
    <row r="22" spans="1:10" ht="15.75">
      <c r="A22" s="396"/>
      <c r="B22" s="396"/>
      <c r="C22" s="396"/>
      <c r="D22" s="396"/>
      <c r="E22" s="396"/>
      <c r="F22" s="396"/>
      <c r="G22" s="396"/>
      <c r="H22" s="396"/>
      <c r="I22" s="396"/>
      <c r="J22" s="396"/>
    </row>
    <row r="23" spans="1:10" ht="15.75">
      <c r="A23" s="396"/>
      <c r="B23" s="447" t="s">
        <v>721</v>
      </c>
      <c r="C23" s="403"/>
      <c r="D23" s="403"/>
      <c r="E23" s="403"/>
      <c r="F23" s="403"/>
      <c r="G23" s="403"/>
      <c r="H23" s="403"/>
      <c r="I23" s="396"/>
      <c r="J23" s="396"/>
    </row>
    <row r="24" spans="1:10" ht="15.75">
      <c r="A24" s="396"/>
      <c r="B24" s="396"/>
      <c r="C24" s="396"/>
      <c r="D24" s="396"/>
      <c r="E24" s="396"/>
      <c r="F24" s="396"/>
      <c r="G24" s="396"/>
      <c r="H24" s="396"/>
      <c r="I24" s="396"/>
      <c r="J24" s="396"/>
    </row>
    <row r="25" spans="1:10" ht="15.75">
      <c r="A25" s="396"/>
      <c r="B25" s="396"/>
      <c r="C25" s="396"/>
      <c r="D25" s="396"/>
      <c r="E25" s="396"/>
      <c r="F25" s="396"/>
      <c r="G25" s="396"/>
      <c r="H25" s="396"/>
      <c r="I25" s="396"/>
      <c r="J25" s="396"/>
    </row>
    <row r="26" spans="1:10" ht="15.75">
      <c r="A26" s="396"/>
      <c r="B26" s="396"/>
      <c r="C26" s="396"/>
      <c r="D26" s="396"/>
      <c r="E26" s="396"/>
      <c r="F26" s="396"/>
      <c r="G26" s="396"/>
      <c r="H26" s="396"/>
      <c r="I26" s="396"/>
      <c r="J26" s="396"/>
    </row>
    <row r="27" spans="1:10" ht="15.75">
      <c r="A27" s="396"/>
      <c r="B27" s="396"/>
      <c r="C27" s="396"/>
      <c r="D27" s="396"/>
      <c r="E27" s="396"/>
      <c r="F27" s="396"/>
      <c r="G27" s="396"/>
      <c r="H27" s="396"/>
      <c r="I27" s="396"/>
      <c r="J27" s="396"/>
    </row>
    <row r="28" spans="1:10" ht="15.75">
      <c r="A28" s="396"/>
      <c r="B28" s="396"/>
      <c r="C28" s="396"/>
      <c r="D28" s="396"/>
      <c r="E28" s="396"/>
      <c r="F28" s="396"/>
      <c r="G28" s="396"/>
      <c r="H28" s="396"/>
      <c r="I28" s="396"/>
      <c r="J28" s="396"/>
    </row>
    <row r="29" spans="1:10" ht="15.75">
      <c r="A29" s="396"/>
      <c r="B29" s="396"/>
      <c r="C29" s="396"/>
      <c r="D29" s="396"/>
      <c r="E29" s="396"/>
      <c r="F29" s="396"/>
      <c r="G29" s="396"/>
      <c r="H29" s="396"/>
      <c r="I29" s="396"/>
      <c r="J29" s="396"/>
    </row>
    <row r="30" spans="1:10" ht="15.75">
      <c r="A30" s="396"/>
      <c r="B30" s="396"/>
      <c r="C30" s="396"/>
      <c r="D30" s="396"/>
      <c r="E30" s="396"/>
      <c r="F30" s="396"/>
      <c r="G30" s="396"/>
      <c r="H30" s="396"/>
      <c r="I30" s="396"/>
      <c r="J30" s="396"/>
    </row>
  </sheetData>
  <pageMargins left="0.7" right="0.7" top="0.75" bottom="0.75" header="0.3" footer="0.3"/>
  <pageSetup scale="78"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zoomScaleNormal="100" workbookViewId="0"/>
  </sheetViews>
  <sheetFormatPr defaultRowHeight="15"/>
  <cols>
    <col min="1" max="1" width="37.5546875" customWidth="1"/>
    <col min="2" max="2" width="4" customWidth="1"/>
    <col min="3" max="3" width="12.21875" customWidth="1"/>
    <col min="4" max="4" width="4.88671875" customWidth="1"/>
    <col min="8" max="8" width="14" customWidth="1"/>
    <col min="12" max="12" width="16.5546875" customWidth="1"/>
    <col min="13" max="13" width="14.44140625" bestFit="1" customWidth="1"/>
    <col min="15" max="15" width="13.44140625" bestFit="1" customWidth="1"/>
  </cols>
  <sheetData>
    <row r="1" spans="1:14" ht="21">
      <c r="A1" s="404" t="str">
        <f>'6 - WP - Divisor'!A1</f>
        <v>Jasper-Newton Electric Cooperative</v>
      </c>
      <c r="B1" s="408"/>
      <c r="C1" s="408"/>
      <c r="D1" s="404"/>
      <c r="E1" s="404"/>
      <c r="F1" s="404"/>
      <c r="G1" s="404"/>
      <c r="H1" s="404"/>
      <c r="I1" s="268"/>
    </row>
    <row r="2" spans="1:14" ht="21">
      <c r="A2" s="404" t="str">
        <f>'6 - WP - Divisor'!A2</f>
        <v>For the Year ended 12/31/2017</v>
      </c>
      <c r="B2" s="408"/>
      <c r="C2" s="408"/>
      <c r="D2" s="404"/>
      <c r="E2" s="404"/>
      <c r="F2" s="404"/>
      <c r="G2" s="404"/>
      <c r="H2" s="404"/>
      <c r="I2" s="268"/>
    </row>
    <row r="3" spans="1:14" ht="21">
      <c r="A3" s="408"/>
      <c r="B3" s="408"/>
      <c r="C3" s="408"/>
      <c r="D3" s="404"/>
      <c r="E3" s="404"/>
      <c r="F3" s="404"/>
      <c r="G3" s="404"/>
      <c r="H3" s="404"/>
      <c r="I3" s="268"/>
    </row>
    <row r="4" spans="1:14" ht="21">
      <c r="A4" s="408" t="s">
        <v>595</v>
      </c>
      <c r="B4" s="408"/>
      <c r="C4" s="408"/>
      <c r="D4" s="404"/>
      <c r="E4" s="404"/>
      <c r="F4" s="404"/>
      <c r="G4" s="404"/>
      <c r="H4" s="404"/>
      <c r="I4" s="268"/>
    </row>
    <row r="5" spans="1:14" ht="21">
      <c r="A5" s="408"/>
      <c r="B5" s="408"/>
      <c r="C5" s="596">
        <v>2017</v>
      </c>
      <c r="D5" s="404"/>
      <c r="E5" s="404"/>
      <c r="F5" s="404"/>
      <c r="G5" s="404"/>
      <c r="H5" s="596">
        <v>2016</v>
      </c>
      <c r="I5" s="268"/>
    </row>
    <row r="6" spans="1:14" ht="15.75">
      <c r="A6" s="595" t="s">
        <v>833</v>
      </c>
      <c r="B6" s="404"/>
      <c r="C6" s="270" t="s">
        <v>4</v>
      </c>
      <c r="D6" s="404"/>
      <c r="E6" s="404"/>
      <c r="F6" s="404"/>
      <c r="G6" s="404"/>
      <c r="H6" s="270" t="s">
        <v>4</v>
      </c>
      <c r="I6" s="268"/>
    </row>
    <row r="7" spans="1:14" ht="15.75">
      <c r="A7" s="409" t="s">
        <v>688</v>
      </c>
      <c r="B7" s="404"/>
      <c r="C7" s="397">
        <v>830793.35</v>
      </c>
      <c r="D7" s="404"/>
      <c r="E7" s="556"/>
      <c r="F7" s="517"/>
      <c r="G7" s="410"/>
      <c r="H7" s="598">
        <v>830793.35</v>
      </c>
      <c r="I7" s="268"/>
    </row>
    <row r="8" spans="1:14" ht="15.75">
      <c r="A8" s="409" t="s">
        <v>689</v>
      </c>
      <c r="B8" s="404"/>
      <c r="C8" s="397">
        <v>1806779.12</v>
      </c>
      <c r="D8" s="404"/>
      <c r="E8" s="556"/>
      <c r="F8" s="410"/>
      <c r="G8" s="410"/>
      <c r="H8" s="598">
        <v>1806779.12</v>
      </c>
      <c r="I8" s="271"/>
      <c r="J8" s="318"/>
      <c r="K8" s="318"/>
      <c r="L8" s="318"/>
      <c r="M8" s="318"/>
      <c r="N8" s="318"/>
    </row>
    <row r="9" spans="1:14" ht="15.75">
      <c r="A9" s="409" t="s">
        <v>690</v>
      </c>
      <c r="B9" s="404"/>
      <c r="C9" s="397">
        <v>618716.28</v>
      </c>
      <c r="D9" s="404"/>
      <c r="E9" s="556"/>
      <c r="F9" s="410"/>
      <c r="G9" s="410"/>
      <c r="H9" s="598">
        <v>618716.28</v>
      </c>
      <c r="I9" s="271"/>
      <c r="J9" s="318"/>
      <c r="K9" s="318"/>
      <c r="L9" s="318"/>
      <c r="M9" s="318"/>
      <c r="N9" s="318"/>
    </row>
    <row r="10" spans="1:14" ht="15.75">
      <c r="A10" s="409" t="s">
        <v>691</v>
      </c>
      <c r="B10" s="404"/>
      <c r="C10" s="397">
        <v>578334.92000000004</v>
      </c>
      <c r="D10" s="404"/>
      <c r="E10" s="556"/>
      <c r="F10" s="410"/>
      <c r="G10" s="410"/>
      <c r="H10" s="598">
        <v>578334.92000000004</v>
      </c>
      <c r="I10" s="271"/>
      <c r="J10" s="318"/>
      <c r="K10" s="318"/>
      <c r="L10" s="318"/>
      <c r="M10" s="318"/>
      <c r="N10" s="318"/>
    </row>
    <row r="11" spans="1:14" ht="15.75">
      <c r="A11" s="409" t="s">
        <v>697</v>
      </c>
      <c r="B11" s="404"/>
      <c r="C11" s="397">
        <v>240069.92</v>
      </c>
      <c r="D11" s="404"/>
      <c r="E11" s="556"/>
      <c r="F11" s="410"/>
      <c r="G11" s="410"/>
      <c r="H11" s="598">
        <v>240069.92</v>
      </c>
      <c r="I11" s="271"/>
      <c r="J11" s="318"/>
      <c r="K11" s="318"/>
      <c r="L11" s="318"/>
      <c r="M11" s="318"/>
      <c r="N11" s="318"/>
    </row>
    <row r="12" spans="1:14" ht="15.75">
      <c r="A12" s="409" t="s">
        <v>692</v>
      </c>
      <c r="B12" s="404"/>
      <c r="C12" s="397">
        <v>148173.07999999999</v>
      </c>
      <c r="D12" s="404"/>
      <c r="E12" s="556"/>
      <c r="F12" s="410"/>
      <c r="G12" s="410"/>
      <c r="H12" s="598">
        <v>148173.07999999999</v>
      </c>
      <c r="I12" s="271"/>
      <c r="J12" s="318"/>
      <c r="K12" s="318"/>
      <c r="L12" s="318"/>
      <c r="M12" s="455"/>
      <c r="N12" s="318"/>
    </row>
    <row r="13" spans="1:14" ht="15.75">
      <c r="A13" s="409" t="s">
        <v>693</v>
      </c>
      <c r="B13" s="404"/>
      <c r="C13" s="397">
        <v>72693.429999999993</v>
      </c>
      <c r="D13" s="404"/>
      <c r="E13" s="556"/>
      <c r="F13" s="410"/>
      <c r="G13" s="410"/>
      <c r="H13" s="598">
        <v>72693.429999999993</v>
      </c>
      <c r="I13" s="271"/>
      <c r="J13" s="318"/>
      <c r="K13" s="318"/>
      <c r="L13" s="318"/>
      <c r="M13" s="453"/>
      <c r="N13" s="318"/>
    </row>
    <row r="14" spans="1:14" ht="15.75">
      <c r="A14" s="409" t="s">
        <v>694</v>
      </c>
      <c r="B14" s="404"/>
      <c r="C14" s="397">
        <v>96214.81</v>
      </c>
      <c r="D14" s="404"/>
      <c r="E14" s="556"/>
      <c r="F14" s="410"/>
      <c r="G14" s="410"/>
      <c r="H14" s="598">
        <v>96214.81</v>
      </c>
      <c r="I14" s="271"/>
      <c r="J14" s="318"/>
      <c r="K14" s="318"/>
      <c r="L14" s="318"/>
      <c r="M14" s="455"/>
      <c r="N14" s="318"/>
    </row>
    <row r="15" spans="1:14" ht="15.75">
      <c r="A15" s="409" t="s">
        <v>695</v>
      </c>
      <c r="B15" s="404"/>
      <c r="C15" s="397">
        <v>625503.67000000004</v>
      </c>
      <c r="D15" s="404"/>
      <c r="E15" s="556"/>
      <c r="F15" s="410"/>
      <c r="G15" s="410"/>
      <c r="H15" s="598">
        <v>625503.67000000004</v>
      </c>
      <c r="I15" s="271"/>
      <c r="J15" s="318"/>
      <c r="K15" s="318"/>
      <c r="L15" s="318"/>
      <c r="M15" s="455"/>
      <c r="N15" s="318"/>
    </row>
    <row r="16" spans="1:14" ht="15.75">
      <c r="A16" s="409" t="s">
        <v>696</v>
      </c>
      <c r="B16" s="404"/>
      <c r="C16" s="397">
        <v>280571.75</v>
      </c>
      <c r="D16" s="404"/>
      <c r="E16" s="556"/>
      <c r="F16" s="410"/>
      <c r="G16" s="410"/>
      <c r="H16" s="598">
        <v>280571.75</v>
      </c>
      <c r="I16" s="271"/>
      <c r="J16" s="318"/>
      <c r="K16" s="318"/>
      <c r="L16" s="318"/>
      <c r="M16" s="456"/>
      <c r="N16" s="318"/>
    </row>
    <row r="17" spans="1:14" ht="15.75">
      <c r="A17" s="409" t="s">
        <v>698</v>
      </c>
      <c r="B17" s="404"/>
      <c r="C17" s="397">
        <v>1187581.02</v>
      </c>
      <c r="D17" s="404"/>
      <c r="E17" s="556"/>
      <c r="F17" s="410"/>
      <c r="G17" s="410"/>
      <c r="H17" s="598">
        <v>1187581.02</v>
      </c>
      <c r="I17" s="271"/>
      <c r="J17" s="318"/>
      <c r="K17" s="318"/>
      <c r="L17" s="318"/>
      <c r="M17" s="455"/>
      <c r="N17" s="318"/>
    </row>
    <row r="18" spans="1:14" ht="15.75">
      <c r="A18" s="409" t="s">
        <v>699</v>
      </c>
      <c r="B18" s="404"/>
      <c r="C18" s="397">
        <v>312937.84999999998</v>
      </c>
      <c r="D18" s="404"/>
      <c r="E18" s="556"/>
      <c r="F18" s="410"/>
      <c r="G18" s="410"/>
      <c r="H18" s="598">
        <v>312937.84999999998</v>
      </c>
      <c r="I18" s="271"/>
      <c r="J18" s="318"/>
      <c r="K18" s="318"/>
      <c r="L18" s="318"/>
      <c r="M18" s="455"/>
      <c r="N18" s="318"/>
    </row>
    <row r="19" spans="1:14" ht="15.75">
      <c r="A19" s="409" t="s">
        <v>700</v>
      </c>
      <c r="B19" s="404"/>
      <c r="C19" s="397">
        <v>134792.54</v>
      </c>
      <c r="D19" s="404"/>
      <c r="E19" s="556"/>
      <c r="F19" s="410"/>
      <c r="G19" s="410"/>
      <c r="H19" s="598">
        <v>134792.54</v>
      </c>
      <c r="I19" s="271"/>
      <c r="J19" s="318"/>
      <c r="K19" s="318"/>
      <c r="L19" s="318"/>
      <c r="M19" s="455"/>
      <c r="N19" s="318"/>
    </row>
    <row r="20" spans="1:14" ht="15.75">
      <c r="A20" s="409" t="s">
        <v>701</v>
      </c>
      <c r="B20" s="404"/>
      <c r="C20" s="397">
        <v>808418.3600000001</v>
      </c>
      <c r="D20" s="404"/>
      <c r="E20" s="556"/>
      <c r="F20" s="410"/>
      <c r="G20" s="410"/>
      <c r="H20" s="598">
        <v>808418.3600000001</v>
      </c>
      <c r="I20" s="271"/>
      <c r="J20" s="318"/>
      <c r="K20" s="318"/>
      <c r="L20" s="318"/>
      <c r="M20" s="455"/>
      <c r="N20" s="318"/>
    </row>
    <row r="21" spans="1:14" ht="15.75">
      <c r="A21" s="409" t="s">
        <v>702</v>
      </c>
      <c r="B21" s="404"/>
      <c r="C21" s="397">
        <v>804748.67</v>
      </c>
      <c r="D21" s="404"/>
      <c r="E21" s="556"/>
      <c r="F21" s="410"/>
      <c r="G21" s="410"/>
      <c r="H21" s="598">
        <v>804748.67</v>
      </c>
      <c r="I21" s="268"/>
      <c r="M21" s="448"/>
    </row>
    <row r="22" spans="1:14" ht="15.75">
      <c r="A22" s="409" t="s">
        <v>703</v>
      </c>
      <c r="B22" s="404"/>
      <c r="C22" s="397">
        <v>391137.87</v>
      </c>
      <c r="D22" s="404"/>
      <c r="E22" s="556"/>
      <c r="F22" s="410"/>
      <c r="G22" s="410"/>
      <c r="H22" s="598">
        <v>391137.87</v>
      </c>
      <c r="I22" s="268"/>
      <c r="M22" s="448"/>
    </row>
    <row r="23" spans="1:14" ht="15.75">
      <c r="A23" s="409" t="s">
        <v>704</v>
      </c>
      <c r="B23" s="404"/>
      <c r="C23" s="397">
        <v>694047.09000000008</v>
      </c>
      <c r="D23" s="404"/>
      <c r="E23" s="556"/>
      <c r="F23" s="410"/>
      <c r="G23" s="410"/>
      <c r="H23" s="598">
        <v>694047.09000000008</v>
      </c>
      <c r="I23" s="268"/>
      <c r="M23" s="448"/>
    </row>
    <row r="24" spans="1:14" ht="15.75">
      <c r="A24" s="409" t="s">
        <v>705</v>
      </c>
      <c r="B24" s="404"/>
      <c r="C24" s="397">
        <v>419182.84</v>
      </c>
      <c r="D24" s="404"/>
      <c r="E24" s="556"/>
      <c r="F24" s="410"/>
      <c r="G24" s="410"/>
      <c r="H24" s="598">
        <v>419182.84</v>
      </c>
      <c r="I24" s="268"/>
      <c r="M24" s="448"/>
    </row>
    <row r="25" spans="1:14" ht="15.75">
      <c r="A25" s="409" t="s">
        <v>706</v>
      </c>
      <c r="B25" s="404"/>
      <c r="C25" s="397">
        <v>1376173.06</v>
      </c>
      <c r="D25" s="404"/>
      <c r="E25" s="556"/>
      <c r="F25" s="410"/>
      <c r="G25" s="410"/>
      <c r="H25" s="598">
        <v>1376173.06</v>
      </c>
      <c r="I25" s="268"/>
      <c r="M25" s="448"/>
    </row>
    <row r="26" spans="1:14" ht="15.75">
      <c r="A26" s="409" t="s">
        <v>707</v>
      </c>
      <c r="B26" s="404"/>
      <c r="C26" s="397">
        <v>920297.16999999993</v>
      </c>
      <c r="D26" s="404"/>
      <c r="E26" s="556"/>
      <c r="F26" s="410"/>
      <c r="G26" s="410"/>
      <c r="H26" s="598">
        <v>920297.16999999993</v>
      </c>
      <c r="I26" s="268"/>
      <c r="M26" s="448"/>
    </row>
    <row r="27" spans="1:14" ht="15.75">
      <c r="A27" s="409" t="s">
        <v>708</v>
      </c>
      <c r="B27" s="404"/>
      <c r="C27" s="449">
        <v>669323.55000000005</v>
      </c>
      <c r="D27" s="404"/>
      <c r="E27" s="556"/>
      <c r="F27" s="410"/>
      <c r="G27" s="410"/>
      <c r="H27" s="600">
        <v>669323.55000000005</v>
      </c>
      <c r="I27" s="268"/>
      <c r="M27" s="448"/>
    </row>
    <row r="28" spans="1:14" ht="15.75">
      <c r="A28" s="457" t="s">
        <v>729</v>
      </c>
      <c r="B28" s="404"/>
      <c r="C28" s="458">
        <v>155993</v>
      </c>
      <c r="D28" s="404"/>
      <c r="E28" s="556"/>
      <c r="F28" s="410"/>
      <c r="G28" s="410"/>
      <c r="H28" s="601">
        <v>155993</v>
      </c>
      <c r="I28" s="268"/>
      <c r="M28" s="448"/>
    </row>
    <row r="29" spans="1:14" ht="18">
      <c r="A29" s="459" t="s">
        <v>730</v>
      </c>
      <c r="B29" s="404"/>
      <c r="C29" s="422">
        <v>553648.24719101121</v>
      </c>
      <c r="D29" s="404"/>
      <c r="E29" s="556"/>
      <c r="F29" s="410"/>
      <c r="G29" s="410"/>
      <c r="H29" s="602">
        <v>553648.24719101121</v>
      </c>
      <c r="I29" s="268"/>
      <c r="M29" s="448"/>
      <c r="N29" s="454"/>
    </row>
    <row r="30" spans="1:14" ht="15.75">
      <c r="A30" s="423" t="s">
        <v>711</v>
      </c>
      <c r="B30" s="410"/>
      <c r="C30" s="406">
        <f>SUM(C7:C29)</f>
        <v>13726131.597191012</v>
      </c>
      <c r="D30" s="404"/>
      <c r="E30" s="404" t="s">
        <v>6</v>
      </c>
      <c r="F30" s="404"/>
      <c r="G30" s="404"/>
      <c r="H30" s="407">
        <v>13726131.597191012</v>
      </c>
      <c r="I30" s="268"/>
      <c r="K30" s="460"/>
      <c r="L30" s="454"/>
      <c r="M30" s="448"/>
    </row>
    <row r="31" spans="1:14" ht="15.75">
      <c r="A31" s="411"/>
      <c r="B31" s="410"/>
      <c r="C31" s="406"/>
      <c r="D31" s="404"/>
      <c r="E31" s="404"/>
      <c r="F31" s="404"/>
      <c r="G31" s="404"/>
      <c r="H31" s="407"/>
      <c r="I31" s="268"/>
      <c r="K31" s="460"/>
      <c r="L31" s="454"/>
      <c r="M31" s="448"/>
    </row>
    <row r="32" spans="1:14" ht="15.75">
      <c r="A32" s="411"/>
      <c r="B32" s="410"/>
      <c r="C32" s="406"/>
      <c r="D32" s="404"/>
      <c r="E32" s="404"/>
      <c r="F32" s="404"/>
      <c r="G32" s="404"/>
      <c r="H32" s="407"/>
      <c r="I32" s="268"/>
      <c r="K32" s="461"/>
      <c r="L32" s="454"/>
      <c r="M32" s="448"/>
    </row>
    <row r="33" spans="1:13" ht="15.75">
      <c r="A33" s="423" t="s">
        <v>712</v>
      </c>
      <c r="B33" s="410"/>
      <c r="C33" s="406">
        <v>17778710</v>
      </c>
      <c r="D33" s="404"/>
      <c r="E33" s="555" t="s">
        <v>828</v>
      </c>
      <c r="F33" s="404"/>
      <c r="G33" s="404"/>
      <c r="H33" s="407">
        <v>17778710</v>
      </c>
      <c r="I33" s="268"/>
      <c r="K33" s="454"/>
      <c r="L33" s="454"/>
      <c r="M33" s="454"/>
    </row>
    <row r="34" spans="1:13" ht="18">
      <c r="A34" s="423"/>
      <c r="B34" s="410"/>
      <c r="C34" s="424"/>
      <c r="D34" s="404"/>
      <c r="E34" s="425"/>
      <c r="F34" s="404"/>
      <c r="G34" s="404"/>
      <c r="H34" s="597"/>
      <c r="I34" s="268"/>
      <c r="K34" s="454"/>
      <c r="L34" s="454"/>
      <c r="M34" s="454"/>
    </row>
    <row r="35" spans="1:13" ht="15.75">
      <c r="A35" s="423"/>
      <c r="B35" s="404"/>
      <c r="C35" s="407"/>
      <c r="D35" s="404"/>
      <c r="E35" s="404"/>
      <c r="F35" s="404"/>
      <c r="G35" s="404"/>
      <c r="H35" s="407"/>
      <c r="I35" s="268"/>
      <c r="K35" s="454"/>
      <c r="L35" s="454"/>
      <c r="M35" s="454"/>
    </row>
    <row r="36" spans="1:13" ht="15.75">
      <c r="A36" s="404" t="s">
        <v>644</v>
      </c>
      <c r="B36" s="404"/>
      <c r="C36" s="412">
        <f>C33-C30</f>
        <v>4052578.4028089885</v>
      </c>
      <c r="D36" s="404"/>
      <c r="E36" s="410" t="s">
        <v>597</v>
      </c>
      <c r="F36" s="410"/>
      <c r="G36" s="410"/>
      <c r="H36" s="598">
        <v>4052578.4028089885</v>
      </c>
      <c r="I36" s="268"/>
    </row>
    <row r="37" spans="1:13" ht="15.75">
      <c r="A37" s="404"/>
      <c r="B37" s="404"/>
      <c r="C37" s="404"/>
      <c r="D37" s="404"/>
      <c r="E37" s="410"/>
      <c r="F37" s="410"/>
      <c r="G37" s="410"/>
      <c r="H37" s="599"/>
      <c r="I37" s="268"/>
    </row>
    <row r="38" spans="1:13" ht="15.75">
      <c r="A38" s="404"/>
      <c r="B38" s="404"/>
      <c r="C38" s="404"/>
      <c r="D38" s="404"/>
      <c r="E38" s="410"/>
      <c r="F38" s="410"/>
      <c r="G38" s="410"/>
      <c r="H38" s="599"/>
      <c r="I38" s="268"/>
    </row>
    <row r="39" spans="1:13" ht="15.75">
      <c r="A39" s="396"/>
      <c r="B39" s="396"/>
      <c r="C39" s="396"/>
      <c r="D39" s="396"/>
      <c r="E39" s="396"/>
      <c r="F39" s="396"/>
      <c r="G39" s="396"/>
      <c r="H39" s="396"/>
      <c r="I39" s="268"/>
    </row>
    <row r="40" spans="1:13" ht="15.75">
      <c r="A40" s="404" t="s">
        <v>598</v>
      </c>
      <c r="B40" s="404"/>
      <c r="C40" s="404"/>
      <c r="D40" s="404"/>
      <c r="E40" s="396"/>
      <c r="F40" s="396"/>
      <c r="G40" s="396"/>
      <c r="H40" s="396"/>
      <c r="I40" s="268"/>
    </row>
    <row r="41" spans="1:13" ht="15.75">
      <c r="A41" s="405" t="s">
        <v>599</v>
      </c>
      <c r="B41" s="404"/>
      <c r="C41" s="404"/>
      <c r="D41" s="404"/>
      <c r="E41" s="396"/>
      <c r="F41" s="396"/>
      <c r="G41" s="396"/>
      <c r="H41" s="396"/>
      <c r="I41" s="268"/>
    </row>
    <row r="42" spans="1:13" ht="15.75">
      <c r="A42" s="405"/>
      <c r="B42" s="404"/>
      <c r="C42" s="404"/>
      <c r="D42" s="404"/>
      <c r="E42" s="396"/>
      <c r="F42" s="396"/>
      <c r="G42" s="396"/>
      <c r="H42" s="396"/>
      <c r="I42" s="268"/>
    </row>
    <row r="43" spans="1:13" ht="15.75">
      <c r="A43" s="405" t="s">
        <v>600</v>
      </c>
      <c r="B43" s="404"/>
      <c r="C43" s="404"/>
      <c r="D43" s="404"/>
      <c r="E43" s="396"/>
      <c r="F43" s="396"/>
      <c r="G43" s="396"/>
      <c r="H43" s="396"/>
      <c r="I43" s="268"/>
    </row>
    <row r="44" spans="1:13" ht="15.75">
      <c r="A44" s="405" t="s">
        <v>601</v>
      </c>
      <c r="B44" s="404"/>
      <c r="C44" s="404"/>
      <c r="D44" s="404"/>
      <c r="E44" s="396"/>
      <c r="F44" s="396"/>
      <c r="G44" s="396"/>
      <c r="H44" s="396"/>
      <c r="I44" s="268"/>
    </row>
    <row r="45" spans="1:13" ht="15.75">
      <c r="A45" s="405" t="s">
        <v>602</v>
      </c>
      <c r="B45" s="404"/>
      <c r="C45" s="404"/>
      <c r="D45" s="404"/>
      <c r="E45" s="396"/>
      <c r="F45" s="396"/>
      <c r="G45" s="396"/>
      <c r="H45" s="396"/>
      <c r="I45" s="268"/>
    </row>
    <row r="46" spans="1:13" ht="15.75">
      <c r="A46" s="405"/>
      <c r="B46" s="404"/>
      <c r="C46" s="404"/>
      <c r="D46" s="404"/>
      <c r="E46" s="396"/>
      <c r="F46" s="396"/>
      <c r="G46" s="396"/>
      <c r="H46" s="396"/>
      <c r="I46" s="268"/>
    </row>
    <row r="47" spans="1:13" ht="15.75">
      <c r="A47" s="405" t="s">
        <v>603</v>
      </c>
      <c r="B47" s="404"/>
      <c r="C47" s="404"/>
      <c r="D47" s="404"/>
      <c r="E47" s="396"/>
      <c r="F47" s="396"/>
      <c r="G47" s="396"/>
      <c r="H47" s="396"/>
      <c r="I47" s="268"/>
    </row>
    <row r="48" spans="1:13" ht="15.75">
      <c r="A48" s="405" t="s">
        <v>604</v>
      </c>
      <c r="B48" s="404"/>
      <c r="C48" s="404"/>
      <c r="D48" s="404"/>
      <c r="E48" s="396"/>
      <c r="F48" s="396"/>
      <c r="G48" s="396"/>
      <c r="H48" s="396"/>
      <c r="I48" s="268"/>
    </row>
    <row r="49" spans="1:9" ht="15.75">
      <c r="A49" s="405" t="s">
        <v>605</v>
      </c>
      <c r="B49" s="404"/>
      <c r="C49" s="404"/>
      <c r="D49" s="404"/>
      <c r="E49" s="396"/>
      <c r="F49" s="396"/>
      <c r="G49" s="396"/>
      <c r="H49" s="396"/>
      <c r="I49" s="268"/>
    </row>
    <row r="50" spans="1:9" ht="15.75">
      <c r="A50" s="272"/>
      <c r="B50" s="404"/>
      <c r="C50" s="404"/>
      <c r="D50" s="404"/>
      <c r="E50" s="396"/>
      <c r="F50" s="396"/>
      <c r="G50" s="396"/>
      <c r="H50" s="396"/>
      <c r="I50" s="268"/>
    </row>
    <row r="51" spans="1:9" ht="15.75">
      <c r="A51" s="273" t="s">
        <v>606</v>
      </c>
      <c r="B51" s="404"/>
      <c r="C51" s="269"/>
      <c r="D51" s="269"/>
      <c r="E51" s="396"/>
      <c r="F51" s="396"/>
      <c r="G51" s="396"/>
      <c r="H51" s="396"/>
      <c r="I51" s="268"/>
    </row>
    <row r="52" spans="1:9" ht="15.75">
      <c r="A52" s="273" t="s">
        <v>722</v>
      </c>
      <c r="B52" s="404"/>
      <c r="C52" s="404"/>
      <c r="D52" s="404"/>
      <c r="E52" s="396"/>
      <c r="F52" s="396"/>
      <c r="G52" s="396"/>
      <c r="H52" s="396"/>
      <c r="I52" s="268"/>
    </row>
    <row r="53" spans="1:9" ht="15.75">
      <c r="A53" s="396"/>
      <c r="B53" s="396"/>
      <c r="C53" s="396"/>
      <c r="D53" s="396"/>
      <c r="E53" s="396"/>
      <c r="F53" s="396"/>
      <c r="G53" s="396"/>
      <c r="H53" s="396"/>
      <c r="I53" s="268"/>
    </row>
    <row r="54" spans="1:9" ht="15.75">
      <c r="A54" s="446"/>
      <c r="B54" s="396"/>
      <c r="C54" s="396"/>
      <c r="D54" s="396"/>
      <c r="E54" s="396"/>
      <c r="F54" s="396"/>
      <c r="G54" s="396"/>
      <c r="H54" s="396"/>
      <c r="I54" s="268"/>
    </row>
    <row r="55" spans="1:9" ht="15.75">
      <c r="A55" s="396"/>
      <c r="B55" s="396"/>
      <c r="C55" s="396"/>
      <c r="D55" s="396"/>
      <c r="E55" s="396"/>
      <c r="F55" s="396"/>
      <c r="G55" s="396"/>
      <c r="H55" s="396"/>
      <c r="I55" s="268"/>
    </row>
    <row r="56" spans="1:9" ht="15.75">
      <c r="A56" s="396"/>
      <c r="B56" s="396"/>
      <c r="C56" s="396"/>
      <c r="D56" s="396"/>
      <c r="E56" s="396"/>
      <c r="F56" s="396"/>
      <c r="G56" s="396"/>
      <c r="H56" s="396"/>
      <c r="I56" s="268"/>
    </row>
    <row r="57" spans="1:9" ht="15.75">
      <c r="A57" s="396"/>
      <c r="B57" s="396"/>
      <c r="C57" s="396"/>
      <c r="D57" s="396"/>
      <c r="E57" s="396"/>
      <c r="F57" s="396"/>
      <c r="G57" s="396"/>
      <c r="H57" s="396"/>
      <c r="I57" s="268"/>
    </row>
    <row r="58" spans="1:9" ht="15.75">
      <c r="A58" s="396"/>
      <c r="B58" s="396"/>
      <c r="C58" s="396"/>
      <c r="D58" s="396"/>
      <c r="E58" s="396"/>
      <c r="F58" s="396"/>
      <c r="G58" s="396"/>
      <c r="H58" s="396"/>
      <c r="I58" s="268"/>
    </row>
    <row r="59" spans="1:9" ht="15.75">
      <c r="I59" s="268"/>
    </row>
    <row r="60" spans="1:9" ht="15.75">
      <c r="I60" s="268"/>
    </row>
    <row r="61" spans="1:9" ht="15.75">
      <c r="I61" s="268"/>
    </row>
    <row r="62" spans="1:9" ht="15.75">
      <c r="I62" s="268"/>
    </row>
    <row r="63" spans="1:9" ht="15.75">
      <c r="I63" s="268"/>
    </row>
    <row r="64" spans="1:9" ht="15.75">
      <c r="I64" s="268"/>
    </row>
    <row r="65" spans="9:9" ht="15.75">
      <c r="I65" s="268"/>
    </row>
    <row r="66" spans="9:9" ht="15.75">
      <c r="I66" s="268"/>
    </row>
    <row r="67" spans="9:9" ht="15.75">
      <c r="I67" s="271"/>
    </row>
    <row r="68" spans="9:9" ht="15.75">
      <c r="I68" s="271"/>
    </row>
    <row r="69" spans="9:9" ht="15.75">
      <c r="I69" s="271"/>
    </row>
  </sheetData>
  <pageMargins left="0.7" right="0.7" top="0.75" bottom="0.75" header="0.3" footer="0.3"/>
  <pageSetup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5"/>
  <sheetViews>
    <sheetView zoomScaleNormal="100" workbookViewId="0"/>
  </sheetViews>
  <sheetFormatPr defaultRowHeight="15"/>
  <cols>
    <col min="1" max="1" width="18.77734375" customWidth="1"/>
  </cols>
  <sheetData>
    <row r="1" spans="1:9" ht="20.25">
      <c r="A1" s="282" t="str">
        <f>'6 - WP - Divisor'!A1</f>
        <v>Jasper-Newton Electric Cooperative</v>
      </c>
      <c r="B1" s="278"/>
      <c r="C1" s="278"/>
      <c r="D1" s="274"/>
      <c r="E1" s="274"/>
      <c r="F1" s="274"/>
      <c r="G1" s="274"/>
      <c r="H1" s="274"/>
      <c r="I1" s="274"/>
    </row>
    <row r="2" spans="1:9" ht="20.25">
      <c r="A2" s="282" t="str">
        <f>'6 - WP - Divisor'!A2</f>
        <v>For the Year ended 12/31/2017</v>
      </c>
      <c r="B2" s="278"/>
      <c r="C2" s="278"/>
      <c r="D2" s="274"/>
      <c r="E2" s="274"/>
      <c r="F2" s="274"/>
      <c r="G2" s="274"/>
      <c r="H2" s="274"/>
      <c r="I2" s="274"/>
    </row>
    <row r="3" spans="1:9" ht="33.75">
      <c r="A3" s="358" t="s">
        <v>537</v>
      </c>
      <c r="B3" s="359"/>
      <c r="C3" s="278"/>
      <c r="D3" s="274"/>
      <c r="E3" s="274"/>
      <c r="F3" s="274"/>
      <c r="G3" s="274"/>
      <c r="H3" s="274"/>
      <c r="I3" s="274"/>
    </row>
    <row r="4" spans="1:9" ht="20.25">
      <c r="A4" s="278" t="s">
        <v>607</v>
      </c>
      <c r="B4" s="278"/>
      <c r="C4" s="278"/>
      <c r="D4" s="274"/>
      <c r="E4" s="274"/>
      <c r="F4" s="274"/>
      <c r="G4" s="274"/>
      <c r="H4" s="274"/>
      <c r="I4" s="274"/>
    </row>
    <row r="5" spans="1:9" ht="20.25">
      <c r="A5" s="278"/>
      <c r="B5" s="278"/>
      <c r="C5" s="340" t="s">
        <v>662</v>
      </c>
      <c r="D5" s="340" t="s">
        <v>663</v>
      </c>
      <c r="E5" s="274"/>
      <c r="F5" s="274"/>
      <c r="G5" s="274"/>
      <c r="H5" s="274"/>
      <c r="I5" s="274"/>
    </row>
    <row r="6" spans="1:9" ht="15.75">
      <c r="A6" s="277" t="s">
        <v>557</v>
      </c>
      <c r="B6" s="274"/>
      <c r="C6" s="277" t="s">
        <v>608</v>
      </c>
      <c r="D6" s="277" t="s">
        <v>664</v>
      </c>
      <c r="E6" s="274"/>
      <c r="F6" s="274"/>
      <c r="G6" s="274"/>
      <c r="H6" s="274"/>
      <c r="I6" s="274"/>
    </row>
    <row r="7" spans="1:9" ht="15.75">
      <c r="A7" s="275" t="s">
        <v>596</v>
      </c>
      <c r="B7" s="274"/>
      <c r="C7" s="341">
        <v>0</v>
      </c>
      <c r="D7" s="341">
        <v>0</v>
      </c>
      <c r="E7" s="274"/>
      <c r="F7" s="274"/>
      <c r="G7" s="274"/>
      <c r="H7" s="274"/>
      <c r="I7" s="274"/>
    </row>
    <row r="8" spans="1:9" ht="15.75">
      <c r="A8" s="275" t="s">
        <v>596</v>
      </c>
      <c r="B8" s="274"/>
      <c r="C8" s="342">
        <v>0</v>
      </c>
      <c r="D8" s="342">
        <v>0</v>
      </c>
      <c r="E8" s="274"/>
      <c r="F8" s="274"/>
      <c r="G8" s="274"/>
      <c r="H8" s="274"/>
      <c r="I8" s="274"/>
    </row>
    <row r="9" spans="1:9" ht="15.75">
      <c r="A9" s="275" t="s">
        <v>596</v>
      </c>
      <c r="B9" s="274"/>
      <c r="C9" s="342">
        <v>0</v>
      </c>
      <c r="D9" s="342">
        <v>0</v>
      </c>
      <c r="E9" s="274"/>
      <c r="F9" s="274"/>
      <c r="G9" s="274"/>
      <c r="H9" s="274"/>
      <c r="I9" s="274"/>
    </row>
    <row r="10" spans="1:9" ht="15.75">
      <c r="A10" s="275" t="s">
        <v>596</v>
      </c>
      <c r="B10" s="274"/>
      <c r="C10" s="342">
        <v>0</v>
      </c>
      <c r="D10" s="342">
        <v>0</v>
      </c>
      <c r="E10" s="274"/>
      <c r="F10" s="274"/>
      <c r="G10" s="274"/>
      <c r="H10" s="274"/>
      <c r="I10" s="274"/>
    </row>
    <row r="11" spans="1:9" ht="15.75">
      <c r="A11" s="275" t="s">
        <v>596</v>
      </c>
      <c r="B11" s="274"/>
      <c r="C11" s="343">
        <v>0</v>
      </c>
      <c r="D11" s="343">
        <v>0</v>
      </c>
      <c r="E11" s="274"/>
      <c r="F11" s="274"/>
      <c r="G11" s="274"/>
      <c r="H11" s="274"/>
      <c r="I11" s="274"/>
    </row>
    <row r="12" spans="1:9" ht="15.75">
      <c r="A12" s="275" t="s">
        <v>596</v>
      </c>
      <c r="B12" s="274"/>
      <c r="C12" s="344">
        <v>0</v>
      </c>
      <c r="D12" s="344">
        <v>0</v>
      </c>
      <c r="E12" s="274"/>
      <c r="F12" s="274"/>
      <c r="G12" s="274"/>
      <c r="H12" s="274"/>
      <c r="I12" s="274"/>
    </row>
    <row r="13" spans="1:9" ht="15.75">
      <c r="A13" s="274" t="s">
        <v>6</v>
      </c>
      <c r="B13" s="274"/>
      <c r="C13" s="345">
        <v>0</v>
      </c>
      <c r="D13" s="345">
        <v>0</v>
      </c>
      <c r="E13" s="280" t="s">
        <v>609</v>
      </c>
      <c r="F13" s="280"/>
      <c r="G13" s="280"/>
      <c r="H13" s="280"/>
      <c r="I13" s="280"/>
    </row>
    <row r="14" spans="1:9" ht="15.75">
      <c r="A14" s="274"/>
      <c r="B14" s="274"/>
      <c r="C14" s="274"/>
      <c r="D14" s="274"/>
      <c r="E14" s="280"/>
      <c r="F14" s="280"/>
      <c r="G14" s="280"/>
      <c r="H14" s="280"/>
      <c r="I14" s="280"/>
    </row>
    <row r="16" spans="1:9" ht="15.75">
      <c r="A16" s="274" t="s">
        <v>610</v>
      </c>
      <c r="B16" s="274"/>
      <c r="C16" s="274"/>
      <c r="D16" s="274"/>
      <c r="E16" s="274"/>
      <c r="F16" s="274"/>
      <c r="G16" s="274"/>
      <c r="H16" s="274"/>
      <c r="I16" s="274"/>
    </row>
    <row r="17" spans="1:8" ht="15.75">
      <c r="A17" s="275" t="s">
        <v>611</v>
      </c>
      <c r="B17" s="274"/>
      <c r="C17" s="274"/>
      <c r="D17" s="274"/>
    </row>
    <row r="18" spans="1:8" ht="15.75">
      <c r="A18" s="275" t="s">
        <v>612</v>
      </c>
      <c r="B18" s="274"/>
      <c r="C18" s="274"/>
      <c r="D18" s="274"/>
    </row>
    <row r="19" spans="1:8" ht="15.75">
      <c r="A19" s="281" t="s">
        <v>613</v>
      </c>
      <c r="B19" s="274"/>
      <c r="C19" s="274"/>
      <c r="D19" s="274"/>
    </row>
    <row r="20" spans="1:8" ht="15.75">
      <c r="A20" s="279"/>
      <c r="B20" s="274"/>
      <c r="C20" s="274"/>
      <c r="D20" s="274"/>
    </row>
    <row r="21" spans="1:8" ht="15.75">
      <c r="A21" s="283" t="s">
        <v>614</v>
      </c>
      <c r="B21" s="274"/>
      <c r="C21" s="276"/>
      <c r="D21" s="276"/>
    </row>
    <row r="22" spans="1:8" ht="15.75">
      <c r="A22" s="283" t="s">
        <v>615</v>
      </c>
      <c r="B22" s="274"/>
      <c r="C22" s="274"/>
      <c r="D22" s="274"/>
    </row>
    <row r="24" spans="1:8" ht="15.75">
      <c r="B24" s="366" t="s">
        <v>681</v>
      </c>
      <c r="C24" s="357"/>
      <c r="D24" s="357"/>
      <c r="E24" s="357"/>
      <c r="F24" s="357"/>
      <c r="G24" s="357"/>
      <c r="H24" s="357"/>
    </row>
    <row r="25" spans="1:8" ht="15.75">
      <c r="B25" s="360" t="s">
        <v>665</v>
      </c>
      <c r="C25" s="357"/>
      <c r="D25" s="357"/>
      <c r="E25" s="357"/>
      <c r="F25" s="357"/>
      <c r="G25" s="357"/>
      <c r="H25" s="357"/>
    </row>
  </sheetData>
  <pageMargins left="0.7" right="0.7" top="0.75" bottom="0.75" header="0.3" footer="0.3"/>
  <pageSetup scale="8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zoomScaleNormal="100" workbookViewId="0"/>
  </sheetViews>
  <sheetFormatPr defaultRowHeight="15"/>
  <cols>
    <col min="1" max="1" width="22.77734375" customWidth="1"/>
    <col min="2" max="2" width="18.21875" customWidth="1"/>
    <col min="3" max="3" width="12.44140625" customWidth="1"/>
    <col min="4" max="4" width="12.44140625" bestFit="1" customWidth="1"/>
    <col min="5" max="5" width="13.88671875" customWidth="1"/>
    <col min="8" max="8" width="18" customWidth="1"/>
  </cols>
  <sheetData>
    <row r="1" spans="1:5" ht="20.25">
      <c r="A1" s="289" t="str">
        <f>'6 - WP - Divisor'!A1</f>
        <v>Jasper-Newton Electric Cooperative</v>
      </c>
      <c r="B1" s="286"/>
      <c r="C1" s="286"/>
      <c r="D1" s="286"/>
      <c r="E1" s="286"/>
    </row>
    <row r="2" spans="1:5" ht="20.25">
      <c r="A2" s="289" t="str">
        <f>'6 - WP - Divisor'!A2</f>
        <v>For the Year ended 12/31/2017</v>
      </c>
      <c r="B2" s="286"/>
      <c r="C2" s="286"/>
      <c r="D2" s="286"/>
      <c r="E2" s="286"/>
    </row>
    <row r="3" spans="1:5" ht="20.25">
      <c r="A3" s="286"/>
      <c r="B3" s="286"/>
      <c r="C3" s="286"/>
      <c r="D3" s="286"/>
      <c r="E3" s="286"/>
    </row>
    <row r="4" spans="1:5" ht="20.25">
      <c r="A4" s="286" t="s">
        <v>616</v>
      </c>
      <c r="B4" s="286"/>
      <c r="C4" s="286"/>
      <c r="D4" s="286"/>
      <c r="E4" s="286"/>
    </row>
    <row r="7" spans="1:5" ht="15.75">
      <c r="A7" s="369" t="s">
        <v>540</v>
      </c>
      <c r="B7" s="339">
        <v>0</v>
      </c>
    </row>
    <row r="8" spans="1:5" ht="15.75">
      <c r="A8" s="369" t="s">
        <v>44</v>
      </c>
      <c r="B8" s="339">
        <f>SUM(C54:C56)</f>
        <v>32654.230000000003</v>
      </c>
      <c r="C8" s="284"/>
      <c r="D8" s="284" t="s">
        <v>617</v>
      </c>
      <c r="E8" s="284"/>
    </row>
    <row r="9" spans="1:5" ht="15.75">
      <c r="A9" s="369" t="s">
        <v>650</v>
      </c>
      <c r="B9" s="339">
        <f>SUM(C57:C76)+C53</f>
        <v>2196065.69</v>
      </c>
      <c r="C9" s="284"/>
      <c r="D9" s="284" t="s">
        <v>618</v>
      </c>
      <c r="E9" s="284"/>
    </row>
    <row r="10" spans="1:5" ht="15.75">
      <c r="A10" s="369" t="s">
        <v>673</v>
      </c>
      <c r="B10" s="339">
        <f>SUM(C77:C81)</f>
        <v>1084843.05</v>
      </c>
      <c r="C10" s="284"/>
      <c r="D10" s="284" t="s">
        <v>619</v>
      </c>
      <c r="E10" s="284"/>
    </row>
    <row r="11" spans="1:5" ht="15.75">
      <c r="A11" s="369" t="s">
        <v>674</v>
      </c>
      <c r="B11" s="372">
        <f>SUM(C82:C84)</f>
        <v>50401.76999999999</v>
      </c>
      <c r="C11" s="284"/>
      <c r="D11" s="373" t="s">
        <v>619</v>
      </c>
      <c r="E11" s="284"/>
    </row>
    <row r="12" spans="1:5" ht="15.75">
      <c r="A12" s="370" t="s">
        <v>675</v>
      </c>
      <c r="B12" s="372">
        <f>SUM(C85)</f>
        <v>0</v>
      </c>
      <c r="C12" s="284"/>
      <c r="D12" s="373" t="s">
        <v>619</v>
      </c>
      <c r="E12" s="284"/>
    </row>
    <row r="13" spans="1:5" ht="15.75">
      <c r="A13" s="554" t="s">
        <v>827</v>
      </c>
      <c r="B13" s="372">
        <f>SUM(C86:C94)</f>
        <v>623383.15999999992</v>
      </c>
      <c r="C13" s="284"/>
      <c r="D13" s="284"/>
      <c r="E13" s="284"/>
    </row>
    <row r="14" spans="1:5" ht="15.75">
      <c r="A14" s="338" t="s">
        <v>659</v>
      </c>
      <c r="B14" s="371">
        <f>SUM(B7:B13)</f>
        <v>3987347.8999999994</v>
      </c>
      <c r="C14" s="284"/>
      <c r="E14" s="284"/>
    </row>
    <row r="15" spans="1:5" ht="18">
      <c r="A15" s="440" t="s">
        <v>718</v>
      </c>
      <c r="B15" s="212">
        <f>B14-B13</f>
        <v>3363964.7399999993</v>
      </c>
      <c r="C15" s="284"/>
      <c r="D15" s="336" t="s">
        <v>660</v>
      </c>
      <c r="E15" s="284"/>
    </row>
    <row r="16" spans="1:5" ht="15.75">
      <c r="B16" s="361" t="s">
        <v>670</v>
      </c>
      <c r="C16" s="362"/>
      <c r="D16" s="284"/>
      <c r="E16" s="441"/>
    </row>
    <row r="17" spans="1:16" ht="15.75">
      <c r="A17" s="337"/>
      <c r="B17" s="285"/>
      <c r="C17" s="284"/>
      <c r="D17" s="284"/>
      <c r="E17" s="442"/>
    </row>
    <row r="18" spans="1:16" ht="15.75">
      <c r="A18" s="284"/>
      <c r="B18" s="284"/>
      <c r="C18" s="284"/>
      <c r="D18" s="479">
        <f>B14-E40</f>
        <v>0</v>
      </c>
      <c r="E18" s="284"/>
    </row>
    <row r="20" spans="1:16" ht="15.75">
      <c r="A20" s="443" t="s">
        <v>716</v>
      </c>
      <c r="B20" s="284"/>
      <c r="C20" s="284"/>
      <c r="D20" s="284"/>
      <c r="E20" s="284"/>
    </row>
    <row r="21" spans="1:16" ht="15.75">
      <c r="A21" s="443" t="s">
        <v>717</v>
      </c>
    </row>
    <row r="22" spans="1:16" ht="15.75">
      <c r="A22" s="444" t="s">
        <v>719</v>
      </c>
    </row>
    <row r="23" spans="1:16" ht="15.75">
      <c r="A23" s="445" t="s">
        <v>720</v>
      </c>
    </row>
    <row r="24" spans="1:16" ht="15.75">
      <c r="A24" s="287"/>
    </row>
    <row r="25" spans="1:16" ht="15.75">
      <c r="A25" s="389" t="s">
        <v>678</v>
      </c>
    </row>
    <row r="26" spans="1:16" ht="15.75">
      <c r="A26" s="288"/>
    </row>
    <row r="27" spans="1:16">
      <c r="A27" s="318"/>
      <c r="D27" s="318"/>
      <c r="E27" s="318"/>
      <c r="F27" s="318"/>
      <c r="G27" s="318"/>
    </row>
    <row r="28" spans="1:16" ht="15.75">
      <c r="A28" s="374"/>
      <c r="B28" s="679" t="s">
        <v>825</v>
      </c>
      <c r="C28" s="680"/>
      <c r="D28" s="375"/>
      <c r="E28" s="375"/>
      <c r="F28" s="375"/>
      <c r="G28" s="375"/>
      <c r="H28" s="375"/>
      <c r="I28" s="454"/>
      <c r="J28" s="454"/>
      <c r="K28" s="454"/>
      <c r="L28" s="454"/>
      <c r="M28" s="454"/>
      <c r="N28" s="454"/>
      <c r="O28" s="454"/>
      <c r="P28" s="454"/>
    </row>
    <row r="29" spans="1:16" ht="15.75">
      <c r="A29" s="374"/>
      <c r="B29" s="381" t="s">
        <v>676</v>
      </c>
      <c r="C29" s="382" t="s">
        <v>677</v>
      </c>
      <c r="D29" s="375"/>
      <c r="E29" s="375"/>
      <c r="F29" s="375"/>
      <c r="G29" s="375"/>
      <c r="H29" s="375"/>
      <c r="I29" s="454"/>
      <c r="J29" s="454"/>
      <c r="K29" s="454"/>
      <c r="L29" s="454"/>
      <c r="M29" s="454"/>
      <c r="N29" s="454"/>
      <c r="O29" s="454"/>
      <c r="P29" s="454"/>
    </row>
    <row r="30" spans="1:16" ht="15.75">
      <c r="A30" s="550"/>
      <c r="B30" s="380">
        <v>107.2</v>
      </c>
      <c r="C30" s="452">
        <v>1175278.22</v>
      </c>
      <c r="D30" s="375"/>
      <c r="E30" s="375"/>
      <c r="F30" s="375"/>
      <c r="G30" s="375"/>
      <c r="I30" s="454"/>
      <c r="J30" s="454"/>
      <c r="K30" s="454"/>
      <c r="L30" s="454"/>
      <c r="M30" s="454"/>
      <c r="N30" s="454"/>
      <c r="O30" s="454"/>
      <c r="P30" s="454"/>
    </row>
    <row r="31" spans="1:16" ht="15.75">
      <c r="A31" s="550"/>
      <c r="B31" s="380">
        <v>107.43</v>
      </c>
      <c r="C31" s="452">
        <v>402.16</v>
      </c>
      <c r="D31" s="375"/>
      <c r="E31" s="375"/>
      <c r="F31" s="375"/>
      <c r="G31" s="375"/>
      <c r="I31" s="454"/>
      <c r="J31" s="454"/>
      <c r="K31" s="454"/>
      <c r="L31" s="454"/>
      <c r="M31" s="454"/>
      <c r="N31" s="454"/>
      <c r="O31" s="454"/>
      <c r="P31" s="454"/>
    </row>
    <row r="32" spans="1:16" ht="15.75">
      <c r="A32" s="550"/>
      <c r="B32" s="380">
        <v>107.46</v>
      </c>
      <c r="C32" s="452">
        <v>6139.09</v>
      </c>
      <c r="D32" s="375"/>
      <c r="E32" s="375"/>
      <c r="F32" s="375"/>
      <c r="G32" s="375"/>
      <c r="I32" s="454"/>
      <c r="J32" s="454"/>
      <c r="K32" s="454"/>
      <c r="L32" s="454"/>
      <c r="M32" s="454"/>
      <c r="N32" s="454"/>
      <c r="O32" s="454"/>
      <c r="P32" s="454"/>
    </row>
    <row r="33" spans="1:16" ht="15.75">
      <c r="A33" s="550"/>
      <c r="B33" s="380">
        <v>107.48</v>
      </c>
      <c r="C33" s="452">
        <v>4333.79</v>
      </c>
      <c r="D33" s="375"/>
      <c r="E33" s="375"/>
      <c r="F33" s="375"/>
      <c r="G33" s="375"/>
      <c r="I33" s="454"/>
      <c r="J33" s="454"/>
      <c r="K33" s="454"/>
      <c r="L33" s="454"/>
      <c r="M33" s="454"/>
      <c r="N33" s="454"/>
      <c r="O33" s="454"/>
      <c r="P33" s="454"/>
    </row>
    <row r="34" spans="1:16" ht="15.75">
      <c r="A34" s="550"/>
      <c r="B34" s="380">
        <v>107.49</v>
      </c>
      <c r="C34" s="452">
        <v>630.20000000000005</v>
      </c>
      <c r="D34" s="375"/>
      <c r="E34" s="375"/>
      <c r="F34" s="375"/>
      <c r="G34" s="375"/>
      <c r="I34" s="454"/>
      <c r="J34" s="454"/>
      <c r="K34" s="454"/>
      <c r="L34" s="454"/>
      <c r="M34" s="454"/>
      <c r="N34" s="454"/>
      <c r="O34" s="454"/>
      <c r="P34" s="454"/>
    </row>
    <row r="35" spans="1:16" ht="15.75">
      <c r="A35" s="550"/>
      <c r="B35" s="380">
        <v>107.5</v>
      </c>
      <c r="C35" s="452">
        <v>643.72</v>
      </c>
      <c r="D35" s="453"/>
      <c r="E35" s="417"/>
      <c r="F35" s="466"/>
      <c r="G35" s="443"/>
      <c r="I35" s="454"/>
      <c r="J35" s="454"/>
      <c r="K35" s="454"/>
      <c r="L35" s="454"/>
      <c r="M35" s="454"/>
      <c r="N35" s="454"/>
      <c r="O35" s="454"/>
      <c r="P35" s="454"/>
    </row>
    <row r="36" spans="1:16" ht="15.75">
      <c r="A36" s="550"/>
      <c r="B36" s="380">
        <v>107.9</v>
      </c>
      <c r="C36" s="452">
        <v>1412.16</v>
      </c>
      <c r="D36" s="375"/>
      <c r="E36" s="417"/>
      <c r="F36" s="466"/>
      <c r="G36" s="443"/>
      <c r="I36" s="454"/>
      <c r="J36" s="454"/>
      <c r="K36" s="454"/>
      <c r="L36" s="454"/>
      <c r="M36" s="454"/>
      <c r="N36" s="454"/>
      <c r="O36" s="454"/>
      <c r="P36" s="454"/>
    </row>
    <row r="37" spans="1:16" ht="15.75">
      <c r="A37" s="550"/>
      <c r="B37" s="380">
        <v>108.8</v>
      </c>
      <c r="C37" s="452">
        <v>234315.47999999998</v>
      </c>
      <c r="D37" s="417" t="s">
        <v>781</v>
      </c>
      <c r="E37" s="466">
        <f>SUM(C30:C37)</f>
        <v>1423154.8199999998</v>
      </c>
      <c r="F37" s="443" t="s">
        <v>741</v>
      </c>
      <c r="G37" s="552"/>
      <c r="I37" s="454"/>
      <c r="J37" s="454"/>
      <c r="K37" s="454"/>
      <c r="L37" s="454"/>
      <c r="M37" s="454"/>
      <c r="N37" s="454"/>
      <c r="O37" s="454"/>
      <c r="P37" s="454"/>
    </row>
    <row r="38" spans="1:16" ht="15.75">
      <c r="A38" s="550"/>
      <c r="B38" s="380">
        <v>143.13</v>
      </c>
      <c r="C38" s="452">
        <v>5975.77</v>
      </c>
      <c r="D38" s="417" t="s">
        <v>782</v>
      </c>
      <c r="E38" s="466">
        <f>SUM(C38)</f>
        <v>5975.77</v>
      </c>
      <c r="F38" s="443" t="s">
        <v>742</v>
      </c>
      <c r="G38" s="552"/>
      <c r="I38" s="454"/>
      <c r="J38" s="454"/>
      <c r="K38" s="454"/>
      <c r="L38" s="454"/>
      <c r="M38" s="454"/>
      <c r="N38" s="454"/>
      <c r="O38" s="454"/>
      <c r="P38" s="454"/>
    </row>
    <row r="39" spans="1:16" ht="15.75">
      <c r="A39" s="550"/>
      <c r="B39" s="380">
        <v>163</v>
      </c>
      <c r="C39" s="452">
        <v>208210.48</v>
      </c>
      <c r="D39" s="417" t="s">
        <v>826</v>
      </c>
      <c r="E39" s="466">
        <f>SUM(C39:C52)</f>
        <v>1503488.61</v>
      </c>
      <c r="F39" s="443" t="s">
        <v>743</v>
      </c>
      <c r="G39" s="552"/>
      <c r="I39" s="454"/>
      <c r="J39" s="454"/>
      <c r="K39" s="454"/>
      <c r="L39" s="454"/>
      <c r="M39" s="454"/>
      <c r="N39" s="454"/>
      <c r="O39" s="454"/>
      <c r="P39" s="454"/>
    </row>
    <row r="40" spans="1:16" ht="15.75">
      <c r="A40" s="550"/>
      <c r="B40" s="380">
        <v>184.1</v>
      </c>
      <c r="C40" s="452">
        <v>20047.810000000001</v>
      </c>
      <c r="D40" s="417" t="s">
        <v>783</v>
      </c>
      <c r="E40" s="467">
        <f>SUM(C53:C94)</f>
        <v>3987347.9000000004</v>
      </c>
      <c r="F40" s="468" t="s">
        <v>744</v>
      </c>
      <c r="G40" s="552"/>
      <c r="I40" s="454"/>
      <c r="J40" s="454"/>
      <c r="K40" s="454"/>
      <c r="L40" s="454"/>
      <c r="M40" s="454"/>
      <c r="N40" s="454"/>
      <c r="O40" s="454"/>
      <c r="P40" s="454"/>
    </row>
    <row r="41" spans="1:16" ht="15.75">
      <c r="A41" s="550"/>
      <c r="B41" s="380">
        <v>184.2</v>
      </c>
      <c r="C41" s="452">
        <v>58153.54</v>
      </c>
      <c r="D41" s="553"/>
      <c r="E41" s="552"/>
      <c r="F41" s="552"/>
      <c r="G41" s="552"/>
      <c r="I41" s="454"/>
      <c r="J41" s="454"/>
      <c r="K41" s="454"/>
      <c r="L41" s="454"/>
      <c r="M41" s="454"/>
      <c r="N41" s="454"/>
      <c r="O41" s="454"/>
      <c r="P41" s="454"/>
    </row>
    <row r="42" spans="1:16" ht="15.75">
      <c r="A42" s="550"/>
      <c r="B42" s="380">
        <v>184.3</v>
      </c>
      <c r="C42" s="452">
        <v>73098.679999999993</v>
      </c>
      <c r="D42" s="553"/>
      <c r="E42" s="466">
        <f>SUM(E37:E41)</f>
        <v>6919967.1000000006</v>
      </c>
      <c r="F42" s="552"/>
      <c r="G42" s="552"/>
      <c r="I42" s="454"/>
      <c r="J42" s="454"/>
      <c r="K42" s="454"/>
      <c r="L42" s="454"/>
      <c r="M42" s="454"/>
      <c r="N42" s="454"/>
      <c r="O42" s="454"/>
      <c r="P42" s="454"/>
    </row>
    <row r="43" spans="1:16" ht="15.75">
      <c r="A43" s="550"/>
      <c r="B43" s="380">
        <v>184.6</v>
      </c>
      <c r="C43" s="452">
        <v>17115.309999999998</v>
      </c>
      <c r="D43" s="375"/>
      <c r="E43" s="375"/>
      <c r="F43" s="375"/>
      <c r="G43" s="375"/>
      <c r="I43" s="454"/>
      <c r="J43" s="454"/>
      <c r="K43" s="454"/>
      <c r="L43" s="454"/>
      <c r="M43" s="454"/>
      <c r="N43" s="454"/>
      <c r="O43" s="454"/>
      <c r="P43" s="454"/>
    </row>
    <row r="44" spans="1:16" ht="15.75">
      <c r="A44" s="550"/>
      <c r="B44" s="380">
        <v>184.7</v>
      </c>
      <c r="C44" s="452">
        <v>27066.09</v>
      </c>
      <c r="D44" s="375"/>
      <c r="E44" s="375"/>
      <c r="F44" s="375"/>
      <c r="G44" s="375"/>
      <c r="I44" s="454"/>
      <c r="J44" s="454"/>
      <c r="K44" s="454"/>
      <c r="L44" s="454"/>
      <c r="M44" s="454"/>
      <c r="N44" s="454"/>
      <c r="O44" s="454"/>
      <c r="P44" s="454"/>
    </row>
    <row r="45" spans="1:16" ht="15.75">
      <c r="A45" s="550"/>
      <c r="B45" s="380">
        <v>184.8</v>
      </c>
      <c r="C45" s="452">
        <v>22902.030000000002</v>
      </c>
      <c r="D45" s="375"/>
      <c r="E45" s="375"/>
      <c r="F45" s="375"/>
      <c r="G45" s="375"/>
      <c r="I45" s="454"/>
      <c r="J45" s="454"/>
      <c r="K45" s="454"/>
      <c r="L45" s="454"/>
      <c r="M45" s="454"/>
      <c r="N45" s="454"/>
      <c r="O45" s="454"/>
      <c r="P45" s="454"/>
    </row>
    <row r="46" spans="1:16" ht="15.75">
      <c r="A46" s="550"/>
      <c r="B46" s="380">
        <v>184.9</v>
      </c>
      <c r="C46" s="452">
        <v>551.95000000000005</v>
      </c>
      <c r="D46" s="375"/>
      <c r="E46" s="375"/>
      <c r="F46" s="375"/>
      <c r="G46" s="375"/>
      <c r="I46" s="454"/>
      <c r="J46" s="454"/>
      <c r="K46" s="454"/>
      <c r="L46" s="454"/>
      <c r="M46" s="454"/>
      <c r="N46" s="454"/>
      <c r="O46" s="454"/>
      <c r="P46" s="454"/>
    </row>
    <row r="47" spans="1:16" ht="15.75">
      <c r="A47" s="550"/>
      <c r="B47" s="380">
        <v>184.95</v>
      </c>
      <c r="C47" s="452">
        <v>31562.05</v>
      </c>
      <c r="D47" s="375"/>
      <c r="E47" s="375"/>
      <c r="F47" s="375"/>
      <c r="G47" s="375"/>
      <c r="I47" s="454"/>
      <c r="J47" s="454"/>
      <c r="K47" s="454"/>
      <c r="L47" s="454"/>
      <c r="M47" s="454"/>
      <c r="N47" s="454"/>
      <c r="O47" s="454"/>
      <c r="P47" s="454"/>
    </row>
    <row r="48" spans="1:16" ht="15.75">
      <c r="A48" s="550"/>
      <c r="B48" s="380">
        <v>184.99</v>
      </c>
      <c r="C48" s="452">
        <v>106398.66</v>
      </c>
      <c r="D48" s="453"/>
      <c r="E48" s="375"/>
      <c r="F48" s="375"/>
      <c r="G48" s="375"/>
      <c r="I48" s="454"/>
      <c r="J48" s="454"/>
      <c r="K48" s="454"/>
      <c r="L48" s="454"/>
      <c r="M48" s="454"/>
      <c r="N48" s="454"/>
      <c r="O48" s="454"/>
      <c r="P48" s="454"/>
    </row>
    <row r="49" spans="1:16" ht="15.75">
      <c r="A49" s="550"/>
      <c r="B49" s="380">
        <v>232.72</v>
      </c>
      <c r="C49" s="452">
        <v>1171.2</v>
      </c>
      <c r="D49" s="454"/>
      <c r="E49" s="375"/>
      <c r="F49" s="375"/>
      <c r="G49" s="375"/>
      <c r="I49" s="454"/>
      <c r="J49" s="454"/>
      <c r="K49" s="454"/>
      <c r="L49" s="454"/>
      <c r="M49" s="454"/>
      <c r="N49" s="454"/>
      <c r="O49" s="454"/>
      <c r="P49" s="454"/>
    </row>
    <row r="50" spans="1:16" ht="15.75">
      <c r="A50" s="550"/>
      <c r="B50" s="380">
        <v>242.3</v>
      </c>
      <c r="C50" s="452">
        <v>936509.46000000008</v>
      </c>
      <c r="D50" s="375"/>
      <c r="E50" s="375"/>
      <c r="F50" s="375"/>
      <c r="G50" s="375"/>
      <c r="I50" s="454"/>
      <c r="J50" s="454"/>
      <c r="K50" s="454"/>
      <c r="L50" s="454"/>
      <c r="M50" s="454"/>
      <c r="N50" s="454"/>
      <c r="O50" s="454"/>
      <c r="P50" s="454"/>
    </row>
    <row r="51" spans="1:16" ht="15.75">
      <c r="A51" s="550"/>
      <c r="B51" s="380">
        <v>392.2</v>
      </c>
      <c r="C51" s="452">
        <v>159.94999999999999</v>
      </c>
      <c r="D51" s="375"/>
      <c r="E51" s="375"/>
      <c r="F51" s="375"/>
      <c r="G51" s="375"/>
      <c r="I51" s="454"/>
      <c r="J51" s="454"/>
      <c r="K51" s="454"/>
      <c r="L51" s="454"/>
      <c r="M51" s="454"/>
      <c r="N51" s="454"/>
      <c r="O51" s="454"/>
      <c r="P51" s="454"/>
    </row>
    <row r="52" spans="1:16" ht="15.75">
      <c r="A52" s="550"/>
      <c r="B52" s="380">
        <v>396.6</v>
      </c>
      <c r="C52" s="452">
        <v>541.4</v>
      </c>
      <c r="D52" s="375"/>
      <c r="E52" s="375"/>
      <c r="F52" s="375"/>
      <c r="G52" s="375"/>
      <c r="I52" s="454"/>
      <c r="J52" s="454"/>
      <c r="K52" s="454"/>
      <c r="L52" s="454"/>
      <c r="M52" s="454"/>
      <c r="N52" s="454"/>
      <c r="O52" s="454"/>
      <c r="P52" s="454"/>
    </row>
    <row r="53" spans="1:16" ht="15.75">
      <c r="A53" s="550"/>
      <c r="B53" s="380">
        <v>416.1</v>
      </c>
      <c r="C53" s="452">
        <v>9362.9200000000019</v>
      </c>
      <c r="D53" s="375"/>
      <c r="E53" s="375"/>
      <c r="F53" s="375"/>
      <c r="G53" s="375"/>
      <c r="I53" s="454"/>
      <c r="J53" s="454"/>
      <c r="K53" s="454"/>
      <c r="L53" s="454"/>
      <c r="M53" s="454"/>
      <c r="N53" s="454"/>
      <c r="O53" s="454"/>
      <c r="P53" s="454"/>
    </row>
    <row r="54" spans="1:16" ht="15.75">
      <c r="A54" s="550"/>
      <c r="B54" s="380">
        <v>562</v>
      </c>
      <c r="C54" s="452">
        <v>5801.2799999999988</v>
      </c>
      <c r="D54" s="375"/>
      <c r="E54" s="375"/>
      <c r="F54" s="375"/>
      <c r="G54" s="375"/>
      <c r="I54" s="454"/>
      <c r="J54" s="454"/>
      <c r="K54" s="454"/>
      <c r="L54" s="454"/>
      <c r="M54" s="454"/>
      <c r="N54" s="454"/>
      <c r="O54" s="454"/>
      <c r="P54" s="454"/>
    </row>
    <row r="55" spans="1:16" ht="15.75">
      <c r="A55" s="550"/>
      <c r="B55" s="380">
        <v>570</v>
      </c>
      <c r="C55" s="452">
        <v>20847.520000000004</v>
      </c>
      <c r="D55" s="376"/>
      <c r="E55" s="376"/>
      <c r="F55" s="375"/>
      <c r="G55" s="375"/>
      <c r="I55" s="454"/>
      <c r="J55" s="454"/>
      <c r="K55" s="454"/>
      <c r="L55" s="454"/>
      <c r="M55" s="454"/>
      <c r="N55" s="454"/>
      <c r="O55" s="454"/>
      <c r="P55" s="454"/>
    </row>
    <row r="56" spans="1:16" ht="15.75">
      <c r="A56" s="550"/>
      <c r="B56" s="380">
        <v>571</v>
      </c>
      <c r="C56" s="452">
        <v>6005.4300000000012</v>
      </c>
      <c r="D56" s="377"/>
      <c r="E56" s="377"/>
      <c r="F56" s="375"/>
      <c r="G56" s="375"/>
      <c r="I56" s="454"/>
      <c r="J56" s="454"/>
      <c r="K56" s="454"/>
      <c r="L56" s="454"/>
      <c r="M56" s="454"/>
      <c r="N56" s="454"/>
      <c r="O56" s="454"/>
      <c r="P56" s="454"/>
    </row>
    <row r="57" spans="1:16" ht="15.75">
      <c r="A57" s="550"/>
      <c r="B57" s="380">
        <v>583</v>
      </c>
      <c r="C57" s="452">
        <v>677331.63</v>
      </c>
      <c r="D57" s="375"/>
      <c r="E57" s="375"/>
      <c r="F57" s="375"/>
      <c r="G57" s="375"/>
      <c r="I57" s="454"/>
      <c r="J57" s="454"/>
      <c r="K57" s="454"/>
      <c r="L57" s="454"/>
      <c r="M57" s="454"/>
      <c r="N57" s="454"/>
      <c r="O57" s="454"/>
      <c r="P57" s="454"/>
    </row>
    <row r="58" spans="1:16" ht="15.75">
      <c r="A58" s="550"/>
      <c r="B58" s="380">
        <v>583.1</v>
      </c>
      <c r="C58" s="452">
        <v>29916.960000000003</v>
      </c>
      <c r="D58" s="378"/>
      <c r="E58" s="375"/>
      <c r="F58" s="375"/>
      <c r="G58" s="375"/>
      <c r="I58" s="454"/>
      <c r="J58" s="454"/>
      <c r="K58" s="454"/>
      <c r="L58" s="454"/>
      <c r="M58" s="454"/>
      <c r="N58" s="454"/>
      <c r="O58" s="454"/>
      <c r="P58" s="454"/>
    </row>
    <row r="59" spans="1:16" ht="15.75">
      <c r="A59" s="550"/>
      <c r="B59" s="380">
        <v>583.29999999999995</v>
      </c>
      <c r="C59" s="452">
        <v>1406.7199999999998</v>
      </c>
      <c r="D59" s="378"/>
      <c r="E59" s="375"/>
      <c r="F59" s="375"/>
      <c r="G59" s="375"/>
      <c r="I59" s="454"/>
      <c r="J59" s="454"/>
      <c r="K59" s="454"/>
      <c r="L59" s="454"/>
      <c r="M59" s="454"/>
      <c r="N59" s="454"/>
      <c r="O59" s="454"/>
      <c r="P59" s="454"/>
    </row>
    <row r="60" spans="1:16" ht="15.75">
      <c r="A60" s="550"/>
      <c r="B60" s="380">
        <v>583.4</v>
      </c>
      <c r="C60" s="452">
        <v>11151.68</v>
      </c>
      <c r="D60" s="379"/>
      <c r="E60" s="375"/>
      <c r="F60" s="375"/>
      <c r="G60" s="375"/>
      <c r="I60" s="454"/>
      <c r="J60" s="454"/>
      <c r="K60" s="454"/>
      <c r="L60" s="454"/>
      <c r="M60" s="454"/>
      <c r="N60" s="454"/>
      <c r="O60" s="454"/>
      <c r="P60" s="454"/>
    </row>
    <row r="61" spans="1:16" ht="15.75">
      <c r="A61" s="550"/>
      <c r="B61" s="380">
        <v>583.5</v>
      </c>
      <c r="C61" s="452">
        <v>0</v>
      </c>
      <c r="D61" s="378"/>
      <c r="E61" s="375"/>
      <c r="F61" s="375"/>
      <c r="G61" s="375"/>
      <c r="I61" s="454"/>
      <c r="J61" s="454"/>
      <c r="K61" s="454"/>
      <c r="L61" s="454"/>
      <c r="M61" s="454"/>
      <c r="N61" s="454"/>
      <c r="O61" s="454"/>
      <c r="P61" s="454"/>
    </row>
    <row r="62" spans="1:16" ht="15.75">
      <c r="A62" s="550"/>
      <c r="B62" s="380">
        <v>586</v>
      </c>
      <c r="C62" s="452">
        <v>28423.39</v>
      </c>
      <c r="D62" s="375"/>
      <c r="E62" s="375"/>
      <c r="F62" s="375"/>
      <c r="G62" s="375"/>
      <c r="I62" s="454"/>
      <c r="J62" s="454"/>
      <c r="K62" s="454"/>
      <c r="L62" s="454"/>
      <c r="M62" s="454"/>
      <c r="N62" s="454"/>
      <c r="O62" s="454"/>
      <c r="P62" s="454"/>
    </row>
    <row r="63" spans="1:16" ht="15.75">
      <c r="A63" s="550"/>
      <c r="B63" s="380">
        <v>587</v>
      </c>
      <c r="C63" s="452">
        <v>4775.119999999999</v>
      </c>
      <c r="D63" s="375"/>
      <c r="E63" s="375"/>
      <c r="F63" s="375"/>
      <c r="G63" s="375"/>
      <c r="I63" s="454"/>
      <c r="J63" s="454"/>
      <c r="K63" s="454"/>
      <c r="L63" s="454"/>
      <c r="M63" s="454"/>
      <c r="N63" s="454"/>
      <c r="O63" s="454"/>
      <c r="P63" s="454"/>
    </row>
    <row r="64" spans="1:16" ht="15.75">
      <c r="A64" s="550"/>
      <c r="B64" s="380">
        <v>588</v>
      </c>
      <c r="C64" s="452">
        <v>43795.38</v>
      </c>
      <c r="D64" s="375"/>
      <c r="E64" s="375"/>
      <c r="F64" s="375"/>
      <c r="G64" s="375"/>
      <c r="I64" s="454"/>
      <c r="J64" s="454"/>
      <c r="K64" s="454"/>
      <c r="L64" s="454"/>
      <c r="M64" s="454"/>
      <c r="N64" s="454"/>
      <c r="O64" s="454"/>
      <c r="P64" s="454"/>
    </row>
    <row r="65" spans="1:16" ht="15.75">
      <c r="A65" s="550"/>
      <c r="B65" s="380">
        <v>589</v>
      </c>
      <c r="C65" s="452">
        <v>344.08</v>
      </c>
      <c r="D65" s="454"/>
      <c r="E65" s="454"/>
      <c r="F65" s="454"/>
      <c r="G65" s="454"/>
      <c r="I65" s="454"/>
      <c r="J65" s="454"/>
      <c r="K65" s="454"/>
      <c r="L65" s="454"/>
      <c r="M65" s="454"/>
      <c r="N65" s="454"/>
      <c r="O65" s="454"/>
      <c r="P65" s="454"/>
    </row>
    <row r="66" spans="1:16" ht="15.75">
      <c r="A66" s="550"/>
      <c r="B66" s="380">
        <v>593.1</v>
      </c>
      <c r="C66" s="452">
        <v>715508.73</v>
      </c>
      <c r="D66" s="454"/>
      <c r="E66" s="454"/>
      <c r="F66" s="454"/>
      <c r="G66" s="454"/>
      <c r="I66" s="454"/>
      <c r="J66" s="454"/>
      <c r="K66" s="454"/>
      <c r="L66" s="454"/>
      <c r="M66" s="454"/>
      <c r="N66" s="454"/>
      <c r="O66" s="454"/>
      <c r="P66" s="454"/>
    </row>
    <row r="67" spans="1:16" ht="15.75">
      <c r="A67" s="550"/>
      <c r="B67" s="380">
        <v>593.20000000000005</v>
      </c>
      <c r="C67" s="452">
        <v>4524.4800000000005</v>
      </c>
      <c r="D67" s="454"/>
      <c r="E67" s="454"/>
      <c r="F67" s="454"/>
      <c r="G67" s="454"/>
      <c r="I67" s="454"/>
      <c r="J67" s="454"/>
      <c r="K67" s="454"/>
      <c r="L67" s="454"/>
      <c r="M67" s="454"/>
      <c r="N67" s="454"/>
      <c r="O67" s="454"/>
      <c r="P67" s="454"/>
    </row>
    <row r="68" spans="1:16" ht="15.75">
      <c r="A68" s="550"/>
      <c r="B68" s="380">
        <v>593.29999999999995</v>
      </c>
      <c r="C68" s="452">
        <v>215651.05000000002</v>
      </c>
      <c r="D68" s="454"/>
      <c r="E68" s="454"/>
      <c r="F68" s="454"/>
      <c r="G68" s="454"/>
      <c r="I68" s="454"/>
      <c r="J68" s="454"/>
      <c r="K68" s="454"/>
      <c r="L68" s="454"/>
      <c r="M68" s="454"/>
      <c r="N68" s="454"/>
      <c r="O68" s="454"/>
      <c r="P68" s="454"/>
    </row>
    <row r="69" spans="1:16" ht="15.75">
      <c r="A69" s="551"/>
      <c r="B69" s="380">
        <v>593.30999999999995</v>
      </c>
      <c r="C69" s="452">
        <v>58492.530000000006</v>
      </c>
      <c r="D69" s="454"/>
      <c r="E69" s="454"/>
      <c r="F69" s="454"/>
      <c r="G69" s="454"/>
      <c r="I69" s="454"/>
      <c r="J69" s="454"/>
      <c r="K69" s="454"/>
      <c r="L69" s="454"/>
      <c r="M69" s="454"/>
      <c r="N69" s="454"/>
      <c r="O69" s="454"/>
      <c r="P69" s="454"/>
    </row>
    <row r="70" spans="1:16" ht="15.75">
      <c r="A70" s="551"/>
      <c r="B70" s="380">
        <v>593.33000000000004</v>
      </c>
      <c r="C70" s="452">
        <v>44277.67</v>
      </c>
      <c r="D70" s="454"/>
      <c r="E70" s="454"/>
      <c r="F70" s="454"/>
      <c r="G70" s="454"/>
      <c r="I70" s="454"/>
      <c r="J70" s="454"/>
      <c r="K70" s="454"/>
      <c r="L70" s="454"/>
      <c r="M70" s="454"/>
      <c r="N70" s="454"/>
      <c r="O70" s="454"/>
      <c r="P70" s="454"/>
    </row>
    <row r="71" spans="1:16" ht="15.75">
      <c r="A71" s="551"/>
      <c r="B71" s="380">
        <v>593.35</v>
      </c>
      <c r="C71" s="452">
        <v>86863.24</v>
      </c>
      <c r="D71" s="454"/>
      <c r="E71" s="454"/>
      <c r="F71" s="454"/>
      <c r="G71" s="454"/>
      <c r="I71" s="454"/>
      <c r="J71" s="454"/>
      <c r="K71" s="454"/>
      <c r="L71" s="454"/>
      <c r="M71" s="454"/>
      <c r="N71" s="454"/>
      <c r="O71" s="454"/>
      <c r="P71" s="454"/>
    </row>
    <row r="72" spans="1:16" ht="15.75">
      <c r="A72" s="551"/>
      <c r="B72" s="380">
        <v>593.36</v>
      </c>
      <c r="C72" s="452">
        <v>68418.67</v>
      </c>
      <c r="D72" s="454"/>
      <c r="E72" s="454"/>
      <c r="F72" s="454"/>
      <c r="G72" s="454"/>
      <c r="I72" s="454"/>
      <c r="J72" s="454"/>
      <c r="K72" s="454"/>
      <c r="L72" s="454"/>
      <c r="M72" s="454"/>
      <c r="N72" s="454"/>
      <c r="O72" s="454"/>
      <c r="P72" s="454"/>
    </row>
    <row r="73" spans="1:16" ht="15.75">
      <c r="A73" s="551"/>
      <c r="B73" s="380">
        <v>593.37</v>
      </c>
      <c r="C73" s="452">
        <v>66008.86</v>
      </c>
      <c r="D73" s="454"/>
      <c r="E73" s="454"/>
      <c r="F73" s="454"/>
      <c r="G73" s="454"/>
      <c r="I73" s="454"/>
      <c r="J73" s="454"/>
      <c r="K73" s="454"/>
      <c r="L73" s="454"/>
      <c r="M73" s="454"/>
      <c r="N73" s="454"/>
      <c r="O73" s="454"/>
      <c r="P73" s="454"/>
    </row>
    <row r="74" spans="1:16" ht="15.75">
      <c r="A74" s="551"/>
      <c r="B74" s="380">
        <v>594</v>
      </c>
      <c r="C74" s="452">
        <v>129812.58000000002</v>
      </c>
      <c r="D74" s="454"/>
      <c r="E74" s="454"/>
      <c r="F74" s="454"/>
      <c r="G74" s="454"/>
      <c r="I74" s="454"/>
      <c r="J74" s="454"/>
      <c r="K74" s="454"/>
      <c r="L74" s="454"/>
      <c r="M74" s="454"/>
      <c r="N74" s="454"/>
      <c r="O74" s="454"/>
      <c r="P74" s="454"/>
    </row>
    <row r="75" spans="1:16" ht="15.75">
      <c r="A75" s="551"/>
      <c r="B75" s="380">
        <v>595</v>
      </c>
      <c r="C75" s="452">
        <v>0</v>
      </c>
      <c r="D75" s="454"/>
      <c r="E75" s="454"/>
      <c r="F75" s="454"/>
      <c r="G75" s="454"/>
      <c r="I75" s="454"/>
      <c r="J75" s="454"/>
      <c r="K75" s="454"/>
      <c r="L75" s="454"/>
      <c r="M75" s="454"/>
      <c r="N75" s="454"/>
      <c r="O75" s="454"/>
      <c r="P75" s="454"/>
    </row>
    <row r="76" spans="1:16" ht="15.75">
      <c r="A76" s="551"/>
      <c r="B76" s="380">
        <v>598</v>
      </c>
      <c r="C76" s="452">
        <v>0</v>
      </c>
      <c r="D76" s="454"/>
      <c r="E76" s="454"/>
      <c r="F76" s="454"/>
      <c r="G76" s="454"/>
      <c r="I76" s="454"/>
      <c r="J76" s="454"/>
      <c r="K76" s="454"/>
      <c r="L76" s="454"/>
      <c r="M76" s="454"/>
      <c r="N76" s="454"/>
      <c r="O76" s="454"/>
      <c r="P76" s="454"/>
    </row>
    <row r="77" spans="1:16" ht="15.75">
      <c r="A77" s="551"/>
      <c r="B77" s="380">
        <v>902</v>
      </c>
      <c r="C77" s="452">
        <v>34787.39</v>
      </c>
      <c r="D77" s="454"/>
      <c r="E77" s="454"/>
      <c r="F77" s="454"/>
      <c r="G77" s="454"/>
      <c r="I77" s="454"/>
      <c r="J77" s="454"/>
      <c r="K77" s="454"/>
      <c r="L77" s="454"/>
      <c r="M77" s="454"/>
      <c r="N77" s="454"/>
      <c r="O77" s="454"/>
      <c r="P77" s="454"/>
    </row>
    <row r="78" spans="1:16" ht="15.75">
      <c r="A78" s="551"/>
      <c r="B78" s="380">
        <v>902.1</v>
      </c>
      <c r="C78" s="452">
        <v>114758.62999999998</v>
      </c>
      <c r="D78" s="454"/>
      <c r="E78" s="454"/>
      <c r="F78" s="454"/>
      <c r="G78" s="454"/>
      <c r="I78" s="454"/>
      <c r="J78" s="454"/>
      <c r="K78" s="454"/>
      <c r="L78" s="454"/>
      <c r="M78" s="454"/>
      <c r="N78" s="454"/>
      <c r="O78" s="454"/>
      <c r="P78" s="454"/>
    </row>
    <row r="79" spans="1:16" ht="15.75">
      <c r="A79" s="551"/>
      <c r="B79" s="380">
        <v>903</v>
      </c>
      <c r="C79" s="452">
        <v>696039.22000000009</v>
      </c>
      <c r="D79" s="454"/>
      <c r="E79" s="454"/>
      <c r="F79" s="454"/>
      <c r="G79" s="454"/>
      <c r="I79" s="454"/>
      <c r="J79" s="454"/>
      <c r="K79" s="454"/>
      <c r="L79" s="454"/>
      <c r="M79" s="454"/>
      <c r="N79" s="454"/>
      <c r="O79" s="454"/>
      <c r="P79" s="454"/>
    </row>
    <row r="80" spans="1:16" ht="15.75">
      <c r="A80" s="551"/>
      <c r="B80" s="380">
        <v>903.1</v>
      </c>
      <c r="C80" s="452">
        <v>196007.59999999998</v>
      </c>
      <c r="D80" s="454"/>
      <c r="E80" s="454"/>
      <c r="F80" s="454"/>
      <c r="G80" s="454"/>
      <c r="I80" s="454"/>
      <c r="J80" s="454"/>
      <c r="K80" s="454"/>
      <c r="L80" s="454"/>
      <c r="M80" s="454"/>
      <c r="N80" s="454"/>
      <c r="O80" s="454"/>
      <c r="P80" s="454"/>
    </row>
    <row r="81" spans="1:16" ht="15.75">
      <c r="A81" s="551"/>
      <c r="B81" s="380">
        <v>905</v>
      </c>
      <c r="C81" s="452">
        <v>43250.21</v>
      </c>
      <c r="D81" s="454"/>
      <c r="E81" s="454"/>
      <c r="F81" s="454"/>
      <c r="G81" s="454"/>
      <c r="I81" s="454"/>
      <c r="J81" s="454"/>
      <c r="K81" s="454"/>
      <c r="L81" s="454"/>
      <c r="M81" s="454"/>
      <c r="N81" s="454"/>
      <c r="O81" s="454"/>
      <c r="P81" s="454"/>
    </row>
    <row r="82" spans="1:16" ht="15.75">
      <c r="A82" s="551"/>
      <c r="B82" s="380">
        <v>908</v>
      </c>
      <c r="C82" s="452">
        <v>46451.039999999994</v>
      </c>
      <c r="D82" s="454"/>
      <c r="E82" s="454"/>
      <c r="F82" s="454"/>
      <c r="G82" s="454"/>
      <c r="I82" s="454"/>
      <c r="J82" s="454"/>
      <c r="K82" s="454"/>
      <c r="L82" s="454"/>
      <c r="M82" s="454"/>
      <c r="N82" s="454"/>
      <c r="O82" s="454"/>
      <c r="P82" s="454"/>
    </row>
    <row r="83" spans="1:16" ht="15.75">
      <c r="A83" s="551"/>
      <c r="B83" s="380">
        <v>908.5</v>
      </c>
      <c r="C83" s="452">
        <v>3866.3099999999995</v>
      </c>
      <c r="D83" s="454"/>
      <c r="E83" s="454"/>
      <c r="F83" s="454"/>
      <c r="G83" s="454"/>
      <c r="I83" s="454"/>
      <c r="J83" s="454"/>
      <c r="K83" s="454"/>
      <c r="L83" s="454"/>
      <c r="M83" s="454"/>
      <c r="N83" s="454"/>
      <c r="O83" s="454"/>
      <c r="P83" s="454"/>
    </row>
    <row r="84" spans="1:16" ht="15.75">
      <c r="A84" s="551"/>
      <c r="B84" s="380">
        <v>909</v>
      </c>
      <c r="C84" s="452">
        <v>84.42</v>
      </c>
      <c r="D84" s="454"/>
      <c r="E84" s="454"/>
      <c r="F84" s="454"/>
      <c r="G84" s="454"/>
      <c r="I84" s="454"/>
      <c r="J84" s="454"/>
      <c r="K84" s="454"/>
      <c r="L84" s="454"/>
      <c r="M84" s="454"/>
      <c r="N84" s="454"/>
      <c r="O84" s="454"/>
      <c r="P84" s="454"/>
    </row>
    <row r="85" spans="1:16" ht="15.75">
      <c r="A85" s="551"/>
      <c r="B85" s="380">
        <v>913</v>
      </c>
      <c r="C85" s="452">
        <v>0</v>
      </c>
      <c r="D85" s="454"/>
      <c r="E85" s="454"/>
      <c r="F85" s="454"/>
      <c r="G85" s="454"/>
      <c r="I85" s="454"/>
      <c r="J85" s="454"/>
      <c r="K85" s="454"/>
      <c r="L85" s="454"/>
      <c r="M85" s="454"/>
      <c r="N85" s="454"/>
      <c r="O85" s="454"/>
      <c r="P85" s="454"/>
    </row>
    <row r="86" spans="1:16" ht="15.75">
      <c r="A86" s="551"/>
      <c r="B86" s="380">
        <v>920</v>
      </c>
      <c r="C86" s="452">
        <v>501706.47</v>
      </c>
      <c r="D86" s="454"/>
      <c r="E86" s="454"/>
      <c r="F86" s="454"/>
      <c r="G86" s="454"/>
      <c r="I86" s="454"/>
      <c r="J86" s="454"/>
      <c r="K86" s="454"/>
      <c r="L86" s="454"/>
      <c r="M86" s="454"/>
      <c r="N86" s="454"/>
      <c r="O86" s="454"/>
      <c r="P86" s="454"/>
    </row>
    <row r="87" spans="1:16" ht="15.75">
      <c r="A87" s="551"/>
      <c r="B87" s="380">
        <v>925</v>
      </c>
      <c r="C87" s="452">
        <v>80.7</v>
      </c>
    </row>
    <row r="88" spans="1:16" ht="15.75">
      <c r="A88" s="551"/>
      <c r="B88" s="380">
        <v>926.1</v>
      </c>
      <c r="C88" s="452">
        <v>0</v>
      </c>
    </row>
    <row r="89" spans="1:16" ht="15.75">
      <c r="A89" s="551"/>
      <c r="B89" s="380">
        <v>926.6</v>
      </c>
      <c r="C89" s="452">
        <v>0</v>
      </c>
    </row>
    <row r="90" spans="1:16" ht="15.75">
      <c r="A90" s="551"/>
      <c r="B90" s="380">
        <v>930.11</v>
      </c>
      <c r="C90" s="452">
        <v>1878.35</v>
      </c>
    </row>
    <row r="91" spans="1:16" ht="15.75">
      <c r="A91" s="551"/>
      <c r="B91" s="380">
        <v>930.4</v>
      </c>
      <c r="C91" s="452">
        <v>14342.56</v>
      </c>
    </row>
    <row r="92" spans="1:16" ht="15.75">
      <c r="A92" s="551"/>
      <c r="B92" s="380">
        <v>930.5</v>
      </c>
      <c r="C92" s="452">
        <v>537.12</v>
      </c>
    </row>
    <row r="93" spans="1:16" ht="15.75">
      <c r="A93" s="551"/>
      <c r="B93" s="380">
        <v>932</v>
      </c>
      <c r="C93" s="452">
        <v>101430.85</v>
      </c>
    </row>
    <row r="94" spans="1:16" ht="15.75">
      <c r="A94" s="551"/>
      <c r="B94" s="421">
        <v>932.1</v>
      </c>
      <c r="C94" s="465">
        <v>3407.11</v>
      </c>
    </row>
    <row r="95" spans="1:16" ht="15.75">
      <c r="B95" s="419" t="s">
        <v>710</v>
      </c>
      <c r="C95" s="420">
        <f>SUM(C30:C94)</f>
        <v>6919967.0999999996</v>
      </c>
    </row>
    <row r="99" spans="2:3" ht="15.75">
      <c r="B99" s="417"/>
      <c r="C99" s="418"/>
    </row>
    <row r="100" spans="2:3" ht="15.75">
      <c r="B100" s="417"/>
      <c r="C100" s="418"/>
    </row>
    <row r="101" spans="2:3" ht="15.75">
      <c r="B101" s="417"/>
      <c r="C101" s="418"/>
    </row>
    <row r="102" spans="2:3" ht="15.75">
      <c r="B102" s="417"/>
      <c r="C102" s="418"/>
    </row>
    <row r="103" spans="2:3" ht="15.75">
      <c r="B103" s="417"/>
      <c r="C103" s="418"/>
    </row>
    <row r="104" spans="2:3" ht="15.75">
      <c r="B104" s="417"/>
      <c r="C104" s="418"/>
    </row>
    <row r="105" spans="2:3" ht="15.75">
      <c r="B105" s="417"/>
      <c r="C105" s="418"/>
    </row>
    <row r="106" spans="2:3" ht="15.75">
      <c r="B106" s="417"/>
      <c r="C106" s="418"/>
    </row>
    <row r="107" spans="2:3" ht="15.75">
      <c r="B107" s="417"/>
      <c r="C107" s="418"/>
    </row>
    <row r="108" spans="2:3" ht="15.75">
      <c r="B108" s="417"/>
      <c r="C108" s="418"/>
    </row>
    <row r="109" spans="2:3" ht="15.75">
      <c r="B109" s="417"/>
      <c r="C109" s="418"/>
    </row>
    <row r="110" spans="2:3" ht="15.75">
      <c r="B110" s="417"/>
      <c r="C110" s="418"/>
    </row>
    <row r="111" spans="2:3" ht="15.75">
      <c r="B111" s="417"/>
      <c r="C111" s="418"/>
    </row>
    <row r="112" spans="2:3" ht="15.75">
      <c r="B112" s="417"/>
      <c r="C112" s="418"/>
    </row>
    <row r="113" spans="2:3" ht="15.75">
      <c r="B113" s="417"/>
      <c r="C113" s="418"/>
    </row>
    <row r="114" spans="2:3" ht="15.75">
      <c r="B114" s="417"/>
      <c r="C114" s="418"/>
    </row>
  </sheetData>
  <mergeCells count="1">
    <mergeCell ref="B28:C28"/>
  </mergeCells>
  <pageMargins left="0.7" right="0.7" top="0.75" bottom="0.75" header="0.3" footer="0.3"/>
  <pageSetup scale="6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zoomScaleNormal="100" workbookViewId="0"/>
  </sheetViews>
  <sheetFormatPr defaultRowHeight="15"/>
  <cols>
    <col min="1" max="1" width="7.44140625" customWidth="1"/>
    <col min="2" max="2" width="14.5546875" customWidth="1"/>
    <col min="3" max="3" width="15" customWidth="1"/>
    <col min="4" max="4" width="14.6640625" customWidth="1"/>
    <col min="5" max="5" width="15.77734375" customWidth="1"/>
    <col min="6" max="6" width="14.77734375" customWidth="1"/>
    <col min="7" max="7" width="14.109375" customWidth="1"/>
    <col min="8" max="8" width="14.77734375" customWidth="1"/>
  </cols>
  <sheetData>
    <row r="1" spans="1:8" ht="20.25">
      <c r="A1" s="314" t="str">
        <f>'6 - WP - Divisor'!A1</f>
        <v>Jasper-Newton Electric Cooperative</v>
      </c>
      <c r="B1" s="309"/>
      <c r="C1" s="310"/>
      <c r="D1" s="291"/>
      <c r="E1" s="293"/>
      <c r="F1" s="291"/>
      <c r="G1" s="291"/>
      <c r="H1" s="291"/>
    </row>
    <row r="2" spans="1:8" ht="20.25">
      <c r="A2" s="314" t="str">
        <f>'6 - WP - Divisor'!A2</f>
        <v>For the Year ended 12/31/2017</v>
      </c>
      <c r="B2" s="309"/>
      <c r="C2" s="310"/>
      <c r="D2" s="291"/>
      <c r="E2" s="293"/>
      <c r="F2" s="291"/>
      <c r="G2" s="291"/>
      <c r="H2" s="291"/>
    </row>
    <row r="3" spans="1:8" ht="33.75">
      <c r="A3" s="364" t="s">
        <v>537</v>
      </c>
      <c r="B3" s="290"/>
      <c r="C3" s="365"/>
      <c r="D3" s="291"/>
      <c r="E3" s="293"/>
      <c r="F3" s="291"/>
      <c r="G3" s="291"/>
      <c r="H3" s="291"/>
    </row>
    <row r="4" spans="1:8" ht="20.25">
      <c r="A4" s="292" t="s">
        <v>620</v>
      </c>
      <c r="B4" s="292"/>
      <c r="C4" s="292"/>
      <c r="D4" s="291"/>
      <c r="E4" s="294"/>
      <c r="F4" s="291"/>
      <c r="G4" s="291"/>
      <c r="H4" s="291"/>
    </row>
    <row r="5" spans="1:8" ht="15.75">
      <c r="A5" s="291"/>
      <c r="B5" s="295"/>
      <c r="C5" s="291"/>
      <c r="D5" s="291"/>
      <c r="E5" s="291"/>
      <c r="F5" s="291"/>
      <c r="G5" s="291"/>
      <c r="H5" s="291"/>
    </row>
    <row r="6" spans="1:8" ht="16.5" thickBot="1">
      <c r="A6" s="291"/>
      <c r="B6" s="291"/>
      <c r="C6" s="291"/>
      <c r="D6" s="291"/>
      <c r="E6" s="291"/>
      <c r="F6" s="291"/>
      <c r="G6" s="291"/>
      <c r="H6" s="291"/>
    </row>
    <row r="7" spans="1:8" ht="64.5" thickBot="1">
      <c r="A7" s="291"/>
      <c r="B7" s="311" t="s">
        <v>554</v>
      </c>
      <c r="C7" s="312" t="s">
        <v>621</v>
      </c>
      <c r="D7" s="312" t="s">
        <v>622</v>
      </c>
      <c r="E7" s="313" t="s">
        <v>623</v>
      </c>
      <c r="F7" s="313" t="s">
        <v>624</v>
      </c>
      <c r="G7" s="313" t="s">
        <v>625</v>
      </c>
      <c r="H7" s="313" t="s">
        <v>626</v>
      </c>
    </row>
    <row r="8" spans="1:8" ht="15.75" thickBot="1">
      <c r="A8" s="296">
        <v>1</v>
      </c>
      <c r="B8" s="297"/>
      <c r="C8" s="298"/>
      <c r="D8" s="298"/>
      <c r="E8" s="299">
        <v>0</v>
      </c>
      <c r="F8" s="299">
        <v>0</v>
      </c>
      <c r="G8" s="299">
        <v>0</v>
      </c>
      <c r="H8" s="299">
        <v>0</v>
      </c>
    </row>
    <row r="9" spans="1:8" ht="15.75" thickBot="1">
      <c r="A9" s="296">
        <v>2</v>
      </c>
      <c r="B9" s="297"/>
      <c r="C9" s="298"/>
      <c r="D9" s="298"/>
      <c r="E9" s="299">
        <v>0</v>
      </c>
      <c r="F9" s="299">
        <v>0</v>
      </c>
      <c r="G9" s="299">
        <v>0</v>
      </c>
      <c r="H9" s="299">
        <v>0</v>
      </c>
    </row>
    <row r="10" spans="1:8" ht="15.75" thickBot="1">
      <c r="A10" s="296">
        <v>3</v>
      </c>
      <c r="B10" s="297"/>
      <c r="C10" s="300"/>
      <c r="D10" s="298"/>
      <c r="E10" s="299">
        <v>0</v>
      </c>
      <c r="F10" s="299">
        <v>0</v>
      </c>
      <c r="G10" s="299">
        <v>0</v>
      </c>
      <c r="H10" s="299">
        <v>0</v>
      </c>
    </row>
    <row r="11" spans="1:8" ht="15.75" thickBot="1">
      <c r="A11" s="296">
        <v>4</v>
      </c>
      <c r="B11" s="297"/>
      <c r="C11" s="300"/>
      <c r="D11" s="300"/>
      <c r="E11" s="299">
        <v>0</v>
      </c>
      <c r="F11" s="299">
        <v>0</v>
      </c>
      <c r="G11" s="299">
        <v>0</v>
      </c>
      <c r="H11" s="299">
        <v>0</v>
      </c>
    </row>
    <row r="12" spans="1:8" ht="15.75" thickBot="1">
      <c r="A12" s="296">
        <v>4</v>
      </c>
      <c r="B12" s="297"/>
      <c r="C12" s="298"/>
      <c r="D12" s="298"/>
      <c r="E12" s="299">
        <v>0</v>
      </c>
      <c r="F12" s="299">
        <v>0</v>
      </c>
      <c r="G12" s="299">
        <v>0</v>
      </c>
      <c r="H12" s="299">
        <v>0</v>
      </c>
    </row>
    <row r="13" spans="1:8" ht="15.75" thickBot="1">
      <c r="A13" s="296">
        <v>4</v>
      </c>
      <c r="B13" s="297"/>
      <c r="C13" s="298"/>
      <c r="D13" s="298"/>
      <c r="E13" s="299">
        <v>0</v>
      </c>
      <c r="F13" s="299">
        <v>0</v>
      </c>
      <c r="G13" s="299">
        <v>0</v>
      </c>
      <c r="H13" s="299">
        <v>0</v>
      </c>
    </row>
    <row r="14" spans="1:8" ht="15.75" thickBot="1">
      <c r="A14" s="296">
        <v>5</v>
      </c>
      <c r="B14" s="297"/>
      <c r="C14" s="300"/>
      <c r="D14" s="300"/>
      <c r="E14" s="299">
        <v>0</v>
      </c>
      <c r="F14" s="299">
        <v>0</v>
      </c>
      <c r="G14" s="299">
        <v>0</v>
      </c>
      <c r="H14" s="299">
        <v>0</v>
      </c>
    </row>
    <row r="15" spans="1:8" ht="15.75" thickBot="1">
      <c r="A15" s="296">
        <v>5</v>
      </c>
      <c r="B15" s="297"/>
      <c r="C15" s="298"/>
      <c r="D15" s="300"/>
      <c r="E15" s="299">
        <v>0</v>
      </c>
      <c r="F15" s="299">
        <v>0</v>
      </c>
      <c r="G15" s="299">
        <v>0</v>
      </c>
      <c r="H15" s="299">
        <v>0</v>
      </c>
    </row>
    <row r="16" spans="1:8" ht="18" thickBot="1">
      <c r="A16" s="296">
        <v>6</v>
      </c>
      <c r="B16" s="301" t="s">
        <v>627</v>
      </c>
      <c r="C16" s="302"/>
      <c r="D16" s="303"/>
      <c r="E16" s="304">
        <v>0</v>
      </c>
      <c r="F16" s="304">
        <v>0</v>
      </c>
      <c r="G16" s="304">
        <v>0</v>
      </c>
      <c r="H16" s="304">
        <v>0</v>
      </c>
    </row>
    <row r="17" spans="2:8" ht="15.75">
      <c r="B17" s="296"/>
      <c r="C17" s="291"/>
      <c r="D17" s="291"/>
      <c r="E17" s="305"/>
      <c r="F17" s="305"/>
      <c r="G17" s="305"/>
      <c r="H17" s="305"/>
    </row>
    <row r="18" spans="2:8" ht="15.75">
      <c r="B18" s="306"/>
      <c r="C18" s="291"/>
      <c r="D18" s="291"/>
      <c r="E18" s="305"/>
      <c r="F18" s="305"/>
      <c r="G18" s="305"/>
      <c r="H18" s="305"/>
    </row>
    <row r="19" spans="2:8" ht="15.75">
      <c r="B19" s="296"/>
      <c r="C19" s="291"/>
      <c r="D19" s="307"/>
      <c r="E19" s="305"/>
      <c r="F19" s="305"/>
      <c r="G19" s="305"/>
      <c r="H19" s="305"/>
    </row>
    <row r="20" spans="2:8" ht="15.75">
      <c r="B20" s="296"/>
      <c r="C20" s="308"/>
      <c r="D20" s="307"/>
      <c r="E20" s="305"/>
      <c r="F20" s="305"/>
      <c r="G20" s="305"/>
      <c r="H20" s="305"/>
    </row>
    <row r="21" spans="2:8" ht="15.75">
      <c r="B21" s="363" t="s">
        <v>671</v>
      </c>
      <c r="C21" s="291"/>
      <c r="D21" s="307"/>
      <c r="E21" s="305"/>
      <c r="F21" s="305"/>
      <c r="G21" s="305"/>
      <c r="H21" s="305"/>
    </row>
    <row r="22" spans="2:8" ht="15.75">
      <c r="B22" s="296"/>
      <c r="C22" s="291"/>
      <c r="D22" s="307"/>
      <c r="E22" s="305"/>
      <c r="F22" s="305"/>
      <c r="G22" s="305"/>
      <c r="H22" s="305"/>
    </row>
    <row r="23" spans="2:8" ht="15.75">
      <c r="B23" s="296"/>
      <c r="C23" s="291"/>
      <c r="D23" s="307"/>
      <c r="E23" s="305"/>
      <c r="F23" s="305"/>
      <c r="G23" s="305"/>
      <c r="H23" s="305"/>
    </row>
    <row r="24" spans="2:8" ht="15.75">
      <c r="B24" s="296"/>
      <c r="C24" s="291"/>
      <c r="D24" s="307"/>
      <c r="E24" s="305"/>
      <c r="F24" s="305"/>
      <c r="G24" s="305"/>
      <c r="H24" s="305"/>
    </row>
    <row r="25" spans="2:8" ht="15.75">
      <c r="B25" s="296"/>
      <c r="C25" s="291"/>
      <c r="D25" s="307"/>
      <c r="E25" s="305"/>
      <c r="F25" s="305"/>
      <c r="G25" s="305"/>
      <c r="H25" s="305"/>
    </row>
    <row r="26" spans="2:8" ht="15.75">
      <c r="B26" s="296"/>
      <c r="C26" s="291"/>
      <c r="D26" s="307"/>
      <c r="E26" s="305"/>
      <c r="F26" s="305"/>
      <c r="G26" s="305"/>
      <c r="H26" s="305"/>
    </row>
    <row r="27" spans="2:8" ht="15.75">
      <c r="B27" s="296"/>
      <c r="C27" s="291"/>
      <c r="D27" s="291"/>
      <c r="E27" s="305"/>
      <c r="F27" s="305"/>
      <c r="G27" s="305"/>
      <c r="H27" s="305"/>
    </row>
    <row r="28" spans="2:8" ht="15.75">
      <c r="B28" s="296"/>
      <c r="C28" s="291"/>
      <c r="D28" s="291"/>
      <c r="E28" s="305"/>
      <c r="F28" s="305"/>
      <c r="G28" s="305"/>
      <c r="H28" s="305"/>
    </row>
    <row r="29" spans="2:8" ht="15.75">
      <c r="B29" s="296"/>
      <c r="C29" s="291"/>
      <c r="D29" s="291"/>
      <c r="E29" s="305"/>
      <c r="F29" s="305"/>
      <c r="G29" s="305"/>
      <c r="H29" s="305"/>
    </row>
    <row r="30" spans="2:8" ht="15.75">
      <c r="B30" s="291"/>
      <c r="C30" s="291"/>
      <c r="D30" s="291"/>
      <c r="E30" s="305"/>
      <c r="F30" s="305"/>
      <c r="G30" s="305"/>
      <c r="H30" s="305"/>
    </row>
    <row r="31" spans="2:8" ht="15.75">
      <c r="B31" s="291"/>
      <c r="C31" s="291"/>
      <c r="D31" s="291"/>
      <c r="E31" s="305"/>
      <c r="F31" s="305"/>
      <c r="G31" s="305"/>
      <c r="H31" s="305"/>
    </row>
    <row r="32" spans="2:8" ht="15.75">
      <c r="B32" s="291"/>
      <c r="C32" s="291"/>
      <c r="D32" s="291"/>
      <c r="E32" s="305"/>
      <c r="F32" s="305"/>
      <c r="G32" s="305"/>
      <c r="H32" s="305"/>
    </row>
    <row r="33" spans="5:8">
      <c r="E33" s="305"/>
      <c r="F33" s="305"/>
      <c r="G33" s="305"/>
      <c r="H33" s="305"/>
    </row>
  </sheetData>
  <printOptions horizontalCentered="1" verticalCentered="1"/>
  <pageMargins left="0.7" right="0.7" top="0.75" bottom="0.75" header="0.3" footer="0.3"/>
  <pageSetup scale="9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C43"/>
  <sheetViews>
    <sheetView zoomScaleNormal="100" workbookViewId="0"/>
  </sheetViews>
  <sheetFormatPr defaultRowHeight="15"/>
  <cols>
    <col min="1" max="1" width="8.88671875" style="558"/>
    <col min="2" max="3" width="7.6640625" style="558" bestFit="1" customWidth="1"/>
    <col min="4" max="4" width="7.44140625" style="558" bestFit="1" customWidth="1"/>
    <col min="5" max="5" width="7.6640625" style="558" bestFit="1" customWidth="1"/>
    <col min="6" max="6" width="7.6640625" style="558" customWidth="1"/>
    <col min="7" max="7" width="7.6640625" style="558" bestFit="1" customWidth="1"/>
    <col min="8" max="8" width="7.6640625" style="558" customWidth="1"/>
    <col min="9" max="9" width="8" style="558" bestFit="1" customWidth="1"/>
    <col min="10" max="10" width="7.6640625" style="558" bestFit="1" customWidth="1"/>
    <col min="11" max="14" width="8.88671875" style="558"/>
    <col min="15" max="15" width="7.6640625" style="558" bestFit="1" customWidth="1"/>
    <col min="16" max="16" width="7.6640625" style="558" customWidth="1"/>
    <col min="17" max="17" width="7.6640625" style="558" bestFit="1" customWidth="1"/>
    <col min="18" max="18" width="8.88671875" style="558"/>
    <col min="19" max="19" width="8" style="558" bestFit="1" customWidth="1"/>
    <col min="20" max="20" width="7.6640625" style="558" bestFit="1" customWidth="1"/>
    <col min="21" max="21" width="7.44140625" style="558" bestFit="1" customWidth="1"/>
    <col min="22" max="23" width="8.88671875" style="558"/>
    <col min="24" max="24" width="7.6640625" style="558" bestFit="1" customWidth="1"/>
    <col min="25" max="25" width="8.88671875" style="558"/>
    <col min="26" max="26" width="7.6640625" style="558" bestFit="1" customWidth="1"/>
    <col min="27" max="16384" width="8.88671875" style="558"/>
  </cols>
  <sheetData>
    <row r="2" spans="1:29" ht="26.25">
      <c r="A2" s="594" t="s">
        <v>832</v>
      </c>
    </row>
    <row r="4" spans="1:29">
      <c r="A4" s="557" t="s">
        <v>829</v>
      </c>
    </row>
    <row r="6" spans="1:29">
      <c r="A6" s="559"/>
      <c r="B6" s="560" t="s">
        <v>789</v>
      </c>
      <c r="C6" s="560"/>
      <c r="D6" s="560"/>
      <c r="E6" s="560"/>
      <c r="F6" s="560"/>
      <c r="G6" s="560"/>
      <c r="H6" s="560"/>
      <c r="I6" s="560"/>
      <c r="J6" s="560"/>
    </row>
    <row r="7" spans="1:29">
      <c r="B7" s="561"/>
      <c r="C7" s="561"/>
      <c r="D7" s="561"/>
      <c r="E7" s="561"/>
      <c r="F7" s="561" t="s">
        <v>790</v>
      </c>
      <c r="G7" s="562" t="s">
        <v>791</v>
      </c>
      <c r="H7" s="562"/>
      <c r="I7" s="563"/>
      <c r="J7" s="561"/>
      <c r="N7" s="564" t="s">
        <v>792</v>
      </c>
      <c r="O7" s="564"/>
      <c r="P7" s="564"/>
    </row>
    <row r="8" spans="1:29">
      <c r="B8" s="561"/>
      <c r="C8" s="561"/>
      <c r="D8" s="561"/>
      <c r="E8" s="561"/>
      <c r="F8" s="561" t="s">
        <v>793</v>
      </c>
      <c r="G8" s="565" t="s">
        <v>794</v>
      </c>
      <c r="H8" s="565"/>
      <c r="I8" s="566"/>
      <c r="J8" s="561"/>
    </row>
    <row r="9" spans="1:29">
      <c r="B9" s="561" t="s">
        <v>795</v>
      </c>
      <c r="C9" s="561" t="s">
        <v>795</v>
      </c>
      <c r="D9" s="561" t="s">
        <v>796</v>
      </c>
      <c r="E9" s="561" t="s">
        <v>797</v>
      </c>
      <c r="F9" s="561" t="s">
        <v>797</v>
      </c>
      <c r="G9" s="561" t="s">
        <v>795</v>
      </c>
      <c r="H9" s="567" t="s">
        <v>796</v>
      </c>
      <c r="I9" s="567" t="s">
        <v>797</v>
      </c>
      <c r="J9" s="561" t="s">
        <v>798</v>
      </c>
      <c r="L9" s="561" t="s">
        <v>6</v>
      </c>
      <c r="M9" s="561" t="s">
        <v>6</v>
      </c>
      <c r="N9" s="561" t="s">
        <v>6</v>
      </c>
      <c r="O9" s="561" t="s">
        <v>6</v>
      </c>
      <c r="P9" s="561"/>
      <c r="Q9" s="561" t="s">
        <v>798</v>
      </c>
    </row>
    <row r="10" spans="1:29">
      <c r="B10" s="568" t="s">
        <v>799</v>
      </c>
      <c r="C10" s="568" t="s">
        <v>800</v>
      </c>
      <c r="D10" s="569" t="s">
        <v>801</v>
      </c>
      <c r="E10" s="569" t="s">
        <v>802</v>
      </c>
      <c r="F10" s="569" t="s">
        <v>802</v>
      </c>
      <c r="G10" s="568" t="s">
        <v>800</v>
      </c>
      <c r="H10" s="569" t="s">
        <v>801</v>
      </c>
      <c r="I10" s="569" t="s">
        <v>802</v>
      </c>
      <c r="J10" s="569" t="s">
        <v>6</v>
      </c>
      <c r="L10" s="569" t="s">
        <v>795</v>
      </c>
      <c r="M10" s="568" t="s">
        <v>796</v>
      </c>
      <c r="N10" s="569" t="s">
        <v>803</v>
      </c>
      <c r="O10" s="569" t="s">
        <v>802</v>
      </c>
      <c r="P10" s="569"/>
      <c r="Q10" s="569" t="s">
        <v>6</v>
      </c>
    </row>
    <row r="11" spans="1:29">
      <c r="B11" s="570" t="s">
        <v>804</v>
      </c>
      <c r="C11" s="570" t="s">
        <v>804</v>
      </c>
      <c r="D11" s="570" t="s">
        <v>804</v>
      </c>
      <c r="E11" s="570" t="s">
        <v>804</v>
      </c>
      <c r="F11" s="570" t="s">
        <v>804</v>
      </c>
      <c r="G11" s="570" t="s">
        <v>804</v>
      </c>
      <c r="H11" s="570" t="s">
        <v>804</v>
      </c>
      <c r="I11" s="570" t="s">
        <v>804</v>
      </c>
      <c r="J11" s="570" t="s">
        <v>804</v>
      </c>
      <c r="L11" s="570" t="s">
        <v>804</v>
      </c>
      <c r="M11" s="570" t="s">
        <v>804</v>
      </c>
      <c r="N11" s="570" t="s">
        <v>804</v>
      </c>
      <c r="O11" s="570" t="s">
        <v>804</v>
      </c>
      <c r="P11" s="570"/>
      <c r="Q11" s="570" t="s">
        <v>804</v>
      </c>
    </row>
    <row r="12" spans="1:29">
      <c r="A12" s="571">
        <v>42736</v>
      </c>
      <c r="B12" s="572">
        <v>8916.3935590055244</v>
      </c>
      <c r="C12" s="572">
        <v>607.28</v>
      </c>
      <c r="D12" s="572">
        <v>365.79548537298479</v>
      </c>
      <c r="E12" s="572">
        <v>583195.83828577714</v>
      </c>
      <c r="F12" s="572">
        <v>5417.296778751419</v>
      </c>
      <c r="G12" s="572">
        <v>-60.7</v>
      </c>
      <c r="H12" s="572">
        <v>-1.7</v>
      </c>
      <c r="I12" s="572">
        <v>-3483.31</v>
      </c>
      <c r="J12" s="573">
        <f>SUM(B12:I12)+38895</f>
        <v>633851.89410890709</v>
      </c>
      <c r="K12" s="573"/>
      <c r="L12" s="573">
        <f>B12+C12+G12</f>
        <v>9462.9735590055243</v>
      </c>
      <c r="M12" s="573">
        <f t="shared" ref="M12:M23" si="0">D12+H12</f>
        <v>364.0954853729848</v>
      </c>
      <c r="N12" s="573">
        <f t="shared" ref="N12:N22" si="1">L12+M12</f>
        <v>9827.0690443785097</v>
      </c>
      <c r="O12" s="573">
        <f>E12+I12+F12+38895</f>
        <v>624024.8250645285</v>
      </c>
      <c r="P12" s="573"/>
      <c r="Q12" s="573">
        <f t="shared" ref="Q12:Q22" si="2">N12+O12</f>
        <v>633851.89410890697</v>
      </c>
      <c r="U12" s="572"/>
      <c r="V12" s="572"/>
      <c r="W12" s="572"/>
      <c r="X12" s="572"/>
      <c r="Y12" s="572"/>
      <c r="Z12" s="572"/>
      <c r="AA12" s="572"/>
      <c r="AB12" s="572"/>
      <c r="AC12" s="572"/>
    </row>
    <row r="13" spans="1:29">
      <c r="A13" s="574">
        <v>42767</v>
      </c>
      <c r="B13" s="575">
        <v>14574.658962934189</v>
      </c>
      <c r="C13" s="575">
        <v>464.81233281690328</v>
      </c>
      <c r="D13" s="575">
        <v>1044.3232692757961</v>
      </c>
      <c r="E13" s="575">
        <v>972220.01597569557</v>
      </c>
      <c r="F13" s="575">
        <v>0</v>
      </c>
      <c r="G13" s="575">
        <v>-7054</v>
      </c>
      <c r="H13" s="575">
        <v>-866.2</v>
      </c>
      <c r="I13" s="575">
        <v>-72204.680000000008</v>
      </c>
      <c r="J13" s="576">
        <f t="shared" ref="J13:J23" si="3">SUM(B13:I13)</f>
        <v>908178.93054072245</v>
      </c>
      <c r="K13" s="573"/>
      <c r="L13" s="573">
        <f t="shared" ref="L13:L23" si="4">B13+C13+G13</f>
        <v>7985.4712957510928</v>
      </c>
      <c r="M13" s="573">
        <f t="shared" si="0"/>
        <v>178.12326927579602</v>
      </c>
      <c r="N13" s="573">
        <f t="shared" si="1"/>
        <v>8163.5945650268886</v>
      </c>
      <c r="O13" s="573">
        <f t="shared" ref="O13:O21" si="5">E13+I13+F13</f>
        <v>900015.33597569552</v>
      </c>
      <c r="P13" s="573"/>
      <c r="Q13" s="573">
        <f t="shared" si="2"/>
        <v>908178.93054072245</v>
      </c>
      <c r="U13" s="572"/>
      <c r="V13" s="572"/>
      <c r="W13" s="572"/>
      <c r="X13" s="572"/>
      <c r="Y13" s="572"/>
      <c r="Z13" s="572"/>
      <c r="AA13" s="572"/>
      <c r="AB13" s="572"/>
      <c r="AC13" s="572"/>
    </row>
    <row r="14" spans="1:29">
      <c r="A14" s="574">
        <v>42795</v>
      </c>
      <c r="B14" s="575">
        <v>8905.1734512455096</v>
      </c>
      <c r="C14" s="575">
        <v>136.96</v>
      </c>
      <c r="D14" s="575">
        <v>143.84870105627937</v>
      </c>
      <c r="E14" s="575">
        <v>443106.45761916775</v>
      </c>
      <c r="F14" s="575">
        <v>0</v>
      </c>
      <c r="G14" s="575">
        <v>636.11999999999966</v>
      </c>
      <c r="H14" s="575">
        <v>46.17000000000003</v>
      </c>
      <c r="I14" s="575">
        <v>-312242.65794610669</v>
      </c>
      <c r="J14" s="576">
        <f t="shared" si="3"/>
        <v>140732.0718253628</v>
      </c>
      <c r="K14" s="573"/>
      <c r="L14" s="573">
        <f t="shared" si="4"/>
        <v>9678.2534512455077</v>
      </c>
      <c r="M14" s="573">
        <f t="shared" si="0"/>
        <v>190.01870105627938</v>
      </c>
      <c r="N14" s="573">
        <f t="shared" si="1"/>
        <v>9868.2721523017863</v>
      </c>
      <c r="O14" s="573">
        <f t="shared" si="5"/>
        <v>130863.79967306106</v>
      </c>
      <c r="P14" s="573"/>
      <c r="Q14" s="573">
        <f t="shared" si="2"/>
        <v>140732.07182536286</v>
      </c>
      <c r="U14" s="572"/>
      <c r="V14" s="572"/>
      <c r="W14" s="572"/>
      <c r="X14" s="572"/>
      <c r="Y14" s="572"/>
      <c r="Z14" s="572"/>
      <c r="AA14" s="572"/>
      <c r="AB14" s="572"/>
      <c r="AC14" s="572"/>
    </row>
    <row r="15" spans="1:29">
      <c r="A15" s="574">
        <v>42826</v>
      </c>
      <c r="B15" s="575">
        <v>9832.2021677911343</v>
      </c>
      <c r="C15" s="575">
        <v>136.76</v>
      </c>
      <c r="D15" s="575">
        <v>245.00499700506828</v>
      </c>
      <c r="E15" s="575">
        <v>436122.25924940821</v>
      </c>
      <c r="F15" s="575">
        <v>10946.718261656379</v>
      </c>
      <c r="G15" s="575">
        <v>0</v>
      </c>
      <c r="H15" s="575">
        <v>0</v>
      </c>
      <c r="I15" s="575">
        <v>-13229.86</v>
      </c>
      <c r="J15" s="576">
        <f t="shared" si="3"/>
        <v>444053.08467586077</v>
      </c>
      <c r="K15" s="573"/>
      <c r="L15" s="573">
        <f t="shared" si="4"/>
        <v>9968.9621677911346</v>
      </c>
      <c r="M15" s="573">
        <f t="shared" si="0"/>
        <v>245.00499700506828</v>
      </c>
      <c r="N15" s="573">
        <f t="shared" si="1"/>
        <v>10213.967164796202</v>
      </c>
      <c r="O15" s="573">
        <f t="shared" si="5"/>
        <v>433839.11751106457</v>
      </c>
      <c r="P15" s="573"/>
      <c r="Q15" s="573">
        <f t="shared" si="2"/>
        <v>444053.08467586077</v>
      </c>
      <c r="U15" s="572"/>
      <c r="V15" s="572"/>
      <c r="W15" s="572"/>
      <c r="X15" s="572"/>
      <c r="Y15" s="572"/>
      <c r="Z15" s="572"/>
      <c r="AA15" s="572"/>
      <c r="AB15" s="572"/>
      <c r="AC15" s="572"/>
    </row>
    <row r="16" spans="1:29">
      <c r="A16" s="574">
        <v>42856</v>
      </c>
      <c r="B16" s="575">
        <v>9658.0500990554738</v>
      </c>
      <c r="C16" s="575">
        <v>235.43</v>
      </c>
      <c r="D16" s="575">
        <v>467.82324559506077</v>
      </c>
      <c r="E16" s="575">
        <v>529333.48538864334</v>
      </c>
      <c r="F16" s="575">
        <v>-7202.5877059293789</v>
      </c>
      <c r="G16" s="575">
        <v>-55.79</v>
      </c>
      <c r="H16" s="575">
        <v>-0.81</v>
      </c>
      <c r="I16" s="575">
        <v>0</v>
      </c>
      <c r="J16" s="576">
        <f t="shared" si="3"/>
        <v>532435.60102736438</v>
      </c>
      <c r="K16" s="573"/>
      <c r="L16" s="573">
        <f t="shared" si="4"/>
        <v>9837.6900990554732</v>
      </c>
      <c r="M16" s="573">
        <f t="shared" si="0"/>
        <v>467.01324559506077</v>
      </c>
      <c r="N16" s="573">
        <f t="shared" si="1"/>
        <v>10304.703344650534</v>
      </c>
      <c r="O16" s="573">
        <f t="shared" si="5"/>
        <v>522130.89768271398</v>
      </c>
      <c r="P16" s="573"/>
      <c r="Q16" s="573">
        <f t="shared" si="2"/>
        <v>532435.60102736449</v>
      </c>
      <c r="U16" s="572"/>
      <c r="V16" s="572"/>
      <c r="W16" s="572"/>
      <c r="X16" s="572"/>
      <c r="Y16" s="572"/>
      <c r="Z16" s="572"/>
      <c r="AA16" s="572"/>
      <c r="AB16" s="572"/>
      <c r="AC16" s="572"/>
    </row>
    <row r="17" spans="1:29">
      <c r="A17" s="574">
        <v>42887</v>
      </c>
      <c r="B17" s="575">
        <v>10939.277152373626</v>
      </c>
      <c r="C17" s="575">
        <v>235.22</v>
      </c>
      <c r="D17" s="575">
        <v>219.31774725288454</v>
      </c>
      <c r="E17" s="575">
        <v>583110.32961474371</v>
      </c>
      <c r="F17" s="575">
        <v>-4570.4473860646858</v>
      </c>
      <c r="G17" s="575">
        <v>-68.84</v>
      </c>
      <c r="H17" s="575">
        <v>-0.08</v>
      </c>
      <c r="I17" s="575">
        <v>-1012.31</v>
      </c>
      <c r="J17" s="576">
        <f t="shared" si="3"/>
        <v>588852.46712830558</v>
      </c>
      <c r="K17" s="573"/>
      <c r="L17" s="573">
        <f t="shared" si="4"/>
        <v>11105.657152373626</v>
      </c>
      <c r="M17" s="573">
        <f t="shared" si="0"/>
        <v>219.23774725288453</v>
      </c>
      <c r="N17" s="573">
        <f t="shared" si="1"/>
        <v>11324.89489962651</v>
      </c>
      <c r="O17" s="573">
        <f t="shared" si="5"/>
        <v>577527.57222867897</v>
      </c>
      <c r="P17" s="573"/>
      <c r="Q17" s="573">
        <f t="shared" si="2"/>
        <v>588852.46712830546</v>
      </c>
      <c r="U17" s="572"/>
      <c r="V17" s="572"/>
      <c r="W17" s="572"/>
      <c r="X17" s="572"/>
      <c r="Y17" s="572"/>
      <c r="Z17" s="572"/>
      <c r="AA17" s="572"/>
      <c r="AB17" s="572"/>
      <c r="AC17" s="572"/>
    </row>
    <row r="18" spans="1:29">
      <c r="A18" s="571">
        <v>42917</v>
      </c>
      <c r="B18" s="572">
        <v>11946.400862633212</v>
      </c>
      <c r="C18" s="572">
        <v>410.02</v>
      </c>
      <c r="D18" s="572">
        <v>219.89466162299476</v>
      </c>
      <c r="E18" s="572">
        <v>722997.34731618722</v>
      </c>
      <c r="F18" s="572">
        <v>0.26767673553073162</v>
      </c>
      <c r="G18" s="572">
        <v>0</v>
      </c>
      <c r="H18" s="572">
        <v>0</v>
      </c>
      <c r="I18" s="572">
        <v>0</v>
      </c>
      <c r="J18" s="573">
        <f t="shared" si="3"/>
        <v>735573.93051717896</v>
      </c>
      <c r="K18" s="573"/>
      <c r="L18" s="573">
        <f t="shared" si="4"/>
        <v>12356.420862633213</v>
      </c>
      <c r="M18" s="573">
        <f t="shared" si="0"/>
        <v>219.89466162299476</v>
      </c>
      <c r="N18" s="573">
        <f t="shared" si="1"/>
        <v>12576.315524256208</v>
      </c>
      <c r="O18" s="573">
        <f t="shared" si="5"/>
        <v>722997.61499292275</v>
      </c>
      <c r="P18" s="573"/>
      <c r="Q18" s="573">
        <f t="shared" si="2"/>
        <v>735573.93051717896</v>
      </c>
      <c r="U18" s="572"/>
      <c r="V18" s="572"/>
      <c r="W18" s="572"/>
      <c r="X18" s="572"/>
      <c r="Y18" s="572"/>
      <c r="Z18" s="572"/>
      <c r="AA18" s="572"/>
      <c r="AB18" s="572"/>
      <c r="AC18" s="572"/>
    </row>
    <row r="19" spans="1:29">
      <c r="A19" s="571">
        <v>42948</v>
      </c>
      <c r="B19" s="572">
        <v>12352.213598826978</v>
      </c>
      <c r="C19" s="572">
        <v>117.15</v>
      </c>
      <c r="D19" s="572">
        <v>1456.1531504148409</v>
      </c>
      <c r="E19" s="572">
        <v>762600.28955606755</v>
      </c>
      <c r="F19" s="572">
        <v>211.79095622015873</v>
      </c>
      <c r="G19" s="572">
        <v>0</v>
      </c>
      <c r="H19" s="572">
        <v>0</v>
      </c>
      <c r="I19" s="572">
        <v>0</v>
      </c>
      <c r="J19" s="573">
        <f t="shared" si="3"/>
        <v>776737.59726152953</v>
      </c>
      <c r="K19" s="573"/>
      <c r="L19" s="573">
        <f t="shared" si="4"/>
        <v>12469.363598826978</v>
      </c>
      <c r="M19" s="573">
        <f t="shared" si="0"/>
        <v>1456.1531504148409</v>
      </c>
      <c r="N19" s="573">
        <f t="shared" si="1"/>
        <v>13925.516749241819</v>
      </c>
      <c r="O19" s="573">
        <f t="shared" si="5"/>
        <v>762812.08051228768</v>
      </c>
      <c r="P19" s="573"/>
      <c r="Q19" s="573">
        <f t="shared" si="2"/>
        <v>776737.59726152953</v>
      </c>
      <c r="U19" s="572"/>
      <c r="V19" s="572"/>
      <c r="W19" s="572"/>
      <c r="X19" s="572"/>
      <c r="Y19" s="572"/>
      <c r="Z19" s="572"/>
      <c r="AA19" s="572"/>
      <c r="AB19" s="572"/>
      <c r="AC19" s="572"/>
    </row>
    <row r="20" spans="1:29">
      <c r="A20" s="571">
        <v>42979</v>
      </c>
      <c r="B20" s="572">
        <v>12355.849738552994</v>
      </c>
      <c r="C20" s="572">
        <v>117.16</v>
      </c>
      <c r="D20" s="572">
        <v>63.021289472808419</v>
      </c>
      <c r="E20" s="572">
        <v>773371.45182244538</v>
      </c>
      <c r="F20" s="572">
        <v>-1616.7636844958322</v>
      </c>
      <c r="G20" s="572">
        <v>0</v>
      </c>
      <c r="H20" s="572">
        <v>0</v>
      </c>
      <c r="I20" s="572">
        <v>-76.400000000000006</v>
      </c>
      <c r="J20" s="573">
        <f t="shared" si="3"/>
        <v>784214.31916597532</v>
      </c>
      <c r="K20" s="573"/>
      <c r="L20" s="573">
        <f t="shared" si="4"/>
        <v>12473.009738552993</v>
      </c>
      <c r="M20" s="573">
        <f t="shared" si="0"/>
        <v>63.021289472808419</v>
      </c>
      <c r="N20" s="573">
        <f t="shared" si="1"/>
        <v>12536.031028025802</v>
      </c>
      <c r="O20" s="573">
        <f t="shared" si="5"/>
        <v>771678.28813794954</v>
      </c>
      <c r="P20" s="573"/>
      <c r="Q20" s="573">
        <f t="shared" si="2"/>
        <v>784214.31916597532</v>
      </c>
      <c r="U20" s="572"/>
      <c r="V20" s="572"/>
      <c r="W20" s="572"/>
      <c r="X20" s="572"/>
      <c r="Y20" s="572"/>
      <c r="Z20" s="572"/>
      <c r="AA20" s="572"/>
      <c r="AB20" s="572"/>
      <c r="AC20" s="572"/>
    </row>
    <row r="21" spans="1:29">
      <c r="A21" s="571">
        <v>43009</v>
      </c>
      <c r="B21" s="572">
        <v>11957.27197288573</v>
      </c>
      <c r="C21" s="572">
        <v>117.16</v>
      </c>
      <c r="D21" s="572">
        <v>253.69714035608905</v>
      </c>
      <c r="E21" s="572">
        <v>628995.70914394746</v>
      </c>
      <c r="F21" s="572">
        <v>81.537073425700569</v>
      </c>
      <c r="G21" s="572">
        <v>0</v>
      </c>
      <c r="H21" s="572">
        <v>0</v>
      </c>
      <c r="I21" s="572">
        <v>-83.04</v>
      </c>
      <c r="J21" s="573">
        <f t="shared" si="3"/>
        <v>641322.33533061494</v>
      </c>
      <c r="K21" s="573"/>
      <c r="L21" s="573">
        <f t="shared" si="4"/>
        <v>12074.43197288573</v>
      </c>
      <c r="M21" s="573">
        <f t="shared" si="0"/>
        <v>253.69714035608905</v>
      </c>
      <c r="N21" s="573">
        <f t="shared" si="1"/>
        <v>12328.129113241819</v>
      </c>
      <c r="O21" s="573">
        <f t="shared" si="5"/>
        <v>628994.20621737314</v>
      </c>
      <c r="P21" s="573"/>
      <c r="Q21" s="573">
        <f t="shared" si="2"/>
        <v>641322.33533061494</v>
      </c>
      <c r="T21" s="572"/>
      <c r="U21" s="572"/>
      <c r="V21" s="572"/>
      <c r="W21" s="572"/>
      <c r="X21" s="572"/>
      <c r="Y21" s="572"/>
      <c r="Z21" s="572"/>
      <c r="AA21" s="572"/>
      <c r="AB21" s="572"/>
      <c r="AC21" s="572"/>
    </row>
    <row r="22" spans="1:29">
      <c r="A22" s="571">
        <v>43040</v>
      </c>
      <c r="B22" s="572">
        <v>12218.125320481096</v>
      </c>
      <c r="C22" s="572">
        <v>248.96</v>
      </c>
      <c r="D22" s="572">
        <v>268.94168576766447</v>
      </c>
      <c r="E22" s="572">
        <v>639007.74016821291</v>
      </c>
      <c r="F22" s="572">
        <v>-30.189571988063133</v>
      </c>
      <c r="G22" s="572">
        <v>0</v>
      </c>
      <c r="H22" s="572">
        <v>0</v>
      </c>
      <c r="I22" s="572">
        <v>0</v>
      </c>
      <c r="J22" s="573">
        <f t="shared" si="3"/>
        <v>651713.57760247355</v>
      </c>
      <c r="K22" s="573"/>
      <c r="L22" s="573">
        <f t="shared" si="4"/>
        <v>12467.085320481096</v>
      </c>
      <c r="M22" s="573">
        <f t="shared" si="0"/>
        <v>268.94168576766447</v>
      </c>
      <c r="N22" s="573">
        <f t="shared" si="1"/>
        <v>12736.02700624876</v>
      </c>
      <c r="O22" s="573">
        <f>E22+I22+F22</f>
        <v>638977.55059622484</v>
      </c>
      <c r="P22" s="573"/>
      <c r="Q22" s="573">
        <f t="shared" si="2"/>
        <v>651713.57760247355</v>
      </c>
      <c r="T22" s="572"/>
      <c r="U22" s="572"/>
      <c r="V22" s="572"/>
      <c r="W22" s="572"/>
      <c r="X22" s="572"/>
      <c r="Y22" s="572"/>
      <c r="Z22" s="572"/>
      <c r="AA22" s="572"/>
      <c r="AB22" s="572"/>
      <c r="AC22" s="572"/>
    </row>
    <row r="23" spans="1:29">
      <c r="A23" s="577">
        <v>43070</v>
      </c>
      <c r="B23" s="578">
        <v>11159.404610940341</v>
      </c>
      <c r="C23" s="578">
        <v>248.96</v>
      </c>
      <c r="D23" s="578">
        <v>492.20303376564209</v>
      </c>
      <c r="E23" s="578">
        <v>572433.88311423489</v>
      </c>
      <c r="F23" s="578">
        <v>32.018942063494954</v>
      </c>
      <c r="G23" s="578">
        <v>0</v>
      </c>
      <c r="H23" s="578">
        <v>0</v>
      </c>
      <c r="I23" s="578">
        <v>0</v>
      </c>
      <c r="J23" s="579">
        <f t="shared" si="3"/>
        <v>584366.46970100433</v>
      </c>
      <c r="K23" s="579"/>
      <c r="L23" s="579">
        <f t="shared" si="4"/>
        <v>11408.36461094034</v>
      </c>
      <c r="M23" s="579">
        <f t="shared" si="0"/>
        <v>492.20303376564209</v>
      </c>
      <c r="N23" s="579">
        <f>L23+M23</f>
        <v>11900.567644705981</v>
      </c>
      <c r="O23" s="579">
        <f t="shared" ref="O23" si="6">E23+I23+F23</f>
        <v>572465.90205629834</v>
      </c>
      <c r="P23" s="579"/>
      <c r="Q23" s="579">
        <f>N23+O23</f>
        <v>584366.46970100433</v>
      </c>
      <c r="T23" s="572"/>
      <c r="U23" s="572"/>
      <c r="V23" s="572"/>
      <c r="W23" s="572"/>
      <c r="X23" s="572"/>
      <c r="Y23" s="572"/>
      <c r="Z23" s="572"/>
      <c r="AA23" s="572"/>
      <c r="AB23" s="572"/>
      <c r="AC23" s="572"/>
    </row>
    <row r="24" spans="1:29">
      <c r="A24" s="580" t="s">
        <v>6</v>
      </c>
      <c r="B24" s="581">
        <f>SUM(B12:B23)</f>
        <v>134815.02149672579</v>
      </c>
      <c r="C24" s="581">
        <f t="shared" ref="C24:J24" si="7">SUM(C12:C23)</f>
        <v>3075.8723328169031</v>
      </c>
      <c r="D24" s="581">
        <f t="shared" si="7"/>
        <v>5240.0244069581131</v>
      </c>
      <c r="E24" s="581">
        <f t="shared" si="7"/>
        <v>7646494.8072545314</v>
      </c>
      <c r="F24" s="581">
        <f>SUM(F12:F23)</f>
        <v>3269.6413403747233</v>
      </c>
      <c r="G24" s="581">
        <f>SUM(G12:G23)</f>
        <v>-6603.21</v>
      </c>
      <c r="H24" s="581">
        <f>SUM(H12:H23)</f>
        <v>-822.62</v>
      </c>
      <c r="I24" s="581">
        <f t="shared" si="7"/>
        <v>-402332.25794610666</v>
      </c>
      <c r="J24" s="581">
        <f t="shared" si="7"/>
        <v>7422032.2788853003</v>
      </c>
      <c r="K24" s="582"/>
      <c r="L24" s="581">
        <f t="shared" ref="L24:Q24" si="8">SUM(L12:L23)</f>
        <v>131287.68382954272</v>
      </c>
      <c r="M24" s="581">
        <f t="shared" si="8"/>
        <v>4417.4044069581132</v>
      </c>
      <c r="N24" s="581">
        <f t="shared" si="8"/>
        <v>135705.0882365008</v>
      </c>
      <c r="O24" s="581">
        <f t="shared" si="8"/>
        <v>7286327.1906487979</v>
      </c>
      <c r="P24" s="581"/>
      <c r="Q24" s="581">
        <f t="shared" si="8"/>
        <v>7422032.2788853003</v>
      </c>
      <c r="T24" s="572"/>
      <c r="U24" s="572"/>
      <c r="V24" s="572"/>
      <c r="W24" s="572"/>
      <c r="X24" s="572"/>
      <c r="Y24" s="572"/>
      <c r="Z24" s="572"/>
      <c r="AA24" s="572"/>
      <c r="AB24" s="572"/>
      <c r="AC24" s="572"/>
    </row>
    <row r="25" spans="1:29">
      <c r="A25" s="571"/>
    </row>
    <row r="26" spans="1:29">
      <c r="B26" s="583" t="s">
        <v>805</v>
      </c>
      <c r="C26" s="566"/>
      <c r="D26" s="566"/>
      <c r="E26" s="566"/>
      <c r="F26" s="566"/>
      <c r="G26" s="566"/>
      <c r="L26" s="560" t="s">
        <v>806</v>
      </c>
      <c r="M26" s="560"/>
      <c r="N26" s="560"/>
      <c r="O26" s="560"/>
      <c r="P26" s="560"/>
      <c r="Q26" s="560"/>
      <c r="S26" s="560" t="s">
        <v>807</v>
      </c>
      <c r="T26" s="560"/>
      <c r="U26" s="560"/>
      <c r="V26" s="560"/>
      <c r="W26" s="560"/>
      <c r="X26" s="560"/>
      <c r="Z26" s="560" t="s">
        <v>6</v>
      </c>
      <c r="AA26" s="560"/>
    </row>
    <row r="27" spans="1:29">
      <c r="B27" s="569" t="s">
        <v>808</v>
      </c>
      <c r="C27" s="569" t="s">
        <v>809</v>
      </c>
      <c r="D27" s="569" t="s">
        <v>810</v>
      </c>
      <c r="E27" s="569" t="s">
        <v>811</v>
      </c>
      <c r="F27" s="569" t="s">
        <v>830</v>
      </c>
      <c r="G27" s="569" t="s">
        <v>6</v>
      </c>
      <c r="H27" s="569" t="s">
        <v>812</v>
      </c>
      <c r="L27" s="569" t="s">
        <v>808</v>
      </c>
      <c r="M27" s="569" t="s">
        <v>809</v>
      </c>
      <c r="N27" s="569" t="s">
        <v>810</v>
      </c>
      <c r="O27" s="569" t="s">
        <v>811</v>
      </c>
      <c r="P27" s="569" t="s">
        <v>830</v>
      </c>
      <c r="Q27" s="569" t="s">
        <v>6</v>
      </c>
      <c r="S27" s="569" t="s">
        <v>808</v>
      </c>
      <c r="T27" s="569" t="s">
        <v>809</v>
      </c>
      <c r="U27" s="569" t="s">
        <v>810</v>
      </c>
      <c r="V27" s="569" t="s">
        <v>811</v>
      </c>
      <c r="W27" s="569" t="s">
        <v>830</v>
      </c>
      <c r="X27" s="569" t="s">
        <v>6</v>
      </c>
      <c r="Z27" s="569" t="s">
        <v>6</v>
      </c>
      <c r="AA27" s="569" t="s">
        <v>812</v>
      </c>
    </row>
    <row r="28" spans="1:29">
      <c r="B28" s="570" t="s">
        <v>804</v>
      </c>
      <c r="C28" s="570" t="s">
        <v>804</v>
      </c>
      <c r="D28" s="570" t="s">
        <v>804</v>
      </c>
      <c r="E28" s="570" t="s">
        <v>804</v>
      </c>
      <c r="F28" s="570" t="s">
        <v>804</v>
      </c>
      <c r="G28" s="570" t="s">
        <v>804</v>
      </c>
      <c r="H28" s="570" t="s">
        <v>804</v>
      </c>
      <c r="L28" s="570" t="s">
        <v>804</v>
      </c>
      <c r="M28" s="570" t="s">
        <v>804</v>
      </c>
      <c r="N28" s="570" t="s">
        <v>804</v>
      </c>
      <c r="O28" s="570" t="s">
        <v>804</v>
      </c>
      <c r="P28" s="570" t="s">
        <v>804</v>
      </c>
      <c r="Q28" s="570" t="s">
        <v>804</v>
      </c>
      <c r="S28" s="570" t="s">
        <v>804</v>
      </c>
      <c r="T28" s="570" t="s">
        <v>804</v>
      </c>
      <c r="U28" s="570" t="s">
        <v>804</v>
      </c>
      <c r="V28" s="570" t="s">
        <v>804</v>
      </c>
      <c r="W28" s="570" t="s">
        <v>804</v>
      </c>
      <c r="X28" s="570" t="s">
        <v>804</v>
      </c>
      <c r="Z28" s="570" t="s">
        <v>804</v>
      </c>
      <c r="AA28" s="570" t="s">
        <v>804</v>
      </c>
    </row>
    <row r="29" spans="1:29">
      <c r="A29" s="571">
        <v>42736</v>
      </c>
      <c r="B29" s="572">
        <v>348365.02</v>
      </c>
      <c r="C29" s="572">
        <v>104566.55</v>
      </c>
      <c r="D29" s="572">
        <v>104921.51</v>
      </c>
      <c r="E29" s="572">
        <v>75998.850000000006</v>
      </c>
      <c r="F29" s="572">
        <v>0</v>
      </c>
      <c r="G29" s="573">
        <f>SUM(B29:F29)</f>
        <v>633851.92999999993</v>
      </c>
      <c r="H29" s="573">
        <f t="shared" ref="H29:H40" si="9">G29-J12</f>
        <v>3.5891092848032713E-2</v>
      </c>
      <c r="L29" s="573">
        <f t="shared" ref="L29:P40" si="10">B29/$G29*$N12</f>
        <v>5400.9571355037142</v>
      </c>
      <c r="M29" s="573">
        <f t="shared" si="10"/>
        <v>1621.1715354127862</v>
      </c>
      <c r="N29" s="573">
        <f t="shared" si="10"/>
        <v>1626.6747393361259</v>
      </c>
      <c r="O29" s="573">
        <f t="shared" si="10"/>
        <v>1178.2656341258846</v>
      </c>
      <c r="P29" s="573">
        <f t="shared" si="10"/>
        <v>0</v>
      </c>
      <c r="Q29" s="573">
        <f>SUM(L29:P29)</f>
        <v>9827.0690443785115</v>
      </c>
      <c r="R29" s="573"/>
      <c r="S29" s="573">
        <f t="shared" ref="S29:W40" si="11">B29/$G29*$O12</f>
        <v>342964.04313875164</v>
      </c>
      <c r="T29" s="573">
        <f t="shared" si="11"/>
        <v>102945.37254363378</v>
      </c>
      <c r="U29" s="573">
        <f t="shared" si="11"/>
        <v>103294.82931961126</v>
      </c>
      <c r="V29" s="573">
        <f t="shared" si="11"/>
        <v>74820.580062531881</v>
      </c>
      <c r="W29" s="573">
        <f t="shared" si="11"/>
        <v>0</v>
      </c>
      <c r="X29" s="573">
        <f>SUM(S29:W29)</f>
        <v>624024.82506452862</v>
      </c>
      <c r="Y29" s="573"/>
      <c r="Z29" s="573">
        <f t="shared" ref="Z29:Z39" si="12">Q29+X29</f>
        <v>633851.89410890709</v>
      </c>
      <c r="AA29" s="573">
        <f t="shared" ref="AA29:AA40" si="13">Z29-J12</f>
        <v>0</v>
      </c>
    </row>
    <row r="30" spans="1:29">
      <c r="A30" s="574">
        <v>42767</v>
      </c>
      <c r="B30" s="572">
        <v>499135.14</v>
      </c>
      <c r="C30" s="572">
        <v>149822.28</v>
      </c>
      <c r="D30" s="572">
        <v>150330.85999999999</v>
      </c>
      <c r="E30" s="572">
        <v>108890.65</v>
      </c>
      <c r="F30" s="572">
        <v>0</v>
      </c>
      <c r="G30" s="573">
        <f t="shared" ref="G30:G40" si="14">SUM(B30:F30)</f>
        <v>908178.93</v>
      </c>
      <c r="H30" s="573">
        <f t="shared" si="9"/>
        <v>-5.4072239436209202E-4</v>
      </c>
      <c r="L30" s="573">
        <f t="shared" si="10"/>
        <v>4486.7115735859843</v>
      </c>
      <c r="M30" s="573">
        <f t="shared" si="10"/>
        <v>1346.7482126324344</v>
      </c>
      <c r="N30" s="573">
        <f t="shared" si="10"/>
        <v>1351.3198237838637</v>
      </c>
      <c r="O30" s="573">
        <f t="shared" si="10"/>
        <v>978.81495502460632</v>
      </c>
      <c r="P30" s="573">
        <f t="shared" si="10"/>
        <v>0</v>
      </c>
      <c r="Q30" s="573">
        <f t="shared" ref="Q30:Q40" si="15">SUM(L30:P30)</f>
        <v>8163.5945650268886</v>
      </c>
      <c r="R30" s="573"/>
      <c r="S30" s="573">
        <f t="shared" si="11"/>
        <v>494648.42872359511</v>
      </c>
      <c r="T30" s="573">
        <f t="shared" si="11"/>
        <v>148475.53187657055</v>
      </c>
      <c r="U30" s="573">
        <f t="shared" si="11"/>
        <v>148979.54026572188</v>
      </c>
      <c r="V30" s="573">
        <f t="shared" si="11"/>
        <v>107911.835109808</v>
      </c>
      <c r="W30" s="573">
        <f t="shared" si="11"/>
        <v>0</v>
      </c>
      <c r="X30" s="573">
        <f t="shared" ref="X30:X40" si="16">SUM(S30:W30)</f>
        <v>900015.33597569552</v>
      </c>
      <c r="Y30" s="573"/>
      <c r="Z30" s="573">
        <f t="shared" si="12"/>
        <v>908178.93054072245</v>
      </c>
      <c r="AA30" s="573">
        <f t="shared" si="13"/>
        <v>0</v>
      </c>
    </row>
    <row r="31" spans="1:29">
      <c r="A31" s="574">
        <v>42795</v>
      </c>
      <c r="B31" s="572">
        <v>77346.350000000006</v>
      </c>
      <c r="C31" s="572">
        <v>23216.57</v>
      </c>
      <c r="D31" s="572">
        <v>23295.38</v>
      </c>
      <c r="E31" s="572">
        <v>16873.78</v>
      </c>
      <c r="F31" s="572">
        <v>0</v>
      </c>
      <c r="G31" s="573">
        <f t="shared" si="14"/>
        <v>140732.08000000002</v>
      </c>
      <c r="H31" s="573">
        <f t="shared" si="9"/>
        <v>8.1746372161433101E-3</v>
      </c>
      <c r="L31" s="573">
        <f t="shared" si="10"/>
        <v>5423.6022930037498</v>
      </c>
      <c r="M31" s="573">
        <f t="shared" si="10"/>
        <v>1627.9687701834937</v>
      </c>
      <c r="N31" s="573">
        <f t="shared" si="10"/>
        <v>1633.4950050570415</v>
      </c>
      <c r="O31" s="573">
        <f t="shared" si="10"/>
        <v>1183.2060840575</v>
      </c>
      <c r="P31" s="573">
        <f t="shared" si="10"/>
        <v>0</v>
      </c>
      <c r="Q31" s="573">
        <f t="shared" si="15"/>
        <v>9868.2721523017844</v>
      </c>
      <c r="R31" s="573"/>
      <c r="S31" s="573">
        <f t="shared" si="11"/>
        <v>71922.743214215734</v>
      </c>
      <c r="T31" s="573">
        <f t="shared" si="11"/>
        <v>21588.599881246682</v>
      </c>
      <c r="U31" s="573">
        <f t="shared" si="11"/>
        <v>21661.883641795339</v>
      </c>
      <c r="V31" s="573">
        <f t="shared" si="11"/>
        <v>15690.572935803293</v>
      </c>
      <c r="W31" s="573">
        <f t="shared" si="11"/>
        <v>0</v>
      </c>
      <c r="X31" s="573">
        <f t="shared" si="16"/>
        <v>130863.79967306106</v>
      </c>
      <c r="Y31" s="573"/>
      <c r="Z31" s="573">
        <f t="shared" si="12"/>
        <v>140732.07182536286</v>
      </c>
      <c r="AA31" s="573">
        <f t="shared" si="13"/>
        <v>0</v>
      </c>
    </row>
    <row r="32" spans="1:29">
      <c r="A32" s="574">
        <v>42826</v>
      </c>
      <c r="B32" s="572">
        <v>244051.57</v>
      </c>
      <c r="C32" s="572">
        <v>73255.44</v>
      </c>
      <c r="D32" s="572">
        <v>73504.11</v>
      </c>
      <c r="E32" s="572">
        <v>53241.96</v>
      </c>
      <c r="F32" s="572">
        <v>0</v>
      </c>
      <c r="G32" s="573">
        <f t="shared" si="14"/>
        <v>444053.08</v>
      </c>
      <c r="H32" s="573">
        <f t="shared" si="9"/>
        <v>-4.6758607495576143E-3</v>
      </c>
      <c r="L32" s="573">
        <f t="shared" si="10"/>
        <v>5613.5962901033399</v>
      </c>
      <c r="M32" s="573">
        <f t="shared" si="10"/>
        <v>1684.9982412073309</v>
      </c>
      <c r="N32" s="573">
        <f t="shared" si="10"/>
        <v>1690.7180691496794</v>
      </c>
      <c r="O32" s="573">
        <f t="shared" si="10"/>
        <v>1224.6545643358511</v>
      </c>
      <c r="P32" s="573">
        <f t="shared" si="10"/>
        <v>0</v>
      </c>
      <c r="Q32" s="573">
        <f t="shared" si="15"/>
        <v>10213.967164796202</v>
      </c>
      <c r="R32" s="573"/>
      <c r="S32" s="573">
        <f t="shared" si="11"/>
        <v>238437.97627974968</v>
      </c>
      <c r="T32" s="573">
        <f t="shared" si="11"/>
        <v>71570.442530169457</v>
      </c>
      <c r="U32" s="573">
        <f t="shared" si="11"/>
        <v>71813.392704845595</v>
      </c>
      <c r="V32" s="573">
        <f t="shared" si="11"/>
        <v>52017.305996299809</v>
      </c>
      <c r="W32" s="573">
        <f t="shared" si="11"/>
        <v>0</v>
      </c>
      <c r="X32" s="573">
        <f t="shared" si="16"/>
        <v>433839.11751106451</v>
      </c>
      <c r="Y32" s="573"/>
      <c r="Z32" s="573">
        <f t="shared" si="12"/>
        <v>444053.08467586071</v>
      </c>
      <c r="AA32" s="573">
        <f t="shared" si="13"/>
        <v>0</v>
      </c>
    </row>
    <row r="33" spans="1:27">
      <c r="A33" s="574">
        <v>42856</v>
      </c>
      <c r="B33" s="572">
        <v>253215.71</v>
      </c>
      <c r="C33" s="572">
        <v>77678.240000000005</v>
      </c>
      <c r="D33" s="572">
        <v>76862.13</v>
      </c>
      <c r="E33" s="572">
        <v>59022.69</v>
      </c>
      <c r="F33" s="572">
        <v>65656.83</v>
      </c>
      <c r="G33" s="573">
        <f t="shared" si="14"/>
        <v>532435.6</v>
      </c>
      <c r="H33" s="573">
        <f t="shared" si="9"/>
        <v>-1.0273644002154469E-3</v>
      </c>
      <c r="L33" s="573">
        <f t="shared" si="10"/>
        <v>4900.7105718608218</v>
      </c>
      <c r="M33" s="573">
        <f t="shared" si="10"/>
        <v>1503.3765952813205</v>
      </c>
      <c r="N33" s="573">
        <f t="shared" si="10"/>
        <v>1487.5816870396425</v>
      </c>
      <c r="O33" s="573">
        <f t="shared" si="10"/>
        <v>1142.3190167097612</v>
      </c>
      <c r="P33" s="573">
        <f t="shared" si="10"/>
        <v>1270.715473758989</v>
      </c>
      <c r="Q33" s="573">
        <f t="shared" si="15"/>
        <v>10304.703344650537</v>
      </c>
      <c r="R33" s="573"/>
      <c r="S33" s="573">
        <f t="shared" si="11"/>
        <v>248314.99991673316</v>
      </c>
      <c r="T33" s="573">
        <f t="shared" si="11"/>
        <v>76174.863554603231</v>
      </c>
      <c r="U33" s="573">
        <f t="shared" si="11"/>
        <v>75374.548461270184</v>
      </c>
      <c r="V33" s="573">
        <f t="shared" si="11"/>
        <v>57880.371097177856</v>
      </c>
      <c r="W33" s="573">
        <f t="shared" si="11"/>
        <v>64386.114652929573</v>
      </c>
      <c r="X33" s="573">
        <f t="shared" si="16"/>
        <v>522130.89768271398</v>
      </c>
      <c r="Y33" s="573"/>
      <c r="Z33" s="573">
        <f t="shared" si="12"/>
        <v>532435.60102736449</v>
      </c>
      <c r="AA33" s="573">
        <f t="shared" si="13"/>
        <v>0</v>
      </c>
    </row>
    <row r="34" spans="1:27">
      <c r="A34" s="574">
        <v>42887</v>
      </c>
      <c r="B34" s="572">
        <v>303482.78999999998</v>
      </c>
      <c r="C34" s="572">
        <v>91843.32</v>
      </c>
      <c r="D34" s="572">
        <v>91672.55</v>
      </c>
      <c r="E34" s="572">
        <v>67523.710000000006</v>
      </c>
      <c r="F34" s="572">
        <v>34330.1</v>
      </c>
      <c r="G34" s="573">
        <f t="shared" si="14"/>
        <v>588852.47</v>
      </c>
      <c r="H34" s="573">
        <f t="shared" si="9"/>
        <v>2.8716943925246596E-3</v>
      </c>
      <c r="L34" s="573">
        <f t="shared" si="10"/>
        <v>5836.6244105173291</v>
      </c>
      <c r="M34" s="573">
        <f t="shared" si="10"/>
        <v>1766.3438623816344</v>
      </c>
      <c r="N34" s="573">
        <f t="shared" si="10"/>
        <v>1763.0595893242262</v>
      </c>
      <c r="O34" s="573">
        <f t="shared" si="10"/>
        <v>1298.6256455421842</v>
      </c>
      <c r="P34" s="573">
        <f t="shared" si="10"/>
        <v>660.24139186113632</v>
      </c>
      <c r="Q34" s="573">
        <f t="shared" si="15"/>
        <v>11324.89489962651</v>
      </c>
      <c r="R34" s="573"/>
      <c r="S34" s="573">
        <f t="shared" si="11"/>
        <v>297646.16410946875</v>
      </c>
      <c r="T34" s="573">
        <f t="shared" si="11"/>
        <v>90076.975689720173</v>
      </c>
      <c r="U34" s="573">
        <f t="shared" si="11"/>
        <v>89909.48996361038</v>
      </c>
      <c r="V34" s="573">
        <f t="shared" si="11"/>
        <v>66225.084025160628</v>
      </c>
      <c r="W34" s="573">
        <f t="shared" si="11"/>
        <v>33669.858440719065</v>
      </c>
      <c r="X34" s="573">
        <f t="shared" si="16"/>
        <v>577527.57222867897</v>
      </c>
      <c r="Y34" s="573"/>
      <c r="Z34" s="573">
        <f t="shared" si="12"/>
        <v>588852.46712830546</v>
      </c>
      <c r="AA34" s="573">
        <f t="shared" si="13"/>
        <v>0</v>
      </c>
    </row>
    <row r="35" spans="1:27">
      <c r="A35" s="571">
        <v>42917</v>
      </c>
      <c r="B35" s="572">
        <v>364910.87</v>
      </c>
      <c r="C35" s="572">
        <v>103083.33</v>
      </c>
      <c r="D35" s="572">
        <v>118397.98</v>
      </c>
      <c r="E35" s="572">
        <v>97566.53</v>
      </c>
      <c r="F35" s="572">
        <v>51615.22</v>
      </c>
      <c r="G35" s="573">
        <f t="shared" si="14"/>
        <v>735573.93</v>
      </c>
      <c r="H35" s="573">
        <f t="shared" si="9"/>
        <v>-5.171789089217782E-4</v>
      </c>
      <c r="L35" s="573">
        <f t="shared" si="10"/>
        <v>6238.9843524645285</v>
      </c>
      <c r="M35" s="573">
        <f t="shared" si="10"/>
        <v>1762.4448481623401</v>
      </c>
      <c r="N35" s="573">
        <f t="shared" si="10"/>
        <v>2024.2837506687817</v>
      </c>
      <c r="O35" s="573">
        <f t="shared" si="10"/>
        <v>1668.1225582407592</v>
      </c>
      <c r="P35" s="573">
        <f t="shared" si="10"/>
        <v>882.48001471979774</v>
      </c>
      <c r="Q35" s="573">
        <f t="shared" si="15"/>
        <v>12576.315524256208</v>
      </c>
      <c r="R35" s="573"/>
      <c r="S35" s="573">
        <f t="shared" si="11"/>
        <v>358671.88590410276</v>
      </c>
      <c r="T35" s="573">
        <f t="shared" si="11"/>
        <v>101320.88522431512</v>
      </c>
      <c r="U35" s="573">
        <f t="shared" si="11"/>
        <v>116373.69633257634</v>
      </c>
      <c r="V35" s="573">
        <f t="shared" si="11"/>
        <v>95898.407510357865</v>
      </c>
      <c r="W35" s="573">
        <f t="shared" si="11"/>
        <v>50732.740021570644</v>
      </c>
      <c r="X35" s="573">
        <f t="shared" si="16"/>
        <v>722997.61499292264</v>
      </c>
      <c r="Y35" s="573"/>
      <c r="Z35" s="573">
        <f t="shared" si="12"/>
        <v>735573.93051717884</v>
      </c>
      <c r="AA35" s="573">
        <f t="shared" si="13"/>
        <v>0</v>
      </c>
    </row>
    <row r="36" spans="1:27">
      <c r="A36" s="571">
        <v>42948</v>
      </c>
      <c r="B36" s="572">
        <v>385331.76</v>
      </c>
      <c r="C36" s="572">
        <v>108852.01</v>
      </c>
      <c r="D36" s="572">
        <v>125023.67999999999</v>
      </c>
      <c r="E36" s="572">
        <v>103026.48</v>
      </c>
      <c r="F36" s="572">
        <v>54503.68</v>
      </c>
      <c r="G36" s="573">
        <f t="shared" si="14"/>
        <v>776737.61</v>
      </c>
      <c r="H36" s="573">
        <f t="shared" si="9"/>
        <v>1.2738470453768969E-2</v>
      </c>
      <c r="L36" s="573">
        <f t="shared" si="10"/>
        <v>6908.3095871910064</v>
      </c>
      <c r="M36" s="573">
        <f t="shared" si="10"/>
        <v>1951.5219411657404</v>
      </c>
      <c r="N36" s="573">
        <f t="shared" si="10"/>
        <v>2241.4510736667548</v>
      </c>
      <c r="O36" s="573">
        <f t="shared" si="10"/>
        <v>1847.0806027474675</v>
      </c>
      <c r="P36" s="573">
        <f t="shared" si="10"/>
        <v>977.1535444708494</v>
      </c>
      <c r="Q36" s="573">
        <f t="shared" si="15"/>
        <v>13925.516749241819</v>
      </c>
      <c r="R36" s="573"/>
      <c r="S36" s="573">
        <f t="shared" si="11"/>
        <v>378423.44409338117</v>
      </c>
      <c r="T36" s="573">
        <f t="shared" si="11"/>
        <v>106900.48627366498</v>
      </c>
      <c r="U36" s="573">
        <f t="shared" si="11"/>
        <v>122782.22687594911</v>
      </c>
      <c r="V36" s="573">
        <f t="shared" si="11"/>
        <v>101179.39770762176</v>
      </c>
      <c r="W36" s="573">
        <f t="shared" si="11"/>
        <v>53526.525561670642</v>
      </c>
      <c r="X36" s="573">
        <f t="shared" si="16"/>
        <v>762812.08051228768</v>
      </c>
      <c r="Y36" s="573"/>
      <c r="Z36" s="573">
        <f t="shared" si="12"/>
        <v>776737.59726152953</v>
      </c>
      <c r="AA36" s="573">
        <f t="shared" si="13"/>
        <v>0</v>
      </c>
    </row>
    <row r="37" spans="1:27">
      <c r="A37" s="571">
        <v>42979</v>
      </c>
      <c r="B37" s="572">
        <v>389040.88</v>
      </c>
      <c r="C37" s="572">
        <v>109899.79</v>
      </c>
      <c r="D37" s="572">
        <v>126227.14</v>
      </c>
      <c r="E37" s="572">
        <v>104018.19</v>
      </c>
      <c r="F37" s="572">
        <v>55028.32</v>
      </c>
      <c r="G37" s="573">
        <f t="shared" si="14"/>
        <v>784214.32</v>
      </c>
      <c r="H37" s="573">
        <f t="shared" si="9"/>
        <v>8.3402462769299746E-4</v>
      </c>
      <c r="L37" s="573">
        <f t="shared" si="10"/>
        <v>6218.9996005817175</v>
      </c>
      <c r="M37" s="573">
        <f t="shared" si="10"/>
        <v>1756.7993114605708</v>
      </c>
      <c r="N37" s="573">
        <f t="shared" si="10"/>
        <v>2017.7996030714626</v>
      </c>
      <c r="O37" s="573">
        <f t="shared" si="10"/>
        <v>1662.7791970428227</v>
      </c>
      <c r="P37" s="573">
        <f t="shared" si="10"/>
        <v>879.65331586922935</v>
      </c>
      <c r="Q37" s="573">
        <f t="shared" si="15"/>
        <v>12536.031028025802</v>
      </c>
      <c r="R37" s="573"/>
      <c r="S37" s="573">
        <f t="shared" si="11"/>
        <v>382821.87998566701</v>
      </c>
      <c r="T37" s="573">
        <f t="shared" si="11"/>
        <v>108142.99057165922</v>
      </c>
      <c r="U37" s="573">
        <f t="shared" si="11"/>
        <v>124209.34026268394</v>
      </c>
      <c r="V37" s="573">
        <f t="shared" si="11"/>
        <v>102355.41069233214</v>
      </c>
      <c r="W37" s="573">
        <f t="shared" si="11"/>
        <v>54148.666625607264</v>
      </c>
      <c r="X37" s="573">
        <f t="shared" si="16"/>
        <v>771678.28813794954</v>
      </c>
      <c r="Y37" s="573"/>
      <c r="Z37" s="573">
        <f t="shared" si="12"/>
        <v>784214.31916597532</v>
      </c>
      <c r="AA37" s="573">
        <f t="shared" si="13"/>
        <v>0</v>
      </c>
    </row>
    <row r="38" spans="1:27">
      <c r="A38" s="571">
        <v>43009</v>
      </c>
      <c r="B38" s="572">
        <v>318153.59999999998</v>
      </c>
      <c r="C38" s="572">
        <v>89874.91</v>
      </c>
      <c r="D38" s="572">
        <v>103227.24</v>
      </c>
      <c r="E38" s="572">
        <v>85065</v>
      </c>
      <c r="F38" s="572">
        <v>45001.59</v>
      </c>
      <c r="G38" s="573">
        <f t="shared" si="14"/>
        <v>641322.34</v>
      </c>
      <c r="H38" s="573">
        <f t="shared" si="9"/>
        <v>4.6693850308656693E-3</v>
      </c>
      <c r="L38" s="573">
        <f t="shared" si="10"/>
        <v>6115.861578504645</v>
      </c>
      <c r="M38" s="573">
        <f t="shared" si="10"/>
        <v>1727.6639614970973</v>
      </c>
      <c r="N38" s="573">
        <f t="shared" si="10"/>
        <v>1984.3355881281175</v>
      </c>
      <c r="O38" s="573">
        <f t="shared" si="10"/>
        <v>1635.2031382813132</v>
      </c>
      <c r="P38" s="573">
        <f t="shared" si="10"/>
        <v>865.06484683064662</v>
      </c>
      <c r="Q38" s="573">
        <f t="shared" si="15"/>
        <v>12328.129113241819</v>
      </c>
      <c r="R38" s="573"/>
      <c r="S38" s="573">
        <f t="shared" si="11"/>
        <v>312037.73610506015</v>
      </c>
      <c r="T38" s="573">
        <f t="shared" si="11"/>
        <v>88147.245384135313</v>
      </c>
      <c r="U38" s="573">
        <f t="shared" si="11"/>
        <v>101242.9036602877</v>
      </c>
      <c r="V38" s="573">
        <f t="shared" si="11"/>
        <v>83429.79624237142</v>
      </c>
      <c r="W38" s="573">
        <f t="shared" si="11"/>
        <v>44136.524825518594</v>
      </c>
      <c r="X38" s="573">
        <f t="shared" si="16"/>
        <v>628994.20621737326</v>
      </c>
      <c r="Y38" s="573"/>
      <c r="Z38" s="573">
        <f t="shared" si="12"/>
        <v>641322.33533061505</v>
      </c>
      <c r="AA38" s="573">
        <f t="shared" si="13"/>
        <v>0</v>
      </c>
    </row>
    <row r="39" spans="1:27">
      <c r="A39" s="571">
        <v>43040</v>
      </c>
      <c r="B39" s="572">
        <v>323308.59000000003</v>
      </c>
      <c r="C39" s="572">
        <v>91331.14</v>
      </c>
      <c r="D39" s="572">
        <v>104899.82</v>
      </c>
      <c r="E39" s="572">
        <v>86443.29</v>
      </c>
      <c r="F39" s="572">
        <v>45730.74</v>
      </c>
      <c r="G39" s="573">
        <f t="shared" si="14"/>
        <v>651713.58000000007</v>
      </c>
      <c r="H39" s="573">
        <f t="shared" si="9"/>
        <v>2.3975265212357044E-3</v>
      </c>
      <c r="L39" s="573">
        <f t="shared" si="10"/>
        <v>6318.2156394411904</v>
      </c>
      <c r="M39" s="573">
        <f t="shared" si="10"/>
        <v>1784.8268031356447</v>
      </c>
      <c r="N39" s="573">
        <f t="shared" si="10"/>
        <v>2049.9909491998519</v>
      </c>
      <c r="O39" s="573">
        <f t="shared" si="10"/>
        <v>1689.3066367421609</v>
      </c>
      <c r="P39" s="573">
        <f t="shared" si="10"/>
        <v>893.68697772991061</v>
      </c>
      <c r="Q39" s="573">
        <f t="shared" si="15"/>
        <v>12736.02700624876</v>
      </c>
      <c r="R39" s="573"/>
      <c r="S39" s="573">
        <f t="shared" si="11"/>
        <v>316990.37317116989</v>
      </c>
      <c r="T39" s="573">
        <f t="shared" si="11"/>
        <v>89546.312860875012</v>
      </c>
      <c r="U39" s="573">
        <f t="shared" si="11"/>
        <v>102849.82866489429</v>
      </c>
      <c r="V39" s="573">
        <f t="shared" si="11"/>
        <v>84753.98304524993</v>
      </c>
      <c r="W39" s="573">
        <f t="shared" si="11"/>
        <v>44837.052854035661</v>
      </c>
      <c r="X39" s="573">
        <f t="shared" si="16"/>
        <v>638977.55059622473</v>
      </c>
      <c r="Y39" s="573"/>
      <c r="Z39" s="573">
        <f t="shared" si="12"/>
        <v>651713.57760247344</v>
      </c>
      <c r="AA39" s="573">
        <f t="shared" si="13"/>
        <v>0</v>
      </c>
    </row>
    <row r="40" spans="1:27">
      <c r="A40" s="577">
        <v>43070</v>
      </c>
      <c r="B40" s="578">
        <v>289898.36</v>
      </c>
      <c r="C40" s="578">
        <v>81893.119999999995</v>
      </c>
      <c r="D40" s="578">
        <v>94059.63</v>
      </c>
      <c r="E40" s="578">
        <v>77510.37</v>
      </c>
      <c r="F40" s="578">
        <v>41005</v>
      </c>
      <c r="G40" s="579">
        <f t="shared" si="14"/>
        <v>584366.48</v>
      </c>
      <c r="H40" s="579">
        <f t="shared" si="9"/>
        <v>1.0298995650373399E-2</v>
      </c>
      <c r="I40" s="584"/>
      <c r="J40" s="584"/>
      <c r="K40" s="584"/>
      <c r="L40" s="579">
        <f t="shared" si="10"/>
        <v>5903.7524590207959</v>
      </c>
      <c r="M40" s="579">
        <f t="shared" si="10"/>
        <v>1667.7455801298258</v>
      </c>
      <c r="N40" s="579">
        <f t="shared" si="10"/>
        <v>1915.5153961791516</v>
      </c>
      <c r="O40" s="579">
        <f t="shared" si="10"/>
        <v>1578.4912942836645</v>
      </c>
      <c r="P40" s="579">
        <f t="shared" si="10"/>
        <v>835.06291509254402</v>
      </c>
      <c r="Q40" s="579">
        <f t="shared" si="15"/>
        <v>11900.56764470598</v>
      </c>
      <c r="R40" s="579"/>
      <c r="S40" s="579">
        <f t="shared" si="11"/>
        <v>283994.60243175057</v>
      </c>
      <c r="T40" s="579">
        <f t="shared" si="11"/>
        <v>80225.372976568891</v>
      </c>
      <c r="U40" s="579">
        <f t="shared" si="11"/>
        <v>92144.112946094494</v>
      </c>
      <c r="V40" s="579">
        <f t="shared" si="11"/>
        <v>75931.877339657542</v>
      </c>
      <c r="W40" s="579">
        <f t="shared" si="11"/>
        <v>40169.936362226857</v>
      </c>
      <c r="X40" s="579">
        <f t="shared" si="16"/>
        <v>572465.90205629834</v>
      </c>
      <c r="Y40" s="579"/>
      <c r="Z40" s="579">
        <f>Q40+X40</f>
        <v>584366.46970100433</v>
      </c>
      <c r="AA40" s="579">
        <f t="shared" si="13"/>
        <v>0</v>
      </c>
    </row>
    <row r="41" spans="1:27">
      <c r="A41" s="580" t="s">
        <v>6</v>
      </c>
      <c r="B41" s="581">
        <f>SUM(B29:B40)</f>
        <v>3796240.6399999997</v>
      </c>
      <c r="C41" s="587">
        <f t="shared" ref="C41:F41" si="17">SUM(C29:C40)</f>
        <v>1105316.7000000002</v>
      </c>
      <c r="D41" s="581">
        <f t="shared" si="17"/>
        <v>1192422.0299999998</v>
      </c>
      <c r="E41" s="581">
        <f t="shared" si="17"/>
        <v>935181.50000000012</v>
      </c>
      <c r="F41" s="581">
        <f t="shared" si="17"/>
        <v>392871.48</v>
      </c>
      <c r="G41" s="581">
        <f>SUM(G29:G40)</f>
        <v>7422032.3499999996</v>
      </c>
      <c r="H41" s="581">
        <f>SUM(H29:H40)</f>
        <v>7.111470028758049E-2</v>
      </c>
      <c r="J41" s="582"/>
      <c r="K41" s="582"/>
      <c r="L41" s="585">
        <f t="shared" ref="L41:Q41" si="18">SUM(L29:L40)</f>
        <v>69366.325491778814</v>
      </c>
      <c r="M41" s="585">
        <f t="shared" si="18"/>
        <v>20201.609662650222</v>
      </c>
      <c r="N41" s="585">
        <f t="shared" si="18"/>
        <v>21786.225274604698</v>
      </c>
      <c r="O41" s="585">
        <f t="shared" si="18"/>
        <v>17086.869327133976</v>
      </c>
      <c r="P41" s="585">
        <f t="shared" si="18"/>
        <v>7264.058480333103</v>
      </c>
      <c r="Q41" s="581">
        <f t="shared" si="18"/>
        <v>135705.0882365008</v>
      </c>
      <c r="R41" s="582"/>
      <c r="S41" s="581">
        <f t="shared" ref="S41:X41" si="19">SUM(S29:S40)</f>
        <v>3726874.2770736455</v>
      </c>
      <c r="T41" s="587">
        <f t="shared" si="19"/>
        <v>1085115.0793671624</v>
      </c>
      <c r="U41" s="581">
        <f t="shared" si="19"/>
        <v>1170635.7930993405</v>
      </c>
      <c r="V41" s="581">
        <f t="shared" si="19"/>
        <v>918094.62176437222</v>
      </c>
      <c r="W41" s="581">
        <f t="shared" si="19"/>
        <v>385607.41934427829</v>
      </c>
      <c r="X41" s="581">
        <f t="shared" si="19"/>
        <v>7286327.1906487979</v>
      </c>
      <c r="Y41" s="582"/>
      <c r="Z41" s="581">
        <f t="shared" ref="Z41:AA41" si="20">SUM(Z29:Z40)</f>
        <v>7422032.2788852993</v>
      </c>
      <c r="AA41" s="581">
        <f t="shared" si="20"/>
        <v>0</v>
      </c>
    </row>
    <row r="43" spans="1:27">
      <c r="B43" s="586"/>
      <c r="L43" s="588" t="s">
        <v>831</v>
      </c>
      <c r="M43" s="589"/>
      <c r="N43" s="589"/>
      <c r="O43" s="589"/>
      <c r="P43" s="589"/>
      <c r="Q43" s="589"/>
    </row>
  </sheetData>
  <printOptions horizontalCentered="1"/>
  <pageMargins left="0.2" right="0.2" top="0.75" bottom="0.75" header="0.3" footer="0.3"/>
  <pageSetup scale="51"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37"/>
  <sheetViews>
    <sheetView tabSelected="1" zoomScale="90" zoomScaleNormal="90" zoomScaleSheetLayoutView="75" workbookViewId="0"/>
  </sheetViews>
  <sheetFormatPr defaultColWidth="8.88671875" defaultRowHeight="15.75"/>
  <cols>
    <col min="1" max="1" width="4.21875" style="1" customWidth="1"/>
    <col min="2" max="2" width="28" style="1" customWidth="1"/>
    <col min="3" max="3" width="31.6640625" style="1" customWidth="1"/>
    <col min="4" max="4" width="12.77734375" style="1" customWidth="1"/>
    <col min="5" max="5" width="5.77734375" style="1" customWidth="1"/>
    <col min="6" max="6" width="4.21875" style="1" customWidth="1"/>
    <col min="7" max="7" width="10" style="1" customWidth="1"/>
    <col min="8" max="8" width="3.44140625" style="1" customWidth="1"/>
    <col min="9" max="9" width="12.77734375" style="1" customWidth="1"/>
    <col min="10" max="10" width="1.77734375" style="1" customWidth="1"/>
    <col min="11" max="11" width="6.77734375" style="1" customWidth="1"/>
    <col min="12" max="12" width="8.88671875" style="1"/>
    <col min="13" max="13" width="13.33203125" style="1" customWidth="1"/>
    <col min="14" max="14" width="11.44140625" style="1" customWidth="1"/>
    <col min="15" max="16" width="8.88671875" style="1"/>
    <col min="17" max="17" width="11.77734375" style="1" customWidth="1"/>
    <col min="18" max="16384" width="8.88671875" style="1"/>
  </cols>
  <sheetData>
    <row r="1" spans="1:20" ht="15.75" customHeight="1">
      <c r="K1" s="2" t="s">
        <v>784</v>
      </c>
    </row>
    <row r="2" spans="1:20">
      <c r="B2" s="3"/>
      <c r="C2" s="3"/>
      <c r="D2" s="494"/>
      <c r="E2" s="3"/>
      <c r="F2" s="3"/>
      <c r="G2" s="3"/>
      <c r="H2" s="4"/>
      <c r="I2" s="4"/>
      <c r="J2" s="609" t="s">
        <v>754</v>
      </c>
      <c r="K2" s="609"/>
    </row>
    <row r="3" spans="1:20">
      <c r="B3" s="3"/>
      <c r="C3" s="3"/>
      <c r="D3" s="494"/>
      <c r="E3" s="3"/>
      <c r="F3" s="3"/>
      <c r="G3" s="3"/>
      <c r="H3" s="4"/>
      <c r="I3" s="4"/>
      <c r="J3" s="5"/>
      <c r="K3" s="5"/>
    </row>
    <row r="4" spans="1:20">
      <c r="B4" s="3" t="s">
        <v>753</v>
      </c>
      <c r="C4" s="3"/>
      <c r="D4" s="494" t="s">
        <v>755</v>
      </c>
      <c r="E4" s="3"/>
      <c r="F4" s="3"/>
      <c r="G4" s="3"/>
      <c r="H4" s="527"/>
      <c r="I4" s="528"/>
      <c r="J4" s="529"/>
      <c r="K4" s="530" t="s">
        <v>815</v>
      </c>
    </row>
    <row r="5" spans="1:20">
      <c r="B5" s="3"/>
      <c r="C5" s="6" t="s">
        <v>0</v>
      </c>
      <c r="D5" s="6" t="s">
        <v>756</v>
      </c>
      <c r="E5" s="6"/>
      <c r="F5" s="6"/>
      <c r="G5" s="6"/>
      <c r="H5" s="4"/>
      <c r="I5" s="4"/>
      <c r="J5" s="5"/>
      <c r="K5" s="5"/>
    </row>
    <row r="6" spans="1:20">
      <c r="B6" s="5"/>
      <c r="C6" s="5"/>
      <c r="D6" s="5"/>
      <c r="E6" s="5"/>
      <c r="F6" s="5"/>
      <c r="G6" s="5"/>
      <c r="H6" s="5"/>
      <c r="I6" s="5"/>
      <c r="J6" s="5"/>
      <c r="K6" s="5"/>
    </row>
    <row r="7" spans="1:20" ht="15.75" customHeight="1">
      <c r="A7" s="7"/>
      <c r="B7" s="5"/>
      <c r="C7" s="5"/>
      <c r="D7" s="526" t="s">
        <v>785</v>
      </c>
      <c r="E7" s="526"/>
      <c r="F7" s="526"/>
      <c r="G7" s="526"/>
      <c r="H7" s="5"/>
      <c r="I7" s="5"/>
      <c r="J7" s="5"/>
      <c r="K7" s="5"/>
      <c r="M7" s="681"/>
      <c r="N7" s="682"/>
      <c r="O7" s="682"/>
      <c r="P7" s="682"/>
      <c r="Q7" s="682"/>
      <c r="R7" s="682"/>
      <c r="S7" s="682"/>
      <c r="T7" s="84"/>
    </row>
    <row r="8" spans="1:20">
      <c r="A8" s="7"/>
      <c r="B8" s="5"/>
      <c r="C8" s="5"/>
      <c r="D8" s="8"/>
      <c r="E8" s="5"/>
      <c r="F8" s="5"/>
      <c r="G8" s="5"/>
      <c r="H8" s="5"/>
      <c r="I8" s="5"/>
      <c r="J8" s="5"/>
      <c r="K8" s="5"/>
      <c r="M8" s="490"/>
      <c r="N8" s="490"/>
      <c r="O8" s="490"/>
      <c r="P8" s="490"/>
      <c r="Q8" s="490"/>
      <c r="R8" s="490"/>
      <c r="S8" s="490"/>
    </row>
    <row r="9" spans="1:20">
      <c r="A9" s="7" t="s">
        <v>1</v>
      </c>
      <c r="B9" s="5"/>
      <c r="C9" s="5"/>
      <c r="D9" s="8"/>
      <c r="E9" s="5"/>
      <c r="F9" s="5"/>
      <c r="G9" s="5"/>
      <c r="H9" s="5"/>
      <c r="I9" s="7" t="s">
        <v>2</v>
      </c>
      <c r="J9" s="5"/>
      <c r="K9" s="5"/>
      <c r="M9" s="684"/>
      <c r="N9" s="490"/>
      <c r="O9" s="685"/>
      <c r="P9" s="490"/>
      <c r="Q9" s="490"/>
      <c r="R9" s="490"/>
      <c r="S9" s="490"/>
    </row>
    <row r="10" spans="1:20" ht="16.5" thickBot="1">
      <c r="A10" s="9" t="s">
        <v>3</v>
      </c>
      <c r="B10" s="5"/>
      <c r="C10" s="5"/>
      <c r="D10" s="5"/>
      <c r="E10" s="5"/>
      <c r="F10" s="5"/>
      <c r="G10" s="5"/>
      <c r="H10" s="5"/>
      <c r="I10" s="9" t="s">
        <v>4</v>
      </c>
      <c r="J10" s="5"/>
      <c r="K10" s="5"/>
      <c r="M10" s="686"/>
      <c r="N10" s="686"/>
      <c r="O10" s="686"/>
      <c r="P10" s="490"/>
      <c r="Q10" s="490"/>
      <c r="R10" s="490"/>
      <c r="S10" s="490"/>
    </row>
    <row r="11" spans="1:20">
      <c r="A11" s="7">
        <v>1</v>
      </c>
      <c r="B11" s="5" t="s">
        <v>244</v>
      </c>
      <c r="C11" s="5"/>
      <c r="D11" s="10"/>
      <c r="E11" s="5"/>
      <c r="F11" s="5"/>
      <c r="G11" s="5"/>
      <c r="H11" s="5"/>
      <c r="I11" s="11">
        <f>+I197</f>
        <v>1125850.8672364762</v>
      </c>
      <c r="J11" s="5"/>
      <c r="K11" s="5"/>
      <c r="M11" s="683"/>
      <c r="N11" s="593"/>
      <c r="O11" s="687"/>
      <c r="P11" s="490"/>
      <c r="Q11" s="490"/>
      <c r="R11" s="490"/>
      <c r="S11" s="490"/>
    </row>
    <row r="12" spans="1:20">
      <c r="A12" s="7"/>
      <c r="B12" s="5"/>
      <c r="C12" s="5"/>
      <c r="D12" s="5"/>
      <c r="E12" s="5"/>
      <c r="F12" s="5"/>
      <c r="G12" s="5"/>
      <c r="H12" s="5"/>
      <c r="I12" s="10"/>
      <c r="J12" s="5"/>
      <c r="K12" s="5"/>
      <c r="M12" s="683"/>
      <c r="N12" s="490"/>
      <c r="O12" s="490"/>
      <c r="P12" s="490"/>
      <c r="Q12" s="490"/>
      <c r="R12" s="490"/>
      <c r="S12" s="490"/>
    </row>
    <row r="13" spans="1:20" ht="16.5" thickBot="1">
      <c r="A13" s="7" t="s">
        <v>0</v>
      </c>
      <c r="B13" s="88" t="s">
        <v>5</v>
      </c>
      <c r="C13" s="6" t="s">
        <v>172</v>
      </c>
      <c r="D13" s="9" t="s">
        <v>6</v>
      </c>
      <c r="E13" s="6"/>
      <c r="F13" s="12" t="s">
        <v>7</v>
      </c>
      <c r="G13" s="12"/>
      <c r="H13" s="5"/>
      <c r="I13" s="10"/>
      <c r="J13" s="5"/>
      <c r="K13" s="5"/>
      <c r="M13" s="683"/>
      <c r="N13" s="490"/>
      <c r="O13" s="490"/>
      <c r="P13" s="490"/>
      <c r="Q13" s="490"/>
      <c r="R13" s="490"/>
      <c r="S13" s="490"/>
    </row>
    <row r="14" spans="1:20">
      <c r="A14" s="7">
        <v>2</v>
      </c>
      <c r="B14" s="88" t="s">
        <v>8</v>
      </c>
      <c r="C14" s="6" t="s">
        <v>170</v>
      </c>
      <c r="D14" s="6">
        <f>I257</f>
        <v>0</v>
      </c>
      <c r="E14" s="6"/>
      <c r="F14" s="6" t="s">
        <v>9</v>
      </c>
      <c r="G14" s="13">
        <f>I223</f>
        <v>0.77205441773846428</v>
      </c>
      <c r="H14" s="6"/>
      <c r="I14" s="6">
        <f>+G14*D14</f>
        <v>0</v>
      </c>
      <c r="J14" s="5"/>
      <c r="K14" s="5"/>
      <c r="M14" s="683"/>
      <c r="N14" s="593"/>
      <c r="O14" s="687"/>
      <c r="P14" s="490"/>
      <c r="Q14" s="490"/>
      <c r="R14" s="490"/>
      <c r="S14" s="490"/>
    </row>
    <row r="15" spans="1:20">
      <c r="A15" s="7">
        <v>3</v>
      </c>
      <c r="B15" s="88" t="s">
        <v>10</v>
      </c>
      <c r="C15" s="6" t="s">
        <v>164</v>
      </c>
      <c r="D15" s="6">
        <f>I264</f>
        <v>20201.620632837759</v>
      </c>
      <c r="E15" s="6"/>
      <c r="F15" s="6" t="str">
        <f>+F14</f>
        <v>TP</v>
      </c>
      <c r="G15" s="13">
        <f>+G14</f>
        <v>0.77205441773846428</v>
      </c>
      <c r="H15" s="6"/>
      <c r="I15" s="6">
        <f>+G15*D15</f>
        <v>15596.750455058902</v>
      </c>
      <c r="J15" s="5"/>
      <c r="K15" s="5"/>
      <c r="M15" s="683"/>
      <c r="N15" s="593"/>
      <c r="O15" s="687"/>
      <c r="P15" s="490"/>
      <c r="Q15" s="490"/>
      <c r="R15" s="490"/>
      <c r="S15" s="490"/>
    </row>
    <row r="16" spans="1:20">
      <c r="A16" s="7">
        <v>4</v>
      </c>
      <c r="B16" s="88" t="s">
        <v>11</v>
      </c>
      <c r="C16" s="6"/>
      <c r="D16" s="495">
        <v>0</v>
      </c>
      <c r="E16" s="6"/>
      <c r="F16" s="6" t="s">
        <v>9</v>
      </c>
      <c r="G16" s="13">
        <f>+G14</f>
        <v>0.77205441773846428</v>
      </c>
      <c r="H16" s="6"/>
      <c r="I16" s="6">
        <f>+G16*D16</f>
        <v>0</v>
      </c>
      <c r="J16" s="5"/>
      <c r="K16" s="5"/>
      <c r="M16" s="683"/>
      <c r="N16" s="593"/>
      <c r="O16" s="687"/>
      <c r="P16" s="490"/>
      <c r="Q16" s="490"/>
      <c r="R16" s="490"/>
      <c r="S16" s="490"/>
    </row>
    <row r="17" spans="1:19" ht="16.5" thickBot="1">
      <c r="A17" s="7">
        <v>5</v>
      </c>
      <c r="B17" s="88" t="s">
        <v>12</v>
      </c>
      <c r="C17" s="6"/>
      <c r="D17" s="495">
        <v>0</v>
      </c>
      <c r="E17" s="6"/>
      <c r="F17" s="6" t="s">
        <v>9</v>
      </c>
      <c r="G17" s="13">
        <f>+G14</f>
        <v>0.77205441773846428</v>
      </c>
      <c r="H17" s="6"/>
      <c r="I17" s="14">
        <f>+G17*D17</f>
        <v>0</v>
      </c>
      <c r="J17" s="5"/>
      <c r="K17" s="5"/>
      <c r="M17" s="683"/>
      <c r="N17" s="593"/>
      <c r="O17" s="687"/>
      <c r="P17" s="490"/>
      <c r="Q17" s="490"/>
      <c r="R17" s="490"/>
      <c r="S17" s="490"/>
    </row>
    <row r="18" spans="1:19">
      <c r="A18" s="7">
        <v>6</v>
      </c>
      <c r="B18" s="88" t="s">
        <v>13</v>
      </c>
      <c r="C18" s="5"/>
      <c r="D18" s="15" t="s">
        <v>0</v>
      </c>
      <c r="E18" s="6"/>
      <c r="F18" s="6"/>
      <c r="G18" s="13"/>
      <c r="H18" s="6"/>
      <c r="I18" s="6">
        <f>SUM(I14:I17)</f>
        <v>15596.750455058902</v>
      </c>
      <c r="J18" s="5"/>
      <c r="K18" s="5"/>
      <c r="M18" s="683"/>
      <c r="N18" s="593"/>
      <c r="O18" s="687"/>
      <c r="P18" s="490"/>
      <c r="Q18" s="490"/>
      <c r="R18" s="490"/>
      <c r="S18" s="490"/>
    </row>
    <row r="19" spans="1:19">
      <c r="A19" s="7"/>
      <c r="C19" s="5"/>
      <c r="D19" s="6" t="s">
        <v>0</v>
      </c>
      <c r="E19" s="5"/>
      <c r="F19" s="5"/>
      <c r="G19" s="13"/>
      <c r="H19" s="5"/>
      <c r="J19" s="5"/>
      <c r="K19" s="5"/>
      <c r="M19" s="683"/>
      <c r="N19" s="490"/>
      <c r="O19" s="490"/>
      <c r="P19" s="490"/>
      <c r="Q19" s="490"/>
      <c r="R19" s="490"/>
      <c r="S19" s="490"/>
    </row>
    <row r="20" spans="1:19">
      <c r="A20" s="7" t="s">
        <v>757</v>
      </c>
      <c r="B20" s="88" t="s">
        <v>758</v>
      </c>
      <c r="C20" s="5"/>
      <c r="D20" s="6"/>
      <c r="E20" s="5"/>
      <c r="F20" s="5"/>
      <c r="G20" s="13"/>
      <c r="H20" s="5"/>
      <c r="I20" s="496">
        <v>0</v>
      </c>
      <c r="J20" s="5"/>
      <c r="K20" s="5"/>
      <c r="M20" s="683"/>
      <c r="N20" s="593"/>
      <c r="O20" s="687"/>
      <c r="P20" s="490"/>
      <c r="Q20" s="490"/>
      <c r="R20" s="490"/>
      <c r="S20" s="490"/>
    </row>
    <row r="21" spans="1:19">
      <c r="A21" s="7" t="s">
        <v>759</v>
      </c>
      <c r="B21" s="88" t="s">
        <v>760</v>
      </c>
      <c r="C21" s="5"/>
      <c r="D21" s="6"/>
      <c r="E21" s="5"/>
      <c r="F21" s="5"/>
      <c r="G21" s="13"/>
      <c r="H21" s="5"/>
      <c r="I21" s="496">
        <v>0</v>
      </c>
      <c r="J21" s="5"/>
      <c r="K21" s="5"/>
      <c r="M21" s="683"/>
      <c r="N21" s="593"/>
      <c r="O21" s="687"/>
      <c r="P21" s="490"/>
      <c r="Q21" s="490"/>
      <c r="R21" s="490"/>
      <c r="S21" s="490"/>
    </row>
    <row r="22" spans="1:19" ht="16.5" thickBot="1">
      <c r="A22" s="7" t="s">
        <v>761</v>
      </c>
      <c r="B22" s="88" t="s">
        <v>762</v>
      </c>
      <c r="C22" s="5"/>
      <c r="D22" s="6"/>
      <c r="E22" s="5"/>
      <c r="F22" s="5"/>
      <c r="G22" s="13"/>
      <c r="H22" s="5"/>
      <c r="I22" s="497">
        <f>I20+I21</f>
        <v>0</v>
      </c>
      <c r="J22" s="5"/>
      <c r="K22" s="5"/>
      <c r="M22" s="683"/>
      <c r="N22" s="593"/>
      <c r="O22" s="687"/>
      <c r="P22" s="490"/>
      <c r="Q22" s="490"/>
      <c r="R22" s="490"/>
      <c r="S22" s="490"/>
    </row>
    <row r="23" spans="1:19">
      <c r="A23" s="7"/>
      <c r="C23" s="5"/>
      <c r="D23" s="6"/>
      <c r="E23" s="5"/>
      <c r="F23" s="5"/>
      <c r="G23" s="13"/>
      <c r="H23" s="5"/>
      <c r="J23" s="5"/>
      <c r="K23" s="5"/>
      <c r="M23" s="683"/>
      <c r="N23" s="490"/>
      <c r="O23" s="490"/>
      <c r="P23" s="490"/>
      <c r="Q23" s="490"/>
      <c r="R23" s="490"/>
      <c r="S23" s="490"/>
    </row>
    <row r="24" spans="1:19" ht="16.5" thickBot="1">
      <c r="A24" s="7">
        <v>7</v>
      </c>
      <c r="B24" s="88" t="s">
        <v>14</v>
      </c>
      <c r="C24" s="5" t="s">
        <v>763</v>
      </c>
      <c r="D24" s="15" t="s">
        <v>0</v>
      </c>
      <c r="E24" s="6"/>
      <c r="F24" s="6"/>
      <c r="G24" s="6"/>
      <c r="H24" s="6"/>
      <c r="I24" s="16">
        <f>+I11-I18+I22</f>
        <v>1110254.1167814173</v>
      </c>
      <c r="J24" s="5"/>
      <c r="K24" s="5"/>
      <c r="M24" s="683"/>
      <c r="N24" s="593"/>
      <c r="O24" s="687"/>
      <c r="P24" s="490"/>
      <c r="Q24" s="490"/>
      <c r="R24" s="490"/>
      <c r="S24" s="490"/>
    </row>
    <row r="25" spans="1:19" ht="16.5" thickTop="1">
      <c r="A25" s="7"/>
      <c r="C25" s="5"/>
      <c r="D25" s="15"/>
      <c r="E25" s="6"/>
      <c r="F25" s="6"/>
      <c r="G25" s="6"/>
      <c r="H25" s="6"/>
      <c r="J25" s="5"/>
      <c r="K25" s="5"/>
      <c r="M25" s="683"/>
      <c r="N25" s="490"/>
      <c r="O25" s="490"/>
      <c r="P25" s="490"/>
      <c r="Q25" s="490"/>
      <c r="R25" s="490"/>
      <c r="S25" s="490"/>
    </row>
    <row r="26" spans="1:19">
      <c r="A26" s="7"/>
      <c r="B26" s="88" t="s">
        <v>15</v>
      </c>
      <c r="C26" s="5"/>
      <c r="D26" s="10"/>
      <c r="E26" s="5"/>
      <c r="F26" s="5"/>
      <c r="G26" s="5"/>
      <c r="H26" s="5"/>
      <c r="I26" s="10"/>
      <c r="J26" s="5"/>
      <c r="K26" s="5"/>
      <c r="M26" s="683"/>
      <c r="N26" s="490"/>
      <c r="O26" s="490"/>
      <c r="P26" s="490"/>
      <c r="Q26" s="490"/>
      <c r="R26" s="490"/>
      <c r="S26" s="490"/>
    </row>
    <row r="27" spans="1:19">
      <c r="A27" s="7">
        <v>8</v>
      </c>
      <c r="B27" s="88" t="s">
        <v>16</v>
      </c>
      <c r="D27" s="10"/>
      <c r="E27" s="5"/>
      <c r="F27" s="5"/>
      <c r="G27" s="4" t="s">
        <v>17</v>
      </c>
      <c r="H27" s="5"/>
      <c r="I27" s="495">
        <v>0</v>
      </c>
      <c r="J27" s="5"/>
      <c r="K27" s="5"/>
      <c r="M27" s="683"/>
      <c r="N27" s="593"/>
      <c r="O27" s="687"/>
      <c r="P27" s="490"/>
      <c r="Q27" s="490"/>
      <c r="R27" s="490"/>
      <c r="S27" s="490"/>
    </row>
    <row r="28" spans="1:19">
      <c r="A28" s="7">
        <v>9</v>
      </c>
      <c r="B28" s="88" t="s">
        <v>18</v>
      </c>
      <c r="C28" s="6"/>
      <c r="D28" s="6"/>
      <c r="E28" s="6"/>
      <c r="F28" s="6"/>
      <c r="G28" s="6" t="s">
        <v>19</v>
      </c>
      <c r="H28" s="6"/>
      <c r="I28" s="495">
        <v>0</v>
      </c>
      <c r="J28" s="5"/>
      <c r="K28" s="5"/>
      <c r="M28" s="683"/>
      <c r="N28" s="593"/>
      <c r="O28" s="687"/>
      <c r="P28" s="490"/>
      <c r="Q28" s="490"/>
      <c r="R28" s="490"/>
      <c r="S28" s="490"/>
    </row>
    <row r="29" spans="1:19">
      <c r="A29" s="7">
        <v>10</v>
      </c>
      <c r="B29" s="88" t="s">
        <v>20</v>
      </c>
      <c r="C29" s="5"/>
      <c r="D29" s="5"/>
      <c r="E29" s="5"/>
      <c r="F29" s="5"/>
      <c r="G29" s="4" t="s">
        <v>21</v>
      </c>
      <c r="H29" s="5"/>
      <c r="I29" s="495">
        <v>0</v>
      </c>
      <c r="J29" s="5"/>
      <c r="K29" s="5"/>
      <c r="M29" s="683"/>
      <c r="N29" s="593"/>
      <c r="O29" s="687"/>
      <c r="P29" s="490"/>
      <c r="Q29" s="490"/>
      <c r="R29" s="490"/>
      <c r="S29" s="490"/>
    </row>
    <row r="30" spans="1:19">
      <c r="A30" s="7">
        <v>11</v>
      </c>
      <c r="B30" s="17" t="s">
        <v>22</v>
      </c>
      <c r="C30" s="5"/>
      <c r="D30" s="5"/>
      <c r="E30" s="5"/>
      <c r="F30" s="5"/>
      <c r="G30" s="4" t="s">
        <v>23</v>
      </c>
      <c r="H30" s="5"/>
      <c r="I30" s="495">
        <v>0</v>
      </c>
      <c r="J30" s="5"/>
      <c r="K30" s="5"/>
      <c r="M30" s="683"/>
      <c r="N30" s="593"/>
      <c r="O30" s="687"/>
      <c r="P30" s="490"/>
      <c r="Q30" s="490"/>
      <c r="R30" s="490"/>
      <c r="S30" s="490"/>
    </row>
    <row r="31" spans="1:19">
      <c r="A31" s="7">
        <v>12</v>
      </c>
      <c r="B31" s="17" t="s">
        <v>24</v>
      </c>
      <c r="C31" s="5"/>
      <c r="D31" s="5"/>
      <c r="E31" s="5"/>
      <c r="F31" s="5"/>
      <c r="G31" s="4"/>
      <c r="H31" s="5"/>
      <c r="I31" s="495">
        <v>0</v>
      </c>
      <c r="J31" s="5"/>
      <c r="K31" s="5"/>
      <c r="M31" s="683"/>
      <c r="N31" s="593"/>
      <c r="O31" s="687"/>
      <c r="P31" s="490"/>
      <c r="Q31" s="490"/>
      <c r="R31" s="490"/>
      <c r="S31" s="490"/>
    </row>
    <row r="32" spans="1:19">
      <c r="A32" s="7">
        <v>13</v>
      </c>
      <c r="B32" s="17" t="s">
        <v>228</v>
      </c>
      <c r="C32" s="5"/>
      <c r="D32" s="5"/>
      <c r="E32" s="5"/>
      <c r="F32" s="5"/>
      <c r="G32" s="4"/>
      <c r="H32" s="5"/>
      <c r="I32" s="498">
        <v>0</v>
      </c>
      <c r="J32" s="5"/>
      <c r="K32" s="5"/>
      <c r="M32" s="683"/>
      <c r="N32" s="593"/>
      <c r="O32" s="687"/>
      <c r="P32" s="490"/>
      <c r="Q32" s="490"/>
      <c r="R32" s="490"/>
      <c r="S32" s="490"/>
    </row>
    <row r="33" spans="1:19" ht="16.5" thickBot="1">
      <c r="A33" s="7">
        <v>14</v>
      </c>
      <c r="B33" s="3" t="s">
        <v>165</v>
      </c>
      <c r="C33" s="5"/>
      <c r="D33" s="5"/>
      <c r="E33" s="5"/>
      <c r="F33" s="5"/>
      <c r="G33" s="5"/>
      <c r="H33" s="5"/>
      <c r="I33" s="499">
        <v>0</v>
      </c>
      <c r="J33" s="5"/>
      <c r="K33" s="5"/>
      <c r="M33" s="683"/>
      <c r="N33" s="593"/>
      <c r="O33" s="687"/>
      <c r="P33" s="490"/>
      <c r="Q33" s="490"/>
      <c r="R33" s="490"/>
      <c r="S33" s="490"/>
    </row>
    <row r="34" spans="1:19">
      <c r="A34" s="7">
        <v>15</v>
      </c>
      <c r="B34" s="88" t="s">
        <v>25</v>
      </c>
      <c r="C34" s="5"/>
      <c r="D34" s="5"/>
      <c r="E34" s="5"/>
      <c r="F34" s="5"/>
      <c r="G34" s="5"/>
      <c r="H34" s="5"/>
      <c r="I34" s="10">
        <f>SUM(I27:I33)</f>
        <v>0</v>
      </c>
      <c r="J34" s="5"/>
      <c r="K34" s="5"/>
      <c r="M34" s="683"/>
      <c r="N34" s="593"/>
      <c r="O34" s="687"/>
      <c r="P34" s="490"/>
      <c r="Q34" s="490"/>
      <c r="R34" s="490"/>
      <c r="S34" s="490"/>
    </row>
    <row r="35" spans="1:19">
      <c r="A35" s="7"/>
      <c r="B35" s="88"/>
      <c r="C35" s="5"/>
      <c r="D35" s="5"/>
      <c r="E35" s="5"/>
      <c r="F35" s="5"/>
      <c r="G35" s="5"/>
      <c r="H35" s="5"/>
      <c r="I35" s="10"/>
      <c r="J35" s="5"/>
      <c r="K35" s="5"/>
      <c r="M35" s="683"/>
      <c r="N35" s="490"/>
      <c r="O35" s="490"/>
      <c r="P35" s="490"/>
      <c r="Q35" s="490"/>
      <c r="R35" s="490"/>
      <c r="S35" s="490"/>
    </row>
    <row r="36" spans="1:19">
      <c r="A36" s="7">
        <v>16</v>
      </c>
      <c r="B36" s="88" t="s">
        <v>26</v>
      </c>
      <c r="C36" s="5" t="s">
        <v>201</v>
      </c>
      <c r="D36" s="18">
        <f>IF(I34&gt;0,I24/I34,0)</f>
        <v>0</v>
      </c>
      <c r="E36" s="5"/>
      <c r="F36" s="5"/>
      <c r="G36" s="5"/>
      <c r="H36" s="5"/>
      <c r="J36" s="5"/>
      <c r="K36" s="5"/>
      <c r="M36" s="683"/>
      <c r="N36" s="490"/>
      <c r="O36" s="490"/>
      <c r="P36" s="490"/>
      <c r="Q36" s="490"/>
      <c r="R36" s="490"/>
      <c r="S36" s="490"/>
    </row>
    <row r="37" spans="1:19">
      <c r="A37" s="7">
        <v>17</v>
      </c>
      <c r="B37" s="88" t="s">
        <v>227</v>
      </c>
      <c r="C37" s="5"/>
      <c r="D37" s="18">
        <f>+D36/12</f>
        <v>0</v>
      </c>
      <c r="E37" s="5"/>
      <c r="F37" s="5"/>
      <c r="G37" s="5"/>
      <c r="H37" s="5"/>
      <c r="J37" s="5"/>
      <c r="K37" s="5"/>
      <c r="M37" s="683"/>
      <c r="N37" s="490"/>
      <c r="O37" s="490"/>
      <c r="P37" s="490"/>
      <c r="Q37" s="490"/>
      <c r="R37" s="490"/>
      <c r="S37" s="490"/>
    </row>
    <row r="38" spans="1:19">
      <c r="A38" s="7"/>
      <c r="B38" s="88"/>
      <c r="C38" s="5"/>
      <c r="D38" s="18"/>
      <c r="E38" s="5"/>
      <c r="F38" s="5"/>
      <c r="G38" s="5"/>
      <c r="H38" s="5"/>
      <c r="J38" s="5"/>
      <c r="K38" s="5"/>
      <c r="M38" s="683"/>
      <c r="N38" s="490"/>
      <c r="O38" s="490"/>
      <c r="P38" s="490"/>
      <c r="Q38" s="490"/>
      <c r="R38" s="490"/>
      <c r="S38" s="490"/>
    </row>
    <row r="39" spans="1:19">
      <c r="A39" s="7"/>
      <c r="B39" s="88"/>
      <c r="C39" s="5"/>
      <c r="D39" s="19" t="s">
        <v>27</v>
      </c>
      <c r="E39" s="5"/>
      <c r="F39" s="5"/>
      <c r="G39" s="5"/>
      <c r="H39" s="5"/>
      <c r="I39" s="20" t="s">
        <v>28</v>
      </c>
      <c r="J39" s="5"/>
      <c r="K39" s="5"/>
      <c r="M39" s="683"/>
      <c r="N39" s="490"/>
      <c r="O39" s="490"/>
      <c r="P39" s="490"/>
      <c r="Q39" s="490"/>
      <c r="R39" s="490"/>
      <c r="S39" s="490"/>
    </row>
    <row r="40" spans="1:19">
      <c r="A40" s="7">
        <v>18</v>
      </c>
      <c r="B40" s="88" t="s">
        <v>29</v>
      </c>
      <c r="C40" s="5" t="s">
        <v>200</v>
      </c>
      <c r="D40" s="18">
        <f>+D36/52</f>
        <v>0</v>
      </c>
      <c r="E40" s="5"/>
      <c r="F40" s="5"/>
      <c r="G40" s="5"/>
      <c r="H40" s="5"/>
      <c r="I40" s="21">
        <f>+D36/52</f>
        <v>0</v>
      </c>
      <c r="J40" s="5"/>
      <c r="K40" s="5"/>
      <c r="M40" s="683"/>
      <c r="N40" s="593"/>
      <c r="O40" s="687"/>
      <c r="P40" s="490"/>
      <c r="Q40" s="490"/>
      <c r="R40" s="490"/>
      <c r="S40" s="490"/>
    </row>
    <row r="41" spans="1:19">
      <c r="A41" s="7">
        <v>19</v>
      </c>
      <c r="B41" s="88" t="s">
        <v>30</v>
      </c>
      <c r="C41" s="5" t="s">
        <v>245</v>
      </c>
      <c r="D41" s="18">
        <f>+D36/260</f>
        <v>0</v>
      </c>
      <c r="E41" s="5" t="s">
        <v>31</v>
      </c>
      <c r="G41" s="5"/>
      <c r="H41" s="5"/>
      <c r="I41" s="21">
        <f>+D36/365</f>
        <v>0</v>
      </c>
      <c r="J41" s="5"/>
      <c r="K41" s="5"/>
      <c r="M41" s="683"/>
      <c r="N41" s="593"/>
      <c r="O41" s="687"/>
      <c r="P41" s="490"/>
      <c r="Q41" s="490"/>
      <c r="R41" s="490"/>
      <c r="S41" s="490"/>
    </row>
    <row r="42" spans="1:19">
      <c r="A42" s="7">
        <v>20</v>
      </c>
      <c r="B42" s="88" t="s">
        <v>32</v>
      </c>
      <c r="C42" s="5" t="s">
        <v>246</v>
      </c>
      <c r="D42" s="18">
        <f>+D36/4160*1000</f>
        <v>0</v>
      </c>
      <c r="E42" s="5" t="s">
        <v>33</v>
      </c>
      <c r="G42" s="5"/>
      <c r="H42" s="5"/>
      <c r="I42" s="21">
        <f>+D36/8760*1000</f>
        <v>0</v>
      </c>
      <c r="J42" s="5"/>
      <c r="K42" s="5"/>
      <c r="M42" s="683"/>
      <c r="N42" s="593"/>
      <c r="O42" s="687"/>
      <c r="P42" s="490"/>
      <c r="Q42" s="490"/>
      <c r="R42" s="490"/>
      <c r="S42" s="490"/>
    </row>
    <row r="43" spans="1:19">
      <c r="A43" s="7"/>
      <c r="B43" s="88"/>
      <c r="C43" s="5" t="s">
        <v>34</v>
      </c>
      <c r="D43" s="5"/>
      <c r="E43" s="5" t="s">
        <v>35</v>
      </c>
      <c r="G43" s="5"/>
      <c r="H43" s="5"/>
      <c r="J43" s="5"/>
      <c r="K43" s="5" t="s">
        <v>0</v>
      </c>
      <c r="M43" s="683"/>
      <c r="N43" s="490"/>
      <c r="O43" s="490"/>
      <c r="P43" s="490"/>
      <c r="Q43" s="490"/>
      <c r="R43" s="490"/>
      <c r="S43" s="490"/>
    </row>
    <row r="44" spans="1:19">
      <c r="A44" s="7"/>
      <c r="B44" s="88"/>
      <c r="C44" s="5"/>
      <c r="D44" s="5"/>
      <c r="E44" s="5"/>
      <c r="G44" s="5"/>
      <c r="H44" s="5"/>
      <c r="J44" s="5"/>
      <c r="K44" s="5" t="s">
        <v>0</v>
      </c>
      <c r="M44" s="683"/>
      <c r="N44" s="490"/>
      <c r="O44" s="490"/>
      <c r="P44" s="490"/>
      <c r="Q44" s="490"/>
      <c r="R44" s="490"/>
      <c r="S44" s="490"/>
    </row>
    <row r="45" spans="1:19">
      <c r="A45" s="7">
        <v>21</v>
      </c>
      <c r="B45" s="88" t="s">
        <v>226</v>
      </c>
      <c r="C45" s="5" t="s">
        <v>196</v>
      </c>
      <c r="D45" s="500">
        <v>0</v>
      </c>
      <c r="E45" s="22" t="s">
        <v>36</v>
      </c>
      <c r="F45" s="22"/>
      <c r="G45" s="22"/>
      <c r="H45" s="22"/>
      <c r="I45" s="22">
        <f>D45</f>
        <v>0</v>
      </c>
      <c r="J45" s="22" t="s">
        <v>36</v>
      </c>
      <c r="K45" s="5"/>
      <c r="M45" s="683"/>
      <c r="N45" s="593"/>
      <c r="O45" s="687"/>
      <c r="P45" s="490"/>
      <c r="Q45" s="490"/>
      <c r="R45" s="490"/>
      <c r="S45" s="490"/>
    </row>
    <row r="46" spans="1:19">
      <c r="A46" s="7">
        <v>22</v>
      </c>
      <c r="B46" s="88"/>
      <c r="C46" s="5"/>
      <c r="D46" s="500">
        <v>0</v>
      </c>
      <c r="E46" s="22" t="s">
        <v>37</v>
      </c>
      <c r="F46" s="22"/>
      <c r="G46" s="22"/>
      <c r="H46" s="22"/>
      <c r="I46" s="22">
        <f>D46</f>
        <v>0</v>
      </c>
      <c r="J46" s="22" t="s">
        <v>37</v>
      </c>
      <c r="K46" s="5"/>
      <c r="M46" s="683"/>
      <c r="N46" s="593"/>
      <c r="O46" s="687"/>
      <c r="P46" s="490"/>
      <c r="Q46" s="490"/>
      <c r="R46" s="490"/>
      <c r="S46" s="490"/>
    </row>
    <row r="47" spans="1:19">
      <c r="A47" s="7"/>
      <c r="B47" s="88"/>
      <c r="C47" s="5"/>
      <c r="D47" s="70"/>
      <c r="E47" s="22"/>
      <c r="F47" s="22"/>
      <c r="G47" s="22"/>
      <c r="H47" s="22"/>
      <c r="I47" s="22"/>
      <c r="J47" s="22"/>
      <c r="K47" s="5"/>
      <c r="M47" s="593"/>
      <c r="N47" s="490"/>
      <c r="O47" s="490"/>
      <c r="P47" s="490"/>
      <c r="Q47" s="490"/>
      <c r="R47" s="490"/>
      <c r="S47" s="490"/>
    </row>
    <row r="48" spans="1:19">
      <c r="B48" s="3"/>
      <c r="C48" s="3"/>
      <c r="D48" s="494"/>
      <c r="E48" s="3"/>
      <c r="F48" s="3"/>
      <c r="G48" s="3"/>
      <c r="H48" s="4"/>
      <c r="I48" s="501"/>
      <c r="J48" s="501"/>
      <c r="K48" s="501"/>
      <c r="M48" s="593"/>
      <c r="N48" s="490"/>
      <c r="O48" s="490"/>
      <c r="P48" s="490"/>
      <c r="Q48" s="490"/>
      <c r="R48" s="490"/>
      <c r="S48" s="490"/>
    </row>
    <row r="49" spans="2:19">
      <c r="B49" s="3"/>
      <c r="C49" s="3"/>
      <c r="D49" s="494"/>
      <c r="E49" s="3"/>
      <c r="F49" s="3"/>
      <c r="G49" s="3"/>
      <c r="H49" s="4"/>
      <c r="I49" s="501"/>
      <c r="J49" s="501"/>
      <c r="K49" s="501"/>
      <c r="M49" s="593"/>
      <c r="N49" s="490"/>
      <c r="O49" s="490"/>
      <c r="P49" s="490"/>
      <c r="Q49" s="490"/>
      <c r="R49" s="490"/>
      <c r="S49" s="490"/>
    </row>
    <row r="50" spans="2:19">
      <c r="B50" s="3"/>
      <c r="C50" s="3"/>
      <c r="D50" s="494"/>
      <c r="E50" s="3"/>
      <c r="F50" s="3"/>
      <c r="G50" s="3"/>
      <c r="H50" s="4"/>
      <c r="I50" s="501"/>
      <c r="J50" s="501"/>
      <c r="K50" s="501"/>
      <c r="M50" s="593"/>
      <c r="N50" s="490"/>
      <c r="O50" s="490"/>
      <c r="P50" s="490"/>
      <c r="Q50" s="490"/>
      <c r="R50" s="490"/>
      <c r="S50" s="490"/>
    </row>
    <row r="51" spans="2:19">
      <c r="B51" s="3"/>
      <c r="C51" s="3"/>
      <c r="D51" s="494"/>
      <c r="E51" s="3"/>
      <c r="F51" s="3"/>
      <c r="G51" s="3"/>
      <c r="H51" s="4"/>
      <c r="I51" s="501"/>
      <c r="J51" s="501"/>
      <c r="K51" s="501"/>
      <c r="M51" s="593"/>
      <c r="N51" s="490"/>
      <c r="O51" s="490"/>
      <c r="P51" s="490"/>
      <c r="Q51" s="490"/>
      <c r="R51" s="490"/>
      <c r="S51" s="490"/>
    </row>
    <row r="52" spans="2:19">
      <c r="B52" s="3"/>
      <c r="C52" s="3"/>
      <c r="D52" s="494"/>
      <c r="E52" s="3"/>
      <c r="F52" s="3"/>
      <c r="G52" s="3"/>
      <c r="H52" s="4"/>
      <c r="I52" s="501"/>
      <c r="J52" s="501"/>
      <c r="K52" s="501"/>
      <c r="M52" s="593"/>
      <c r="N52" s="490"/>
      <c r="O52" s="490"/>
      <c r="P52" s="490"/>
      <c r="Q52" s="490"/>
      <c r="R52" s="490"/>
      <c r="S52" s="490"/>
    </row>
    <row r="53" spans="2:19">
      <c r="B53" s="3"/>
      <c r="C53" s="3"/>
      <c r="D53" s="494"/>
      <c r="E53" s="3"/>
      <c r="F53" s="3"/>
      <c r="G53" s="3"/>
      <c r="H53" s="4"/>
      <c r="I53" s="501"/>
      <c r="J53" s="501"/>
      <c r="K53" s="501"/>
      <c r="M53" s="593"/>
      <c r="N53" s="490"/>
      <c r="O53" s="490"/>
      <c r="P53" s="490"/>
      <c r="Q53" s="490"/>
      <c r="R53" s="490"/>
      <c r="S53" s="490"/>
    </row>
    <row r="54" spans="2:19">
      <c r="B54" s="3"/>
      <c r="C54" s="3"/>
      <c r="D54" s="494"/>
      <c r="E54" s="3"/>
      <c r="F54" s="3"/>
      <c r="G54" s="3"/>
      <c r="H54" s="4"/>
      <c r="I54" s="501"/>
      <c r="J54" s="501"/>
      <c r="K54" s="501"/>
      <c r="M54" s="593"/>
      <c r="N54" s="490"/>
      <c r="O54" s="490"/>
      <c r="P54" s="490"/>
      <c r="Q54" s="490"/>
      <c r="R54" s="490"/>
      <c r="S54" s="490"/>
    </row>
    <row r="55" spans="2:19">
      <c r="B55" s="3"/>
      <c r="C55" s="3"/>
      <c r="D55" s="494"/>
      <c r="E55" s="3"/>
      <c r="F55" s="3"/>
      <c r="G55" s="3"/>
      <c r="H55" s="4"/>
      <c r="I55" s="501"/>
      <c r="J55" s="501"/>
      <c r="K55" s="501"/>
      <c r="M55" s="593"/>
      <c r="N55" s="490"/>
      <c r="O55" s="490"/>
      <c r="P55" s="490"/>
      <c r="Q55" s="490"/>
      <c r="R55" s="490"/>
      <c r="S55" s="490"/>
    </row>
    <row r="56" spans="2:19">
      <c r="B56" s="3"/>
      <c r="C56" s="3"/>
      <c r="D56" s="494"/>
      <c r="E56" s="3"/>
      <c r="F56" s="3"/>
      <c r="G56" s="3"/>
      <c r="H56" s="4"/>
      <c r="I56" s="501"/>
      <c r="J56" s="501"/>
      <c r="K56" s="501"/>
      <c r="M56" s="593"/>
      <c r="N56" s="490"/>
      <c r="O56" s="490"/>
      <c r="P56" s="490"/>
      <c r="Q56" s="490"/>
      <c r="R56" s="490"/>
      <c r="S56" s="490"/>
    </row>
    <row r="57" spans="2:19">
      <c r="B57" s="3"/>
      <c r="C57" s="3"/>
      <c r="D57" s="494"/>
      <c r="E57" s="3"/>
      <c r="F57" s="3"/>
      <c r="G57" s="3"/>
      <c r="H57" s="4"/>
      <c r="I57" s="501"/>
      <c r="J57" s="501"/>
      <c r="K57" s="501"/>
      <c r="M57" s="593"/>
      <c r="N57" s="490"/>
      <c r="O57" s="490"/>
      <c r="P57" s="490"/>
      <c r="Q57" s="490"/>
      <c r="R57" s="490"/>
      <c r="S57" s="490"/>
    </row>
    <row r="58" spans="2:19">
      <c r="B58" s="3"/>
      <c r="C58" s="3"/>
      <c r="D58" s="494"/>
      <c r="E58" s="3"/>
      <c r="F58" s="3"/>
      <c r="G58" s="3"/>
      <c r="H58" s="4"/>
      <c r="I58" s="501"/>
      <c r="J58" s="501"/>
      <c r="K58" s="501"/>
      <c r="M58" s="593"/>
      <c r="N58" s="490"/>
      <c r="O58" s="490"/>
      <c r="P58" s="490"/>
      <c r="Q58" s="490"/>
      <c r="R58" s="490"/>
      <c r="S58" s="490"/>
    </row>
    <row r="59" spans="2:19">
      <c r="B59" s="3"/>
      <c r="C59" s="3"/>
      <c r="D59" s="494"/>
      <c r="E59" s="3"/>
      <c r="F59" s="3"/>
      <c r="G59" s="3"/>
      <c r="H59" s="4"/>
      <c r="I59" s="501"/>
      <c r="J59" s="501"/>
      <c r="K59" s="501"/>
      <c r="M59" s="593"/>
      <c r="N59" s="490"/>
      <c r="O59" s="490"/>
      <c r="P59" s="490"/>
      <c r="Q59" s="490"/>
      <c r="R59" s="490"/>
      <c r="S59" s="490"/>
    </row>
    <row r="60" spans="2:19">
      <c r="B60" s="3"/>
      <c r="C60" s="3"/>
      <c r="D60" s="494"/>
      <c r="E60" s="3"/>
      <c r="F60" s="3"/>
      <c r="G60" s="3"/>
      <c r="H60" s="4"/>
      <c r="I60" s="501"/>
      <c r="J60" s="501"/>
      <c r="K60" s="501"/>
      <c r="M60" s="593"/>
      <c r="N60" s="490"/>
      <c r="O60" s="490"/>
      <c r="P60" s="490"/>
      <c r="Q60" s="490"/>
      <c r="R60" s="490"/>
      <c r="S60" s="490"/>
    </row>
    <row r="61" spans="2:19">
      <c r="B61" s="3"/>
      <c r="C61" s="3"/>
      <c r="D61" s="494"/>
      <c r="E61" s="3"/>
      <c r="F61" s="3"/>
      <c r="G61" s="3"/>
      <c r="H61" s="4"/>
      <c r="I61" s="501"/>
      <c r="J61" s="501"/>
      <c r="K61" s="501"/>
      <c r="M61" s="593"/>
      <c r="N61" s="490"/>
      <c r="O61" s="490"/>
      <c r="P61" s="490"/>
      <c r="Q61" s="490"/>
      <c r="R61" s="490"/>
      <c r="S61" s="490"/>
    </row>
    <row r="62" spans="2:19">
      <c r="B62" s="3"/>
      <c r="C62" s="3"/>
      <c r="D62" s="494"/>
      <c r="E62" s="3"/>
      <c r="F62" s="3"/>
      <c r="G62" s="3"/>
      <c r="H62" s="4"/>
      <c r="I62" s="501"/>
      <c r="J62" s="501"/>
      <c r="K62" s="501"/>
      <c r="M62" s="593"/>
      <c r="N62" s="490"/>
      <c r="O62" s="490"/>
      <c r="P62" s="490"/>
      <c r="Q62" s="490"/>
      <c r="R62" s="490"/>
      <c r="S62" s="490"/>
    </row>
    <row r="63" spans="2:19">
      <c r="B63" s="3"/>
      <c r="C63" s="3"/>
      <c r="D63" s="494"/>
      <c r="E63" s="3"/>
      <c r="F63" s="3"/>
      <c r="G63" s="3"/>
      <c r="H63" s="4"/>
      <c r="I63" s="501"/>
      <c r="J63" s="501"/>
      <c r="K63" s="501"/>
      <c r="M63" s="593"/>
      <c r="N63" s="490"/>
      <c r="O63" s="490"/>
      <c r="P63" s="490"/>
      <c r="Q63" s="490"/>
      <c r="R63" s="490"/>
      <c r="S63" s="490"/>
    </row>
    <row r="64" spans="2:19">
      <c r="B64" s="3"/>
      <c r="C64" s="3"/>
      <c r="D64" s="494"/>
      <c r="E64" s="3"/>
      <c r="F64" s="3"/>
      <c r="G64" s="3"/>
      <c r="H64" s="4"/>
      <c r="I64" s="501"/>
      <c r="J64" s="501"/>
      <c r="K64" s="501"/>
      <c r="M64" s="593"/>
      <c r="N64" s="490"/>
      <c r="O64" s="490"/>
      <c r="P64" s="490"/>
      <c r="Q64" s="490"/>
      <c r="R64" s="490"/>
      <c r="S64" s="490"/>
    </row>
    <row r="65" spans="1:19">
      <c r="B65" s="3"/>
      <c r="C65" s="3"/>
      <c r="D65" s="494"/>
      <c r="E65" s="3"/>
      <c r="F65" s="3"/>
      <c r="G65" s="3"/>
      <c r="H65" s="4"/>
      <c r="I65" s="501"/>
      <c r="J65" s="501"/>
      <c r="K65" s="501"/>
      <c r="M65" s="593"/>
      <c r="N65" s="490"/>
      <c r="O65" s="490"/>
      <c r="P65" s="490"/>
      <c r="Q65" s="490"/>
      <c r="R65" s="490"/>
      <c r="S65" s="490"/>
    </row>
    <row r="66" spans="1:19">
      <c r="A66" s="7"/>
      <c r="B66" s="88"/>
      <c r="C66" s="5"/>
      <c r="D66" s="70"/>
      <c r="E66" s="22"/>
      <c r="F66" s="22"/>
      <c r="G66" s="22"/>
      <c r="H66" s="22"/>
      <c r="I66" s="22"/>
      <c r="J66" s="22"/>
      <c r="K66" s="5"/>
      <c r="M66" s="593"/>
      <c r="N66" s="490"/>
      <c r="O66" s="490"/>
      <c r="P66" s="490"/>
      <c r="Q66" s="490"/>
      <c r="R66" s="490"/>
      <c r="S66" s="490"/>
    </row>
    <row r="67" spans="1:19">
      <c r="A67" s="7"/>
      <c r="B67" s="88"/>
      <c r="C67" s="5"/>
      <c r="D67" s="70"/>
      <c r="E67" s="22"/>
      <c r="F67" s="22"/>
      <c r="G67" s="22"/>
      <c r="H67" s="22"/>
      <c r="I67" s="22"/>
      <c r="J67" s="22"/>
      <c r="K67" s="5"/>
      <c r="M67" s="593"/>
      <c r="N67" s="490"/>
      <c r="O67" s="490"/>
      <c r="P67" s="490"/>
      <c r="Q67" s="490"/>
      <c r="R67" s="490"/>
      <c r="S67" s="490"/>
    </row>
    <row r="68" spans="1:19">
      <c r="A68" s="7"/>
      <c r="B68" s="88"/>
      <c r="C68" s="5"/>
      <c r="D68" s="70"/>
      <c r="E68" s="22"/>
      <c r="F68" s="22"/>
      <c r="G68" s="22"/>
      <c r="H68" s="22"/>
      <c r="I68" s="22"/>
      <c r="J68" s="22"/>
      <c r="K68" s="5"/>
      <c r="M68" s="593"/>
      <c r="N68" s="490"/>
      <c r="O68" s="490"/>
      <c r="P68" s="490"/>
      <c r="Q68" s="490"/>
      <c r="R68" s="490"/>
      <c r="S68" s="490"/>
    </row>
    <row r="69" spans="1:19">
      <c r="A69" s="7"/>
      <c r="B69" s="88"/>
      <c r="C69" s="5"/>
      <c r="D69" s="70"/>
      <c r="E69" s="22"/>
      <c r="F69" s="22"/>
      <c r="G69" s="22"/>
      <c r="H69" s="22"/>
      <c r="I69" s="22"/>
      <c r="J69" s="22"/>
      <c r="K69" s="5"/>
      <c r="M69" s="593"/>
      <c r="N69" s="490"/>
      <c r="O69" s="490"/>
      <c r="P69" s="490"/>
      <c r="Q69" s="490"/>
      <c r="R69" s="490"/>
      <c r="S69" s="490"/>
    </row>
    <row r="70" spans="1:19">
      <c r="J70" s="4"/>
      <c r="K70" s="2" t="s">
        <v>784</v>
      </c>
      <c r="M70" s="593"/>
      <c r="N70" s="490"/>
      <c r="O70" s="490"/>
      <c r="P70" s="490"/>
      <c r="Q70" s="490"/>
      <c r="R70" s="490"/>
      <c r="S70" s="490"/>
    </row>
    <row r="71" spans="1:19">
      <c r="B71" s="3"/>
      <c r="C71" s="3"/>
      <c r="D71" s="494"/>
      <c r="E71" s="3"/>
      <c r="F71" s="3"/>
      <c r="G71" s="3"/>
      <c r="H71" s="4"/>
      <c r="I71" s="4"/>
      <c r="J71" s="609" t="s">
        <v>764</v>
      </c>
      <c r="K71" s="609"/>
      <c r="M71" s="593"/>
      <c r="N71" s="490"/>
      <c r="O71" s="490"/>
      <c r="P71" s="490"/>
      <c r="Q71" s="490"/>
      <c r="R71" s="490"/>
      <c r="S71" s="490"/>
    </row>
    <row r="72" spans="1:19">
      <c r="B72" s="5"/>
      <c r="C72" s="5"/>
      <c r="D72" s="5"/>
      <c r="E72" s="5"/>
      <c r="F72" s="5"/>
      <c r="G72" s="5"/>
      <c r="H72" s="5"/>
      <c r="I72" s="5"/>
      <c r="J72" s="5"/>
      <c r="K72" s="5"/>
      <c r="M72" s="593"/>
      <c r="N72" s="490"/>
      <c r="O72" s="490"/>
      <c r="P72" s="490"/>
      <c r="Q72" s="490"/>
      <c r="R72" s="490"/>
      <c r="S72" s="490"/>
    </row>
    <row r="73" spans="1:19">
      <c r="B73" s="88" t="str">
        <f>B4</f>
        <v xml:space="preserve">Formula Rate - Non-Levelized </v>
      </c>
      <c r="C73" s="88"/>
      <c r="D73" s="502" t="str">
        <f>D4</f>
        <v xml:space="preserve">     Rate Formula Template</v>
      </c>
      <c r="E73" s="88"/>
      <c r="F73" s="88"/>
      <c r="G73" s="88"/>
      <c r="H73" s="88"/>
      <c r="J73" s="88"/>
      <c r="K73" s="518" t="str">
        <f>K4</f>
        <v>For the 12 months ended 12/31/17</v>
      </c>
      <c r="M73" s="593"/>
      <c r="N73" s="490"/>
      <c r="O73" s="490"/>
      <c r="P73" s="490"/>
      <c r="Q73" s="490"/>
      <c r="R73" s="490"/>
      <c r="S73" s="490"/>
    </row>
    <row r="74" spans="1:19">
      <c r="B74" s="88"/>
      <c r="C74" s="6" t="s">
        <v>0</v>
      </c>
      <c r="D74" s="6" t="str">
        <f>D5</f>
        <v xml:space="preserve"> Utilizing RUS Form 12 Data</v>
      </c>
      <c r="E74" s="6"/>
      <c r="F74" s="6"/>
      <c r="G74" s="6"/>
      <c r="H74" s="6"/>
      <c r="I74" s="6"/>
      <c r="J74" s="6"/>
      <c r="K74" s="6"/>
      <c r="M74" s="593"/>
      <c r="N74" s="490"/>
      <c r="O74" s="490"/>
      <c r="P74" s="490"/>
      <c r="Q74" s="490"/>
      <c r="R74" s="490"/>
      <c r="S74" s="490"/>
    </row>
    <row r="75" spans="1:19">
      <c r="B75" s="88"/>
      <c r="C75" s="6"/>
      <c r="D75" s="6"/>
      <c r="E75" s="6"/>
      <c r="F75" s="6"/>
      <c r="G75" s="6"/>
      <c r="H75" s="6"/>
      <c r="I75" s="6"/>
      <c r="J75" s="6"/>
      <c r="K75" s="6"/>
      <c r="M75" s="593"/>
      <c r="N75" s="490"/>
      <c r="O75" s="490"/>
      <c r="P75" s="490"/>
      <c r="Q75" s="490"/>
      <c r="R75" s="490"/>
      <c r="S75" s="490"/>
    </row>
    <row r="76" spans="1:19">
      <c r="B76" s="88"/>
      <c r="C76" s="5"/>
      <c r="D76" s="531" t="str">
        <f>D7</f>
        <v>ETEC on behalf of Jasper-Newton</v>
      </c>
      <c r="E76" s="496"/>
      <c r="F76" s="496"/>
      <c r="G76" s="496"/>
      <c r="H76" s="6"/>
      <c r="I76" s="6"/>
      <c r="J76" s="6"/>
      <c r="K76" s="6"/>
      <c r="M76" s="593"/>
      <c r="N76" s="490"/>
      <c r="O76" s="490"/>
      <c r="P76" s="490"/>
      <c r="Q76" s="490"/>
      <c r="R76" s="490"/>
      <c r="S76" s="490"/>
    </row>
    <row r="77" spans="1:19">
      <c r="B77" s="519" t="s">
        <v>38</v>
      </c>
      <c r="C77" s="519" t="s">
        <v>39</v>
      </c>
      <c r="D77" s="519" t="s">
        <v>40</v>
      </c>
      <c r="E77" s="6" t="s">
        <v>0</v>
      </c>
      <c r="F77" s="6"/>
      <c r="G77" s="23" t="s">
        <v>41</v>
      </c>
      <c r="H77" s="6"/>
      <c r="I77" s="24" t="s">
        <v>42</v>
      </c>
      <c r="J77" s="6"/>
      <c r="K77" s="519"/>
      <c r="M77" s="593"/>
      <c r="N77" s="490"/>
      <c r="O77" s="490"/>
      <c r="P77" s="490"/>
      <c r="Q77" s="490"/>
      <c r="R77" s="490"/>
      <c r="S77" s="490"/>
    </row>
    <row r="78" spans="1:19">
      <c r="B78" s="88"/>
      <c r="C78" s="25" t="s">
        <v>43</v>
      </c>
      <c r="D78" s="6"/>
      <c r="E78" s="6"/>
      <c r="F78" s="6"/>
      <c r="G78" s="7"/>
      <c r="H78" s="6"/>
      <c r="I78" s="26" t="s">
        <v>44</v>
      </c>
      <c r="J78" s="6"/>
      <c r="K78" s="519"/>
      <c r="M78" s="684"/>
      <c r="N78" s="490"/>
      <c r="O78" s="685"/>
      <c r="P78" s="490"/>
      <c r="Q78" s="490"/>
      <c r="R78" s="490"/>
      <c r="S78" s="490"/>
    </row>
    <row r="79" spans="1:19">
      <c r="A79" s="7" t="s">
        <v>1</v>
      </c>
      <c r="B79" s="88"/>
      <c r="C79" s="27" t="s">
        <v>45</v>
      </c>
      <c r="D79" s="26" t="s">
        <v>46</v>
      </c>
      <c r="E79" s="28"/>
      <c r="F79" s="26" t="s">
        <v>47</v>
      </c>
      <c r="H79" s="28"/>
      <c r="I79" s="7" t="s">
        <v>48</v>
      </c>
      <c r="J79" s="6"/>
      <c r="K79" s="519"/>
      <c r="M79" s="686"/>
      <c r="N79" s="686"/>
      <c r="O79" s="686"/>
      <c r="P79" s="490"/>
      <c r="Q79" s="490"/>
      <c r="R79" s="490"/>
      <c r="S79" s="490"/>
    </row>
    <row r="80" spans="1:19" ht="16.5" thickBot="1">
      <c r="A80" s="9" t="s">
        <v>3</v>
      </c>
      <c r="B80" s="29" t="s">
        <v>49</v>
      </c>
      <c r="C80" s="6"/>
      <c r="D80" s="6"/>
      <c r="E80" s="6"/>
      <c r="F80" s="6"/>
      <c r="G80" s="6"/>
      <c r="H80" s="6"/>
      <c r="I80" s="6"/>
      <c r="J80" s="6"/>
      <c r="K80" s="6"/>
      <c r="M80" s="593"/>
      <c r="N80" s="490"/>
      <c r="O80" s="490"/>
      <c r="P80" s="490"/>
      <c r="Q80" s="490"/>
      <c r="R80" s="490"/>
      <c r="S80" s="490"/>
    </row>
    <row r="81" spans="1:19">
      <c r="A81" s="7"/>
      <c r="B81" s="88" t="s">
        <v>260</v>
      </c>
      <c r="C81" s="6"/>
      <c r="D81" s="6"/>
      <c r="E81" s="6"/>
      <c r="F81" s="6"/>
      <c r="G81" s="6"/>
      <c r="H81" s="6"/>
      <c r="I81" s="6"/>
      <c r="J81" s="6"/>
      <c r="K81" s="6"/>
      <c r="M81" s="593"/>
      <c r="N81" s="490"/>
      <c r="O81" s="490"/>
      <c r="P81" s="490"/>
      <c r="Q81" s="490"/>
      <c r="R81" s="490"/>
      <c r="S81" s="490"/>
    </row>
    <row r="82" spans="1:19">
      <c r="A82" s="7">
        <v>1</v>
      </c>
      <c r="B82" s="88" t="s">
        <v>50</v>
      </c>
      <c r="C82" s="1" t="s">
        <v>51</v>
      </c>
      <c r="D82" s="503">
        <f>'3 -12h.A&amp;B Util Plt &amp; Accum Dep'!H11</f>
        <v>0</v>
      </c>
      <c r="E82" s="6"/>
      <c r="F82" s="6" t="s">
        <v>52</v>
      </c>
      <c r="G82" s="30" t="s">
        <v>0</v>
      </c>
      <c r="H82" s="6"/>
      <c r="I82" s="6" t="s">
        <v>0</v>
      </c>
      <c r="J82" s="6"/>
      <c r="K82" s="6"/>
      <c r="M82" s="683"/>
      <c r="N82" s="593"/>
      <c r="O82" s="687"/>
      <c r="P82" s="490"/>
      <c r="Q82" s="490"/>
      <c r="R82" s="490"/>
      <c r="S82" s="490"/>
    </row>
    <row r="83" spans="1:19">
      <c r="A83" s="7">
        <v>2</v>
      </c>
      <c r="B83" s="88" t="s">
        <v>53</v>
      </c>
      <c r="C83" s="1" t="s">
        <v>54</v>
      </c>
      <c r="D83" s="503">
        <f>'3 -12h.A&amp;B Util Plt &amp; Accum Dep'!H16</f>
        <v>17778710</v>
      </c>
      <c r="E83" s="6"/>
      <c r="F83" s="6" t="s">
        <v>9</v>
      </c>
      <c r="G83" s="30">
        <f>I223</f>
        <v>0.77205441773846428</v>
      </c>
      <c r="H83" s="6"/>
      <c r="I83" s="6">
        <f>+G83*D83</f>
        <v>13726131.597191012</v>
      </c>
      <c r="J83" s="6"/>
      <c r="K83" s="6"/>
      <c r="M83" s="683"/>
      <c r="N83" s="593"/>
      <c r="O83" s="687"/>
      <c r="P83" s="490"/>
      <c r="Q83" s="490"/>
      <c r="R83" s="490"/>
      <c r="S83" s="490"/>
    </row>
    <row r="84" spans="1:19">
      <c r="A84" s="7">
        <v>3</v>
      </c>
      <c r="B84" s="88" t="s">
        <v>55</v>
      </c>
      <c r="C84" s="1" t="s">
        <v>182</v>
      </c>
      <c r="D84" s="503">
        <f>'3 -12h.A&amp;B Util Plt &amp; Accum Dep'!H21</f>
        <v>116426038</v>
      </c>
      <c r="E84" s="6"/>
      <c r="F84" s="6" t="s">
        <v>52</v>
      </c>
      <c r="G84" s="30" t="s">
        <v>0</v>
      </c>
      <c r="H84" s="6"/>
      <c r="I84" s="6" t="s">
        <v>0</v>
      </c>
      <c r="J84" s="6"/>
      <c r="K84" s="6"/>
      <c r="M84" s="683"/>
      <c r="N84" s="593"/>
      <c r="O84" s="687"/>
      <c r="P84" s="490"/>
      <c r="Q84" s="490"/>
      <c r="R84" s="490"/>
      <c r="S84" s="490"/>
    </row>
    <row r="85" spans="1:19">
      <c r="A85" s="7">
        <v>4</v>
      </c>
      <c r="B85" s="88" t="s">
        <v>56</v>
      </c>
      <c r="C85" s="1" t="s">
        <v>261</v>
      </c>
      <c r="D85" s="503">
        <f>'3 -12h.A&amp;B Util Plt &amp; Accum Dep'!H6+'3 -12h.A&amp;B Util Plt &amp; Accum Dep'!H23</f>
        <v>10415074</v>
      </c>
      <c r="E85" s="6"/>
      <c r="F85" s="6" t="s">
        <v>57</v>
      </c>
      <c r="G85" s="30">
        <f>I231</f>
        <v>7.494383704315489E-3</v>
      </c>
      <c r="H85" s="6"/>
      <c r="I85" s="6">
        <f>+G85*D85</f>
        <v>78054.560864839936</v>
      </c>
      <c r="J85" s="6"/>
      <c r="K85" s="6"/>
      <c r="M85" s="683"/>
      <c r="N85" s="593"/>
      <c r="O85" s="687"/>
      <c r="P85" s="490"/>
      <c r="Q85" s="490"/>
      <c r="R85" s="490"/>
      <c r="S85" s="490"/>
    </row>
    <row r="86" spans="1:19" ht="16.5" thickBot="1">
      <c r="A86" s="7">
        <v>5</v>
      </c>
      <c r="B86" s="88" t="s">
        <v>58</v>
      </c>
      <c r="C86" s="6"/>
      <c r="D86" s="504">
        <v>0</v>
      </c>
      <c r="E86" s="6"/>
      <c r="F86" s="6" t="s">
        <v>59</v>
      </c>
      <c r="G86" s="30">
        <f>K235</f>
        <v>0</v>
      </c>
      <c r="H86" s="6"/>
      <c r="I86" s="14">
        <f>+G86*D86</f>
        <v>0</v>
      </c>
      <c r="J86" s="6"/>
      <c r="K86" s="6"/>
      <c r="M86" s="683"/>
      <c r="N86" s="593"/>
      <c r="O86" s="687"/>
      <c r="P86" s="490"/>
      <c r="Q86" s="490"/>
      <c r="R86" s="490"/>
      <c r="S86" s="490"/>
    </row>
    <row r="87" spans="1:19">
      <c r="A87" s="7">
        <v>6</v>
      </c>
      <c r="B87" s="3" t="s">
        <v>229</v>
      </c>
      <c r="C87" s="6"/>
      <c r="D87" s="6">
        <f>SUM(D82:D86)</f>
        <v>144619822</v>
      </c>
      <c r="E87" s="6"/>
      <c r="F87" s="6" t="s">
        <v>60</v>
      </c>
      <c r="G87" s="31">
        <f>IF(I87&gt;0,I87/D87,0)</f>
        <v>9.5451549913094569E-2</v>
      </c>
      <c r="H87" s="6"/>
      <c r="I87" s="6">
        <f>SUM(I82:I86)</f>
        <v>13804186.158055851</v>
      </c>
      <c r="J87" s="6"/>
      <c r="K87" s="31"/>
      <c r="M87" s="683"/>
      <c r="N87" s="593"/>
      <c r="O87" s="687"/>
      <c r="P87" s="490"/>
      <c r="Q87" s="490"/>
      <c r="R87" s="490"/>
      <c r="S87" s="490"/>
    </row>
    <row r="88" spans="1:19">
      <c r="B88" s="88"/>
      <c r="C88" s="6"/>
      <c r="D88" s="6"/>
      <c r="E88" s="6"/>
      <c r="F88" s="6"/>
      <c r="G88" s="31"/>
      <c r="H88" s="6"/>
      <c r="I88" s="6"/>
      <c r="J88" s="6"/>
      <c r="K88" s="31"/>
      <c r="M88" s="683"/>
      <c r="N88" s="490"/>
      <c r="O88" s="490"/>
      <c r="P88" s="490"/>
      <c r="Q88" s="490"/>
      <c r="R88" s="490"/>
      <c r="S88" s="490"/>
    </row>
    <row r="89" spans="1:19">
      <c r="B89" s="88" t="s">
        <v>262</v>
      </c>
      <c r="C89" s="6"/>
      <c r="D89" s="6"/>
      <c r="E89" s="6"/>
      <c r="F89" s="6"/>
      <c r="G89" s="6"/>
      <c r="H89" s="6"/>
      <c r="I89" s="6"/>
      <c r="J89" s="6"/>
      <c r="K89" s="6"/>
      <c r="M89" s="683"/>
      <c r="N89" s="490"/>
      <c r="O89" s="490"/>
      <c r="P89" s="490"/>
      <c r="Q89" s="490"/>
      <c r="R89" s="490"/>
      <c r="S89" s="490"/>
    </row>
    <row r="90" spans="1:19">
      <c r="A90" s="7">
        <v>7</v>
      </c>
      <c r="B90" s="88" t="str">
        <f>+B82</f>
        <v xml:space="preserve">  Production</v>
      </c>
      <c r="C90" s="1" t="s">
        <v>183</v>
      </c>
      <c r="D90" s="505">
        <f>SUM('3 -12h.A&amp;B Util Plt &amp; Accum Dep'!H37:H40)</f>
        <v>0</v>
      </c>
      <c r="E90" s="6"/>
      <c r="F90" s="6" t="str">
        <f t="shared" ref="F90:G94" si="0">+F82</f>
        <v>NA</v>
      </c>
      <c r="G90" s="30" t="str">
        <f t="shared" si="0"/>
        <v xml:space="preserve"> </v>
      </c>
      <c r="H90" s="6"/>
      <c r="I90" s="6" t="s">
        <v>0</v>
      </c>
      <c r="J90" s="6"/>
      <c r="K90" s="6"/>
      <c r="M90" s="683"/>
      <c r="N90" s="593"/>
      <c r="O90" s="687"/>
      <c r="P90" s="490"/>
      <c r="Q90" s="490"/>
      <c r="R90" s="490"/>
      <c r="S90" s="490"/>
    </row>
    <row r="91" spans="1:19">
      <c r="A91" s="7">
        <v>8</v>
      </c>
      <c r="B91" s="88" t="str">
        <f>+B83</f>
        <v xml:space="preserve">  Transmission</v>
      </c>
      <c r="C91" s="1" t="s">
        <v>184</v>
      </c>
      <c r="D91" s="505">
        <f>'3 -12h.A&amp;B Util Plt &amp; Accum Dep'!H41</f>
        <v>9829826</v>
      </c>
      <c r="E91" s="6"/>
      <c r="F91" s="6" t="str">
        <f t="shared" si="0"/>
        <v>TP</v>
      </c>
      <c r="G91" s="30">
        <f>I223</f>
        <v>0.77205441773846428</v>
      </c>
      <c r="H91" s="6"/>
      <c r="I91" s="6">
        <f>+G91*D91</f>
        <v>7589160.5889004171</v>
      </c>
      <c r="J91" s="6"/>
      <c r="K91" s="6"/>
      <c r="M91" s="683"/>
      <c r="N91" s="593"/>
      <c r="O91" s="687"/>
      <c r="P91" s="490"/>
      <c r="Q91" s="490"/>
      <c r="R91" s="490"/>
      <c r="S91" s="490"/>
    </row>
    <row r="92" spans="1:19">
      <c r="A92" s="7">
        <v>9</v>
      </c>
      <c r="B92" s="88" t="str">
        <f>+B84</f>
        <v xml:space="preserve">  Distribution</v>
      </c>
      <c r="C92" s="84" t="s">
        <v>185</v>
      </c>
      <c r="D92" s="505">
        <f>'3 -12h.A&amp;B Util Plt &amp; Accum Dep'!H42</f>
        <v>27260408</v>
      </c>
      <c r="E92" s="6"/>
      <c r="F92" s="6" t="str">
        <f t="shared" si="0"/>
        <v>NA</v>
      </c>
      <c r="G92" s="30" t="str">
        <f t="shared" si="0"/>
        <v xml:space="preserve"> </v>
      </c>
      <c r="H92" s="6"/>
      <c r="I92" s="6" t="s">
        <v>0</v>
      </c>
      <c r="J92" s="6"/>
      <c r="K92" s="6"/>
      <c r="M92" s="683"/>
      <c r="N92" s="593"/>
      <c r="O92" s="687"/>
      <c r="P92" s="490"/>
      <c r="Q92" s="490"/>
      <c r="R92" s="490"/>
      <c r="S92" s="490"/>
    </row>
    <row r="93" spans="1:19">
      <c r="A93" s="7">
        <v>10</v>
      </c>
      <c r="B93" s="88" t="str">
        <f>+B85</f>
        <v xml:space="preserve">  General &amp; Intangible</v>
      </c>
      <c r="C93" s="84" t="s">
        <v>765</v>
      </c>
      <c r="D93" s="503">
        <f>'3 -12h.A&amp;B Util Plt &amp; Accum Dep'!H43</f>
        <v>7546174</v>
      </c>
      <c r="E93" s="6"/>
      <c r="F93" s="6" t="str">
        <f t="shared" si="0"/>
        <v>W/S</v>
      </c>
      <c r="G93" s="30">
        <f t="shared" si="0"/>
        <v>7.494383704315489E-3</v>
      </c>
      <c r="H93" s="6"/>
      <c r="I93" s="6">
        <f>+G93*D93</f>
        <v>56553.923455529228</v>
      </c>
      <c r="J93" s="6"/>
      <c r="K93" s="6"/>
      <c r="M93" s="683"/>
      <c r="N93" s="593"/>
      <c r="O93" s="687"/>
      <c r="P93" s="490"/>
      <c r="Q93" s="490"/>
      <c r="R93" s="490"/>
      <c r="S93" s="490"/>
    </row>
    <row r="94" spans="1:19" ht="16.5" thickBot="1">
      <c r="A94" s="7">
        <v>11</v>
      </c>
      <c r="B94" s="88" t="str">
        <f>+B86</f>
        <v xml:space="preserve">  Common</v>
      </c>
      <c r="C94" s="85"/>
      <c r="D94" s="504">
        <v>0</v>
      </c>
      <c r="E94" s="6"/>
      <c r="F94" s="6" t="str">
        <f t="shared" si="0"/>
        <v>CE</v>
      </c>
      <c r="G94" s="30">
        <f t="shared" si="0"/>
        <v>0</v>
      </c>
      <c r="H94" s="6"/>
      <c r="I94" s="14">
        <f>+G94*D94</f>
        <v>0</v>
      </c>
      <c r="J94" s="6"/>
      <c r="K94" s="6"/>
      <c r="M94" s="683"/>
      <c r="N94" s="593"/>
      <c r="O94" s="687"/>
      <c r="P94" s="490"/>
      <c r="Q94" s="490"/>
      <c r="R94" s="490"/>
      <c r="S94" s="490"/>
    </row>
    <row r="95" spans="1:19">
      <c r="A95" s="7">
        <v>12</v>
      </c>
      <c r="B95" s="88" t="s">
        <v>230</v>
      </c>
      <c r="C95" s="6"/>
      <c r="D95" s="6">
        <f>SUM(D90:D94)</f>
        <v>44636408</v>
      </c>
      <c r="E95" s="6"/>
      <c r="F95" s="6"/>
      <c r="G95" s="6"/>
      <c r="H95" s="6"/>
      <c r="I95" s="6">
        <f>SUM(I90:I94)</f>
        <v>7645714.512355946</v>
      </c>
      <c r="J95" s="6"/>
      <c r="K95" s="6"/>
      <c r="M95" s="683"/>
      <c r="N95" s="593"/>
      <c r="O95" s="687"/>
      <c r="P95" s="490"/>
      <c r="Q95" s="490"/>
      <c r="R95" s="490"/>
      <c r="S95" s="490"/>
    </row>
    <row r="96" spans="1:19">
      <c r="A96" s="7"/>
      <c r="C96" s="6" t="s">
        <v>0</v>
      </c>
      <c r="E96" s="6"/>
      <c r="F96" s="6"/>
      <c r="G96" s="31"/>
      <c r="H96" s="6"/>
      <c r="J96" s="6"/>
      <c r="K96" s="31"/>
      <c r="M96" s="683"/>
      <c r="N96" s="490"/>
      <c r="O96" s="490"/>
      <c r="P96" s="490"/>
      <c r="Q96" s="490"/>
      <c r="R96" s="490"/>
      <c r="S96" s="490"/>
    </row>
    <row r="97" spans="1:19">
      <c r="A97" s="7"/>
      <c r="B97" s="88" t="s">
        <v>61</v>
      </c>
      <c r="C97" s="6"/>
      <c r="D97" s="6"/>
      <c r="E97" s="6"/>
      <c r="F97" s="6"/>
      <c r="G97" s="6"/>
      <c r="H97" s="6"/>
      <c r="I97" s="6"/>
      <c r="J97" s="6"/>
      <c r="K97" s="6"/>
      <c r="M97" s="683"/>
      <c r="N97" s="490"/>
      <c r="O97" s="490"/>
      <c r="P97" s="490"/>
      <c r="Q97" s="490"/>
      <c r="R97" s="490"/>
      <c r="S97" s="490"/>
    </row>
    <row r="98" spans="1:19">
      <c r="A98" s="7">
        <v>13</v>
      </c>
      <c r="B98" s="88" t="str">
        <f>+B90</f>
        <v xml:space="preserve">  Production</v>
      </c>
      <c r="C98" s="6" t="s">
        <v>202</v>
      </c>
      <c r="D98" s="6">
        <f>D82-D90</f>
        <v>0</v>
      </c>
      <c r="E98" s="6"/>
      <c r="F98" s="6"/>
      <c r="G98" s="31"/>
      <c r="H98" s="6"/>
      <c r="I98" s="6" t="s">
        <v>0</v>
      </c>
      <c r="J98" s="6"/>
      <c r="K98" s="31"/>
      <c r="M98" s="683"/>
      <c r="N98" s="593"/>
      <c r="O98" s="687"/>
      <c r="P98" s="490"/>
      <c r="Q98" s="490"/>
      <c r="R98" s="490"/>
      <c r="S98" s="490"/>
    </row>
    <row r="99" spans="1:19">
      <c r="A99" s="7">
        <v>14</v>
      </c>
      <c r="B99" s="88" t="str">
        <f>+B91</f>
        <v xml:space="preserve">  Transmission</v>
      </c>
      <c r="C99" s="6" t="s">
        <v>203</v>
      </c>
      <c r="D99" s="6">
        <f>D83-D91</f>
        <v>7948884</v>
      </c>
      <c r="E99" s="6"/>
      <c r="F99" s="6"/>
      <c r="G99" s="30"/>
      <c r="H99" s="6"/>
      <c r="I99" s="6">
        <f>I83-I91</f>
        <v>6136971.0082905944</v>
      </c>
      <c r="J99" s="6"/>
      <c r="K99" s="31"/>
      <c r="M99" s="683"/>
      <c r="N99" s="593"/>
      <c r="O99" s="687"/>
      <c r="P99" s="490"/>
      <c r="Q99" s="490"/>
      <c r="R99" s="490"/>
      <c r="S99" s="490"/>
    </row>
    <row r="100" spans="1:19">
      <c r="A100" s="7">
        <v>15</v>
      </c>
      <c r="B100" s="88" t="str">
        <f>+B92</f>
        <v xml:space="preserve">  Distribution</v>
      </c>
      <c r="C100" s="6" t="s">
        <v>204</v>
      </c>
      <c r="D100" s="6">
        <f>D84-D92</f>
        <v>89165630</v>
      </c>
      <c r="E100" s="6"/>
      <c r="F100" s="6"/>
      <c r="G100" s="31"/>
      <c r="H100" s="6"/>
      <c r="I100" s="6" t="s">
        <v>0</v>
      </c>
      <c r="J100" s="6"/>
      <c r="K100" s="31"/>
      <c r="M100" s="683"/>
      <c r="N100" s="593"/>
      <c r="O100" s="687"/>
      <c r="P100" s="490"/>
      <c r="Q100" s="490"/>
      <c r="R100" s="490"/>
      <c r="S100" s="490"/>
    </row>
    <row r="101" spans="1:19">
      <c r="A101" s="7">
        <v>16</v>
      </c>
      <c r="B101" s="88" t="str">
        <f>+B93</f>
        <v xml:space="preserve">  General &amp; Intangible</v>
      </c>
      <c r="C101" s="6" t="s">
        <v>205</v>
      </c>
      <c r="D101" s="6">
        <f>D85-D93</f>
        <v>2868900</v>
      </c>
      <c r="E101" s="6"/>
      <c r="F101" s="6"/>
      <c r="G101" s="31"/>
      <c r="H101" s="6"/>
      <c r="I101" s="6">
        <f>I85-I93</f>
        <v>21500.637409310708</v>
      </c>
      <c r="J101" s="6"/>
      <c r="K101" s="31"/>
      <c r="M101" s="683"/>
      <c r="N101" s="593"/>
      <c r="O101" s="687"/>
      <c r="P101" s="490"/>
      <c r="Q101" s="490"/>
      <c r="R101" s="490"/>
      <c r="S101" s="490"/>
    </row>
    <row r="102" spans="1:19" ht="16.5" thickBot="1">
      <c r="A102" s="7">
        <v>17</v>
      </c>
      <c r="B102" s="88" t="str">
        <f>+B94</f>
        <v xml:space="preserve">  Common</v>
      </c>
      <c r="C102" s="6" t="s">
        <v>206</v>
      </c>
      <c r="D102" s="14">
        <f>D86-D94</f>
        <v>0</v>
      </c>
      <c r="E102" s="6"/>
      <c r="F102" s="6"/>
      <c r="G102" s="31"/>
      <c r="H102" s="6"/>
      <c r="I102" s="14">
        <f>I86-I94</f>
        <v>0</v>
      </c>
      <c r="J102" s="6"/>
      <c r="K102" s="31"/>
      <c r="M102" s="683"/>
      <c r="N102" s="593"/>
      <c r="O102" s="687"/>
      <c r="P102" s="490"/>
      <c r="Q102" s="490"/>
      <c r="R102" s="490"/>
      <c r="S102" s="490"/>
    </row>
    <row r="103" spans="1:19">
      <c r="A103" s="7">
        <v>18</v>
      </c>
      <c r="B103" s="88" t="s">
        <v>231</v>
      </c>
      <c r="C103" s="6"/>
      <c r="D103" s="6">
        <f>SUM(D98:D102)</f>
        <v>99983414</v>
      </c>
      <c r="E103" s="6"/>
      <c r="F103" s="6" t="s">
        <v>62</v>
      </c>
      <c r="G103" s="31">
        <f>IF(I103&gt;0,I103/D103,0)</f>
        <v>6.1594932592518845E-2</v>
      </c>
      <c r="H103" s="6"/>
      <c r="I103" s="6">
        <f>SUM(I98:I102)</f>
        <v>6158471.6456999052</v>
      </c>
      <c r="J103" s="6"/>
      <c r="K103" s="6"/>
      <c r="M103" s="683"/>
      <c r="N103" s="593"/>
      <c r="O103" s="687"/>
      <c r="P103" s="490"/>
      <c r="Q103" s="490"/>
      <c r="R103" s="490"/>
      <c r="S103" s="490"/>
    </row>
    <row r="104" spans="1:19">
      <c r="A104" s="7"/>
      <c r="C104" s="6"/>
      <c r="E104" s="6"/>
      <c r="H104" s="6"/>
      <c r="J104" s="6"/>
      <c r="K104" s="31"/>
      <c r="M104" s="683"/>
      <c r="N104" s="490"/>
      <c r="O104" s="490"/>
      <c r="P104" s="490"/>
      <c r="Q104" s="490"/>
      <c r="R104" s="490"/>
      <c r="S104" s="490"/>
    </row>
    <row r="105" spans="1:19">
      <c r="A105" s="7"/>
      <c r="B105" s="3" t="s">
        <v>207</v>
      </c>
      <c r="C105" s="6"/>
      <c r="D105" s="6"/>
      <c r="E105" s="6"/>
      <c r="F105" s="6"/>
      <c r="G105" s="6"/>
      <c r="H105" s="6"/>
      <c r="I105" s="6"/>
      <c r="J105" s="6"/>
      <c r="K105" s="6"/>
      <c r="M105" s="683"/>
      <c r="N105" s="490"/>
      <c r="O105" s="490"/>
      <c r="P105" s="490"/>
      <c r="Q105" s="490"/>
      <c r="R105" s="490"/>
      <c r="S105" s="490"/>
    </row>
    <row r="106" spans="1:19">
      <c r="A106" s="7">
        <v>19</v>
      </c>
      <c r="B106" s="88" t="s">
        <v>63</v>
      </c>
      <c r="C106" s="6"/>
      <c r="D106" s="505">
        <v>0</v>
      </c>
      <c r="E106" s="6"/>
      <c r="F106" s="6"/>
      <c r="G106" s="32" t="s">
        <v>173</v>
      </c>
      <c r="H106" s="6"/>
      <c r="I106" s="6">
        <v>0</v>
      </c>
      <c r="J106" s="6"/>
      <c r="K106" s="31"/>
      <c r="M106" s="683"/>
      <c r="N106" s="593"/>
      <c r="O106" s="687"/>
      <c r="P106" s="490"/>
      <c r="Q106" s="490"/>
      <c r="R106" s="490"/>
      <c r="S106" s="490"/>
    </row>
    <row r="107" spans="1:19">
      <c r="A107" s="7">
        <v>20</v>
      </c>
      <c r="B107" s="88" t="s">
        <v>65</v>
      </c>
      <c r="C107" s="6"/>
      <c r="D107" s="505">
        <v>0</v>
      </c>
      <c r="E107" s="6"/>
      <c r="F107" s="6" t="s">
        <v>64</v>
      </c>
      <c r="G107" s="30">
        <f>+G103</f>
        <v>6.1594932592518845E-2</v>
      </c>
      <c r="H107" s="6"/>
      <c r="I107" s="6">
        <f>D107*G107</f>
        <v>0</v>
      </c>
      <c r="J107" s="6"/>
      <c r="K107" s="31"/>
      <c r="M107" s="683"/>
      <c r="N107" s="593"/>
      <c r="O107" s="687"/>
      <c r="P107" s="490"/>
      <c r="Q107" s="490"/>
      <c r="R107" s="490"/>
      <c r="S107" s="490"/>
    </row>
    <row r="108" spans="1:19">
      <c r="A108" s="7">
        <v>21</v>
      </c>
      <c r="B108" s="88" t="s">
        <v>66</v>
      </c>
      <c r="C108" s="6"/>
      <c r="D108" s="503">
        <v>0</v>
      </c>
      <c r="E108" s="6"/>
      <c r="F108" s="6" t="s">
        <v>64</v>
      </c>
      <c r="G108" s="30">
        <f>+G107</f>
        <v>6.1594932592518845E-2</v>
      </c>
      <c r="H108" s="6"/>
      <c r="I108" s="6">
        <f>D108*G108</f>
        <v>0</v>
      </c>
      <c r="J108" s="6"/>
      <c r="K108" s="31"/>
      <c r="M108" s="683"/>
      <c r="N108" s="593"/>
      <c r="O108" s="687"/>
      <c r="P108" s="490"/>
      <c r="Q108" s="490"/>
      <c r="R108" s="490"/>
      <c r="S108" s="490"/>
    </row>
    <row r="109" spans="1:19">
      <c r="A109" s="7">
        <v>22</v>
      </c>
      <c r="B109" s="88" t="s">
        <v>67</v>
      </c>
      <c r="C109" s="6"/>
      <c r="D109" s="503">
        <v>0</v>
      </c>
      <c r="E109" s="6"/>
      <c r="F109" s="6" t="str">
        <f>+F108</f>
        <v>NP</v>
      </c>
      <c r="G109" s="30">
        <f>+G108</f>
        <v>6.1594932592518845E-2</v>
      </c>
      <c r="H109" s="6"/>
      <c r="I109" s="6">
        <f>D109*G109</f>
        <v>0</v>
      </c>
      <c r="J109" s="6"/>
      <c r="K109" s="31"/>
      <c r="M109" s="683"/>
      <c r="N109" s="593"/>
      <c r="O109" s="687"/>
      <c r="P109" s="490"/>
      <c r="Q109" s="490"/>
      <c r="R109" s="490"/>
      <c r="S109" s="490"/>
    </row>
    <row r="110" spans="1:19" ht="16.5" thickBot="1">
      <c r="A110" s="7">
        <v>23</v>
      </c>
      <c r="B110" s="1" t="s">
        <v>68</v>
      </c>
      <c r="D110" s="504">
        <v>0</v>
      </c>
      <c r="E110" s="6"/>
      <c r="F110" s="6" t="s">
        <v>64</v>
      </c>
      <c r="G110" s="30">
        <f>+G108</f>
        <v>6.1594932592518845E-2</v>
      </c>
      <c r="H110" s="6"/>
      <c r="I110" s="14">
        <f>D110*G110</f>
        <v>0</v>
      </c>
      <c r="J110" s="6"/>
      <c r="K110" s="6"/>
      <c r="M110" s="683"/>
      <c r="N110" s="593"/>
      <c r="O110" s="687"/>
      <c r="P110" s="490"/>
      <c r="Q110" s="490"/>
      <c r="R110" s="490"/>
      <c r="S110" s="490"/>
    </row>
    <row r="111" spans="1:19">
      <c r="A111" s="7">
        <v>24</v>
      </c>
      <c r="B111" s="88" t="s">
        <v>232</v>
      </c>
      <c r="C111" s="6"/>
      <c r="D111" s="6">
        <f>SUM(D106:D110)</f>
        <v>0</v>
      </c>
      <c r="E111" s="6"/>
      <c r="F111" s="6"/>
      <c r="G111" s="6"/>
      <c r="H111" s="6"/>
      <c r="I111" s="6">
        <f>SUM(I106:I110)</f>
        <v>0</v>
      </c>
      <c r="J111" s="6"/>
      <c r="K111" s="6"/>
      <c r="M111" s="683"/>
      <c r="N111" s="593"/>
      <c r="O111" s="687"/>
      <c r="P111" s="490"/>
      <c r="Q111" s="490"/>
      <c r="R111" s="490"/>
      <c r="S111" s="490"/>
    </row>
    <row r="112" spans="1:19">
      <c r="A112" s="7"/>
      <c r="C112" s="6"/>
      <c r="E112" s="6"/>
      <c r="F112" s="6"/>
      <c r="G112" s="31"/>
      <c r="H112" s="6"/>
      <c r="J112" s="6"/>
      <c r="K112" s="31"/>
      <c r="M112" s="683"/>
      <c r="N112" s="490"/>
      <c r="O112" s="490"/>
      <c r="P112" s="490"/>
      <c r="Q112" s="490"/>
      <c r="R112" s="490"/>
      <c r="S112" s="490"/>
    </row>
    <row r="113" spans="1:19">
      <c r="A113" s="7">
        <v>25</v>
      </c>
      <c r="B113" s="3" t="s">
        <v>69</v>
      </c>
      <c r="C113" s="6" t="s">
        <v>197</v>
      </c>
      <c r="D113" s="505">
        <f>'7 - WP - Land for future use'!B13</f>
        <v>0</v>
      </c>
      <c r="E113" s="6"/>
      <c r="F113" s="6" t="str">
        <f>+F91</f>
        <v>TP</v>
      </c>
      <c r="G113" s="30">
        <f>+G91</f>
        <v>0.77205441773846428</v>
      </c>
      <c r="H113" s="6"/>
      <c r="I113" s="6">
        <f>+G113*D113</f>
        <v>0</v>
      </c>
      <c r="J113" s="6"/>
      <c r="K113" s="6"/>
      <c r="M113" s="683"/>
      <c r="N113" s="593"/>
      <c r="O113" s="687"/>
      <c r="P113" s="490"/>
      <c r="Q113" s="490"/>
      <c r="R113" s="490"/>
      <c r="S113" s="490"/>
    </row>
    <row r="114" spans="1:19">
      <c r="A114" s="7"/>
      <c r="B114" s="88"/>
      <c r="C114" s="6"/>
      <c r="D114" s="6"/>
      <c r="E114" s="6"/>
      <c r="F114" s="6"/>
      <c r="G114" s="6"/>
      <c r="H114" s="6"/>
      <c r="I114" s="6"/>
      <c r="J114" s="6"/>
      <c r="K114" s="6"/>
      <c r="M114" s="683"/>
      <c r="N114" s="490"/>
      <c r="O114" s="490"/>
      <c r="P114" s="490"/>
      <c r="Q114" s="490"/>
      <c r="R114" s="490"/>
      <c r="S114" s="490"/>
    </row>
    <row r="115" spans="1:19">
      <c r="A115" s="7"/>
      <c r="B115" s="88" t="s">
        <v>166</v>
      </c>
      <c r="D115" s="6"/>
      <c r="E115" s="6"/>
      <c r="F115" s="6"/>
      <c r="G115" s="6"/>
      <c r="H115" s="6"/>
      <c r="I115" s="6"/>
      <c r="J115" s="6"/>
      <c r="K115" s="6"/>
      <c r="M115" s="683"/>
      <c r="N115" s="490"/>
      <c r="O115" s="490"/>
      <c r="P115" s="490"/>
      <c r="Q115" s="490"/>
      <c r="R115" s="490"/>
      <c r="S115" s="490"/>
    </row>
    <row r="116" spans="1:19">
      <c r="A116" s="7">
        <v>26</v>
      </c>
      <c r="B116" s="88" t="s">
        <v>167</v>
      </c>
      <c r="C116" s="6" t="s">
        <v>70</v>
      </c>
      <c r="D116" s="6">
        <f>D152/8</f>
        <v>319635.24</v>
      </c>
      <c r="E116" s="6"/>
      <c r="F116" s="6"/>
      <c r="G116" s="31"/>
      <c r="H116" s="6"/>
      <c r="I116" s="6">
        <f>I152/8</f>
        <v>34267.293347145176</v>
      </c>
      <c r="J116" s="5"/>
      <c r="K116" s="31"/>
      <c r="M116" s="683"/>
      <c r="N116" s="593"/>
      <c r="O116" s="687"/>
      <c r="P116" s="490"/>
      <c r="Q116" s="490"/>
      <c r="R116" s="490"/>
      <c r="S116" s="490"/>
    </row>
    <row r="117" spans="1:19">
      <c r="A117" s="7">
        <v>27</v>
      </c>
      <c r="B117" s="88" t="s">
        <v>71</v>
      </c>
      <c r="C117" s="1" t="s">
        <v>186</v>
      </c>
      <c r="D117" s="505">
        <f>'8 - WP - Materials and Supplies'!B12</f>
        <v>86154.588892902655</v>
      </c>
      <c r="E117" s="6"/>
      <c r="F117" s="6" t="s">
        <v>72</v>
      </c>
      <c r="G117" s="30">
        <f>I224</f>
        <v>0.77205441773846428</v>
      </c>
      <c r="H117" s="6"/>
      <c r="I117" s="6">
        <f>+G117*D117</f>
        <v>66516.030963206722</v>
      </c>
      <c r="J117" s="6" t="s">
        <v>0</v>
      </c>
      <c r="K117" s="31"/>
      <c r="M117" s="683"/>
      <c r="N117" s="593"/>
      <c r="O117" s="687"/>
      <c r="P117" s="490"/>
      <c r="Q117" s="490"/>
      <c r="R117" s="490"/>
      <c r="S117" s="490"/>
    </row>
    <row r="118" spans="1:19" ht="16.5" thickBot="1">
      <c r="A118" s="7">
        <v>28</v>
      </c>
      <c r="B118" s="88" t="s">
        <v>73</v>
      </c>
      <c r="C118" s="1" t="s">
        <v>263</v>
      </c>
      <c r="D118" s="504">
        <f>'2 - 12a.B Balance Sheet'!C30</f>
        <v>306268</v>
      </c>
      <c r="E118" s="6"/>
      <c r="F118" s="6" t="s">
        <v>74</v>
      </c>
      <c r="G118" s="30">
        <f>+G87</f>
        <v>9.5451549913094569E-2</v>
      </c>
      <c r="H118" s="6"/>
      <c r="I118" s="14">
        <f>+G118*D118</f>
        <v>29233.755288783646</v>
      </c>
      <c r="J118" s="6"/>
      <c r="K118" s="31"/>
      <c r="M118" s="683"/>
      <c r="N118" s="593"/>
      <c r="O118" s="687"/>
      <c r="P118" s="490"/>
      <c r="Q118" s="490"/>
      <c r="R118" s="490"/>
      <c r="S118" s="490"/>
    </row>
    <row r="119" spans="1:19">
      <c r="A119" s="7">
        <v>29</v>
      </c>
      <c r="B119" s="88" t="s">
        <v>233</v>
      </c>
      <c r="C119" s="5"/>
      <c r="D119" s="6">
        <f>D116+D117+D118</f>
        <v>712057.8288929027</v>
      </c>
      <c r="E119" s="5"/>
      <c r="F119" s="5"/>
      <c r="G119" s="5"/>
      <c r="H119" s="5"/>
      <c r="I119" s="6">
        <f>I116+I117+I118</f>
        <v>130017.07959913554</v>
      </c>
      <c r="J119" s="5"/>
      <c r="K119" s="5"/>
      <c r="M119" s="683"/>
      <c r="N119" s="593"/>
      <c r="O119" s="687"/>
      <c r="P119" s="490"/>
      <c r="Q119" s="490"/>
      <c r="R119" s="490"/>
      <c r="S119" s="490"/>
    </row>
    <row r="120" spans="1:19" ht="16.5" thickBot="1">
      <c r="C120" s="6"/>
      <c r="D120" s="33"/>
      <c r="E120" s="6"/>
      <c r="F120" s="6"/>
      <c r="G120" s="6"/>
      <c r="H120" s="6"/>
      <c r="I120" s="33"/>
      <c r="J120" s="6"/>
      <c r="K120" s="6"/>
      <c r="M120" s="683"/>
      <c r="N120" s="490"/>
      <c r="O120" s="490"/>
      <c r="P120" s="490"/>
      <c r="Q120" s="490"/>
      <c r="R120" s="490"/>
      <c r="S120" s="490"/>
    </row>
    <row r="121" spans="1:19" ht="16.5" thickBot="1">
      <c r="A121" s="7">
        <v>30</v>
      </c>
      <c r="B121" s="88" t="s">
        <v>75</v>
      </c>
      <c r="C121" s="6"/>
      <c r="D121" s="34">
        <f>+D119+D113+D111+D103</f>
        <v>100695471.8288929</v>
      </c>
      <c r="E121" s="6"/>
      <c r="F121" s="6"/>
      <c r="G121" s="31"/>
      <c r="H121" s="6"/>
      <c r="I121" s="34">
        <f>+I119+I113+I111+I103</f>
        <v>6288488.7252990408</v>
      </c>
      <c r="J121" s="6"/>
      <c r="K121" s="31"/>
      <c r="M121" s="683"/>
      <c r="N121" s="593"/>
      <c r="O121" s="687"/>
      <c r="P121" s="490"/>
      <c r="Q121" s="490"/>
      <c r="R121" s="490"/>
      <c r="S121" s="490"/>
    </row>
    <row r="122" spans="1:19" ht="16.5" thickTop="1">
      <c r="A122" s="7"/>
      <c r="B122" s="88"/>
      <c r="C122" s="6"/>
      <c r="D122" s="6"/>
      <c r="E122" s="6"/>
      <c r="F122" s="6"/>
      <c r="G122" s="6"/>
      <c r="H122" s="6"/>
      <c r="I122" s="6"/>
      <c r="J122" s="6"/>
      <c r="K122" s="6"/>
      <c r="M122" s="593"/>
      <c r="N122" s="490"/>
      <c r="O122" s="490"/>
      <c r="P122" s="490"/>
      <c r="Q122" s="490"/>
      <c r="R122" s="490"/>
      <c r="S122" s="490"/>
    </row>
    <row r="123" spans="1:19">
      <c r="A123" s="7"/>
      <c r="B123" s="88"/>
      <c r="C123" s="6"/>
      <c r="D123" s="6"/>
      <c r="E123" s="6"/>
      <c r="F123" s="6"/>
      <c r="G123" s="6"/>
      <c r="H123" s="6"/>
      <c r="I123" s="6"/>
      <c r="J123" s="6"/>
      <c r="K123" s="6"/>
      <c r="M123" s="593"/>
      <c r="N123" s="490"/>
      <c r="O123" s="490"/>
      <c r="P123" s="490"/>
      <c r="Q123" s="490"/>
      <c r="R123" s="490"/>
      <c r="S123" s="490"/>
    </row>
    <row r="124" spans="1:19">
      <c r="A124" s="7"/>
      <c r="B124" s="88"/>
      <c r="C124" s="6"/>
      <c r="D124" s="6"/>
      <c r="E124" s="6"/>
      <c r="F124" s="6"/>
      <c r="G124" s="6"/>
      <c r="H124" s="6"/>
      <c r="I124" s="6"/>
      <c r="J124" s="6"/>
      <c r="K124" s="6"/>
      <c r="M124" s="593"/>
      <c r="N124" s="490"/>
      <c r="O124" s="490"/>
      <c r="P124" s="490"/>
      <c r="Q124" s="490"/>
      <c r="R124" s="490"/>
      <c r="S124" s="490"/>
    </row>
    <row r="125" spans="1:19">
      <c r="A125" s="7"/>
      <c r="B125" s="88"/>
      <c r="C125" s="6"/>
      <c r="D125" s="6"/>
      <c r="E125" s="6"/>
      <c r="F125" s="6"/>
      <c r="G125" s="6"/>
      <c r="H125" s="6"/>
      <c r="I125" s="6"/>
      <c r="J125" s="6"/>
      <c r="K125" s="6"/>
      <c r="M125" s="593"/>
      <c r="N125" s="490"/>
      <c r="O125" s="490"/>
      <c r="P125" s="490"/>
      <c r="Q125" s="490"/>
      <c r="R125" s="490"/>
      <c r="S125" s="490"/>
    </row>
    <row r="126" spans="1:19">
      <c r="A126" s="7"/>
      <c r="B126" s="88"/>
      <c r="C126" s="6"/>
      <c r="D126" s="6"/>
      <c r="E126" s="6"/>
      <c r="F126" s="6"/>
      <c r="G126" s="6"/>
      <c r="H126" s="6"/>
      <c r="I126" s="6"/>
      <c r="J126" s="6"/>
      <c r="K126" s="6"/>
      <c r="M126" s="593"/>
      <c r="N126" s="490"/>
      <c r="O126" s="490"/>
      <c r="P126" s="490"/>
      <c r="Q126" s="490"/>
      <c r="R126" s="490"/>
      <c r="S126" s="490"/>
    </row>
    <row r="127" spans="1:19">
      <c r="A127" s="7"/>
      <c r="B127" s="88"/>
      <c r="C127" s="6"/>
      <c r="D127" s="6"/>
      <c r="E127" s="6"/>
      <c r="F127" s="6"/>
      <c r="G127" s="6"/>
      <c r="H127" s="6"/>
      <c r="I127" s="6"/>
      <c r="J127" s="6"/>
      <c r="K127" s="6"/>
      <c r="M127" s="593"/>
      <c r="N127" s="490"/>
      <c r="O127" s="490"/>
      <c r="P127" s="490"/>
      <c r="Q127" s="490"/>
      <c r="R127" s="490"/>
      <c r="S127" s="490"/>
    </row>
    <row r="128" spans="1:19">
      <c r="A128" s="7"/>
      <c r="B128" s="88"/>
      <c r="C128" s="6"/>
      <c r="D128" s="6"/>
      <c r="E128" s="6"/>
      <c r="F128" s="6"/>
      <c r="G128" s="6"/>
      <c r="H128" s="6"/>
      <c r="I128" s="6"/>
      <c r="J128" s="6"/>
      <c r="K128" s="6"/>
      <c r="M128" s="593"/>
      <c r="N128" s="490"/>
      <c r="O128" s="490"/>
      <c r="P128" s="490"/>
      <c r="Q128" s="490"/>
      <c r="R128" s="490"/>
      <c r="S128" s="490"/>
    </row>
    <row r="129" spans="1:19">
      <c r="A129" s="7"/>
      <c r="B129" s="88"/>
      <c r="C129" s="6"/>
      <c r="D129" s="6"/>
      <c r="E129" s="6"/>
      <c r="F129" s="6"/>
      <c r="G129" s="6"/>
      <c r="H129" s="6"/>
      <c r="I129" s="6"/>
      <c r="J129" s="6"/>
      <c r="K129" s="6"/>
      <c r="M129" s="593"/>
      <c r="N129" s="490"/>
      <c r="O129" s="490"/>
      <c r="P129" s="490"/>
      <c r="Q129" s="490"/>
      <c r="R129" s="490"/>
      <c r="S129" s="490"/>
    </row>
    <row r="130" spans="1:19">
      <c r="A130" s="7"/>
      <c r="B130" s="88"/>
      <c r="C130" s="6"/>
      <c r="D130" s="6"/>
      <c r="E130" s="6"/>
      <c r="F130" s="6"/>
      <c r="G130" s="6"/>
      <c r="H130" s="6"/>
      <c r="I130" s="6"/>
      <c r="J130" s="6"/>
      <c r="K130" s="6"/>
      <c r="M130" s="593"/>
      <c r="N130" s="490"/>
      <c r="O130" s="490"/>
      <c r="P130" s="490"/>
      <c r="Q130" s="490"/>
      <c r="R130" s="490"/>
      <c r="S130" s="490"/>
    </row>
    <row r="131" spans="1:19">
      <c r="A131" s="7"/>
      <c r="B131" s="88"/>
      <c r="C131" s="6"/>
      <c r="D131" s="6"/>
      <c r="E131" s="6"/>
      <c r="F131" s="6"/>
      <c r="G131" s="6"/>
      <c r="H131" s="6"/>
      <c r="I131" s="6"/>
      <c r="J131" s="6"/>
      <c r="K131" s="6"/>
      <c r="M131" s="593"/>
      <c r="N131" s="490"/>
      <c r="O131" s="490"/>
      <c r="P131" s="490"/>
      <c r="Q131" s="490"/>
      <c r="R131" s="490"/>
      <c r="S131" s="490"/>
    </row>
    <row r="132" spans="1:19">
      <c r="A132" s="7"/>
      <c r="B132" s="88"/>
      <c r="C132" s="6"/>
      <c r="D132" s="6"/>
      <c r="E132" s="6"/>
      <c r="F132" s="6"/>
      <c r="G132" s="6"/>
      <c r="H132" s="6"/>
      <c r="I132" s="6"/>
      <c r="J132" s="6"/>
      <c r="K132" s="2" t="s">
        <v>784</v>
      </c>
      <c r="M132" s="593"/>
      <c r="N132" s="490"/>
      <c r="O132" s="490"/>
      <c r="P132" s="490"/>
      <c r="Q132" s="490"/>
      <c r="R132" s="490"/>
      <c r="S132" s="490"/>
    </row>
    <row r="133" spans="1:19">
      <c r="B133" s="3"/>
      <c r="C133" s="3"/>
      <c r="D133" s="494"/>
      <c r="E133" s="3"/>
      <c r="F133" s="3"/>
      <c r="G133" s="3"/>
      <c r="H133" s="4"/>
      <c r="I133" s="4"/>
      <c r="J133" s="609" t="s">
        <v>766</v>
      </c>
      <c r="K133" s="609"/>
      <c r="M133" s="593"/>
      <c r="N133" s="490"/>
      <c r="O133" s="490"/>
      <c r="P133" s="490"/>
      <c r="Q133" s="490"/>
      <c r="R133" s="490"/>
      <c r="S133" s="490"/>
    </row>
    <row r="134" spans="1:19">
      <c r="A134" s="7"/>
      <c r="B134" s="88"/>
      <c r="C134" s="6"/>
      <c r="D134" s="6"/>
      <c r="E134" s="6"/>
      <c r="F134" s="6"/>
      <c r="G134" s="6"/>
      <c r="H134" s="6"/>
      <c r="I134" s="6"/>
      <c r="J134" s="6"/>
      <c r="K134" s="6"/>
      <c r="M134" s="593"/>
      <c r="N134" s="490"/>
      <c r="O134" s="490"/>
      <c r="P134" s="490"/>
      <c r="Q134" s="490"/>
      <c r="R134" s="490"/>
      <c r="S134" s="490"/>
    </row>
    <row r="135" spans="1:19">
      <c r="A135" s="7"/>
      <c r="B135" s="88" t="str">
        <f>B4</f>
        <v xml:space="preserve">Formula Rate - Non-Levelized </v>
      </c>
      <c r="C135" s="6"/>
      <c r="D135" s="6" t="str">
        <f>D4</f>
        <v xml:space="preserve">     Rate Formula Template</v>
      </c>
      <c r="E135" s="6"/>
      <c r="F135" s="6"/>
      <c r="G135" s="6"/>
      <c r="H135" s="6"/>
      <c r="J135" s="6"/>
      <c r="K135" s="76" t="str">
        <f>K4</f>
        <v>For the 12 months ended 12/31/17</v>
      </c>
      <c r="M135" s="593"/>
      <c r="N135" s="490"/>
      <c r="O135" s="490"/>
      <c r="P135" s="490"/>
      <c r="Q135" s="490"/>
      <c r="R135" s="490"/>
      <c r="S135" s="490"/>
    </row>
    <row r="136" spans="1:19">
      <c r="A136" s="7"/>
      <c r="B136" s="88"/>
      <c r="C136" s="6"/>
      <c r="D136" s="6" t="str">
        <f>D5</f>
        <v xml:space="preserve"> Utilizing RUS Form 12 Data</v>
      </c>
      <c r="E136" s="6"/>
      <c r="F136" s="6"/>
      <c r="G136" s="6"/>
      <c r="H136" s="6"/>
      <c r="I136" s="6"/>
      <c r="J136" s="6"/>
      <c r="K136" s="6"/>
      <c r="M136" s="593"/>
      <c r="N136" s="490"/>
      <c r="O136" s="490"/>
      <c r="P136" s="490"/>
      <c r="Q136" s="490"/>
      <c r="R136" s="490"/>
      <c r="S136" s="490"/>
    </row>
    <row r="137" spans="1:19">
      <c r="A137" s="7"/>
      <c r="C137" s="6"/>
      <c r="D137" s="6"/>
      <c r="E137" s="6"/>
      <c r="F137" s="6"/>
      <c r="G137" s="6"/>
      <c r="H137" s="6"/>
      <c r="I137" s="6"/>
      <c r="J137" s="6"/>
      <c r="K137" s="6"/>
      <c r="M137" s="593"/>
      <c r="N137" s="490"/>
      <c r="O137" s="490"/>
      <c r="P137" s="490"/>
      <c r="Q137" s="490"/>
      <c r="R137" s="490"/>
      <c r="S137" s="490"/>
    </row>
    <row r="138" spans="1:19">
      <c r="A138" s="7"/>
      <c r="D138" s="528" t="str">
        <f>D7</f>
        <v>ETEC on behalf of Jasper-Newton</v>
      </c>
      <c r="E138" s="528"/>
      <c r="F138" s="528"/>
      <c r="G138" s="528"/>
      <c r="J138" s="6"/>
      <c r="K138" s="6"/>
      <c r="M138" s="593"/>
      <c r="N138" s="490"/>
      <c r="O138" s="490"/>
      <c r="P138" s="490"/>
      <c r="Q138" s="490"/>
      <c r="R138" s="490"/>
      <c r="S138" s="490"/>
    </row>
    <row r="139" spans="1:19">
      <c r="A139" s="7"/>
      <c r="B139" s="519" t="s">
        <v>38</v>
      </c>
      <c r="C139" s="519" t="s">
        <v>39</v>
      </c>
      <c r="D139" s="519" t="s">
        <v>40</v>
      </c>
      <c r="E139" s="6" t="s">
        <v>0</v>
      </c>
      <c r="F139" s="6"/>
      <c r="G139" s="23" t="s">
        <v>41</v>
      </c>
      <c r="H139" s="6"/>
      <c r="I139" s="24" t="s">
        <v>42</v>
      </c>
      <c r="J139" s="6"/>
      <c r="K139" s="6"/>
      <c r="M139" s="593"/>
      <c r="N139" s="490"/>
      <c r="O139" s="490"/>
      <c r="P139" s="490"/>
      <c r="Q139" s="490"/>
      <c r="R139" s="490"/>
      <c r="S139" s="490"/>
    </row>
    <row r="140" spans="1:19">
      <c r="A140" s="7"/>
      <c r="B140" s="519"/>
      <c r="C140" s="4"/>
      <c r="D140" s="4"/>
      <c r="E140" s="4"/>
      <c r="F140" s="4"/>
      <c r="G140" s="4"/>
      <c r="H140" s="4"/>
      <c r="I140" s="4"/>
      <c r="J140" s="4"/>
      <c r="K140" s="26"/>
      <c r="M140" s="593"/>
      <c r="N140" s="490"/>
      <c r="O140" s="490"/>
      <c r="P140" s="490"/>
      <c r="Q140" s="490"/>
      <c r="R140" s="490"/>
      <c r="S140" s="490"/>
    </row>
    <row r="141" spans="1:19">
      <c r="A141" s="7" t="s">
        <v>1</v>
      </c>
      <c r="B141" s="88"/>
      <c r="C141" s="25" t="s">
        <v>43</v>
      </c>
      <c r="D141" s="6"/>
      <c r="E141" s="6"/>
      <c r="F141" s="6"/>
      <c r="G141" s="7"/>
      <c r="H141" s="6"/>
      <c r="I141" s="26" t="s">
        <v>44</v>
      </c>
      <c r="J141" s="6"/>
      <c r="K141" s="26"/>
      <c r="M141" s="684"/>
      <c r="N141" s="490"/>
      <c r="O141" s="685"/>
      <c r="P141" s="490"/>
      <c r="Q141" s="490"/>
      <c r="R141" s="490"/>
      <c r="S141" s="490"/>
    </row>
    <row r="142" spans="1:19" ht="16.5" thickBot="1">
      <c r="A142" s="9" t="s">
        <v>3</v>
      </c>
      <c r="B142" s="88"/>
      <c r="C142" s="27" t="s">
        <v>45</v>
      </c>
      <c r="D142" s="26" t="s">
        <v>46</v>
      </c>
      <c r="E142" s="28"/>
      <c r="F142" s="26" t="s">
        <v>47</v>
      </c>
      <c r="H142" s="28"/>
      <c r="I142" s="7" t="s">
        <v>48</v>
      </c>
      <c r="J142" s="6"/>
      <c r="K142" s="26"/>
      <c r="M142" s="686"/>
      <c r="N142" s="686"/>
      <c r="O142" s="686"/>
      <c r="P142" s="490"/>
      <c r="Q142" s="490"/>
      <c r="R142" s="490"/>
      <c r="S142" s="490"/>
    </row>
    <row r="143" spans="1:19">
      <c r="A143" s="7"/>
      <c r="B143" s="88" t="s">
        <v>264</v>
      </c>
      <c r="C143" s="6"/>
      <c r="D143" s="6"/>
      <c r="E143" s="6"/>
      <c r="F143" s="6"/>
      <c r="G143" s="6"/>
      <c r="H143" s="6"/>
      <c r="I143" s="6"/>
      <c r="J143" s="6"/>
      <c r="K143" s="6"/>
      <c r="M143" s="593"/>
      <c r="N143" s="490"/>
      <c r="O143" s="490"/>
      <c r="P143" s="490"/>
      <c r="Q143" s="490"/>
      <c r="R143" s="490"/>
      <c r="S143" s="490"/>
    </row>
    <row r="144" spans="1:19">
      <c r="A144" s="7">
        <v>1</v>
      </c>
      <c r="B144" s="88" t="s">
        <v>76</v>
      </c>
      <c r="C144" s="1" t="s">
        <v>265</v>
      </c>
      <c r="D144" s="505">
        <f>'1 - 12a.A Statement of Oper'!D14+'1 - 12a.A Statement of Oper'!D23</f>
        <v>333491.92</v>
      </c>
      <c r="E144" s="6"/>
      <c r="F144" s="6" t="s">
        <v>72</v>
      </c>
      <c r="G144" s="30">
        <f>I224</f>
        <v>0.77205441773846428</v>
      </c>
      <c r="H144" s="6"/>
      <c r="I144" s="6">
        <f t="shared" ref="I144:I151" si="1">+G144*D144</f>
        <v>257473.91011608249</v>
      </c>
      <c r="J144" s="5"/>
      <c r="K144" s="6"/>
      <c r="M144" s="683"/>
      <c r="N144" s="593"/>
      <c r="O144" s="687"/>
      <c r="P144" s="490"/>
      <c r="Q144" s="490"/>
      <c r="R144" s="490"/>
      <c r="S144" s="490"/>
    </row>
    <row r="145" spans="1:19">
      <c r="A145" s="7">
        <v>2</v>
      </c>
      <c r="B145" s="88" t="s">
        <v>77</v>
      </c>
      <c r="C145" s="1" t="s">
        <v>78</v>
      </c>
      <c r="D145" s="505">
        <f>'5 - 12i.A Expenses and Costs'!D14</f>
        <v>0</v>
      </c>
      <c r="E145" s="6"/>
      <c r="F145" s="6" t="s">
        <v>72</v>
      </c>
      <c r="G145" s="30">
        <f>+G144</f>
        <v>0.77205441773846428</v>
      </c>
      <c r="H145" s="6"/>
      <c r="I145" s="6">
        <f t="shared" si="1"/>
        <v>0</v>
      </c>
      <c r="J145" s="5"/>
      <c r="K145" s="6"/>
      <c r="M145" s="683"/>
      <c r="N145" s="593"/>
      <c r="O145" s="687"/>
      <c r="P145" s="490"/>
      <c r="Q145" s="490"/>
      <c r="R145" s="490"/>
      <c r="S145" s="490"/>
    </row>
    <row r="146" spans="1:19">
      <c r="A146" s="7">
        <v>3</v>
      </c>
      <c r="B146" s="88" t="s">
        <v>79</v>
      </c>
      <c r="C146" s="1" t="s">
        <v>266</v>
      </c>
      <c r="D146" s="505">
        <f>'1 - 12a.A Statement of Oper'!D20+'1 - 12a.A Statement of Oper'!D26</f>
        <v>2288898</v>
      </c>
      <c r="E146" s="6"/>
      <c r="F146" s="6" t="s">
        <v>57</v>
      </c>
      <c r="G146" s="30">
        <f>I231</f>
        <v>7.494383704315489E-3</v>
      </c>
      <c r="H146" s="6"/>
      <c r="I146" s="6">
        <f t="shared" si="1"/>
        <v>17153.879872040314</v>
      </c>
      <c r="J146" s="6"/>
      <c r="K146" s="6" t="s">
        <v>0</v>
      </c>
      <c r="M146" s="683"/>
      <c r="N146" s="593"/>
      <c r="O146" s="687"/>
      <c r="P146" s="490"/>
      <c r="Q146" s="490"/>
      <c r="R146" s="490"/>
      <c r="S146" s="490"/>
    </row>
    <row r="147" spans="1:19">
      <c r="A147" s="7">
        <v>4</v>
      </c>
      <c r="B147" s="88" t="s">
        <v>80</v>
      </c>
      <c r="C147" s="6"/>
      <c r="D147" s="505">
        <f>'9 - WP - FERC Fees'!C12</f>
        <v>0</v>
      </c>
      <c r="E147" s="6"/>
      <c r="F147" s="6" t="str">
        <f>+F146</f>
        <v>W/S</v>
      </c>
      <c r="G147" s="30">
        <f>I231</f>
        <v>7.494383704315489E-3</v>
      </c>
      <c r="H147" s="6"/>
      <c r="I147" s="6">
        <f t="shared" si="1"/>
        <v>0</v>
      </c>
      <c r="J147" s="6"/>
      <c r="K147" s="6"/>
      <c r="M147" s="683"/>
      <c r="N147" s="593"/>
      <c r="O147" s="687"/>
      <c r="P147" s="490"/>
      <c r="Q147" s="490"/>
      <c r="R147" s="490"/>
      <c r="S147" s="490"/>
    </row>
    <row r="148" spans="1:19">
      <c r="A148" s="7">
        <v>5</v>
      </c>
      <c r="B148" s="88" t="s">
        <v>208</v>
      </c>
      <c r="C148" s="6"/>
      <c r="D148" s="505">
        <f>'10 - WP - Attach O, pg 3, ln 5'!B22</f>
        <v>65308</v>
      </c>
      <c r="E148" s="6"/>
      <c r="F148" s="6" t="str">
        <f>+F147</f>
        <v>W/S</v>
      </c>
      <c r="G148" s="30">
        <f>I231</f>
        <v>7.494383704315489E-3</v>
      </c>
      <c r="H148" s="6"/>
      <c r="I148" s="6">
        <f t="shared" si="1"/>
        <v>489.44321096143597</v>
      </c>
      <c r="J148" s="6"/>
      <c r="K148" s="6"/>
      <c r="M148" s="683"/>
      <c r="N148" s="593"/>
      <c r="O148" s="687"/>
      <c r="P148" s="490"/>
      <c r="Q148" s="490"/>
      <c r="R148" s="490"/>
      <c r="S148" s="490"/>
    </row>
    <row r="149" spans="1:19">
      <c r="A149" s="7" t="s">
        <v>174</v>
      </c>
      <c r="B149" s="88" t="s">
        <v>234</v>
      </c>
      <c r="C149" s="6"/>
      <c r="D149" s="505">
        <f>'10 - WP - Attach O, pg 3, ln 5'!B27</f>
        <v>0</v>
      </c>
      <c r="E149" s="6"/>
      <c r="F149" s="6" t="str">
        <f>+F144</f>
        <v>TE</v>
      </c>
      <c r="G149" s="30">
        <f>+G144</f>
        <v>0.77205441773846428</v>
      </c>
      <c r="H149" s="6"/>
      <c r="I149" s="6">
        <f t="shared" si="1"/>
        <v>0</v>
      </c>
      <c r="J149" s="6"/>
      <c r="K149" s="6"/>
      <c r="M149" s="683"/>
      <c r="N149" s="593"/>
      <c r="O149" s="687"/>
      <c r="P149" s="490"/>
      <c r="Q149" s="490"/>
      <c r="R149" s="490"/>
      <c r="S149" s="490"/>
    </row>
    <row r="150" spans="1:19">
      <c r="A150" s="7">
        <v>6</v>
      </c>
      <c r="B150" s="88" t="s">
        <v>58</v>
      </c>
      <c r="C150" s="6"/>
      <c r="D150" s="505">
        <v>0</v>
      </c>
      <c r="E150" s="6"/>
      <c r="F150" s="6" t="s">
        <v>59</v>
      </c>
      <c r="G150" s="30">
        <f>K235</f>
        <v>0</v>
      </c>
      <c r="H150" s="6"/>
      <c r="I150" s="6">
        <f t="shared" si="1"/>
        <v>0</v>
      </c>
      <c r="J150" s="6"/>
      <c r="K150" s="6"/>
      <c r="M150" s="683"/>
      <c r="N150" s="593"/>
      <c r="O150" s="687"/>
      <c r="P150" s="490"/>
      <c r="Q150" s="490"/>
      <c r="R150" s="490"/>
      <c r="S150" s="490"/>
    </row>
    <row r="151" spans="1:19" ht="16.5" thickBot="1">
      <c r="A151" s="7">
        <v>7</v>
      </c>
      <c r="B151" s="88" t="s">
        <v>81</v>
      </c>
      <c r="C151" s="6"/>
      <c r="D151" s="504">
        <v>0</v>
      </c>
      <c r="E151" s="6"/>
      <c r="F151" s="6" t="s">
        <v>52</v>
      </c>
      <c r="G151" s="30">
        <v>1</v>
      </c>
      <c r="H151" s="6"/>
      <c r="I151" s="14">
        <f t="shared" si="1"/>
        <v>0</v>
      </c>
      <c r="J151" s="6"/>
      <c r="K151" s="6"/>
      <c r="M151" s="683"/>
      <c r="N151" s="593"/>
      <c r="O151" s="687"/>
      <c r="P151" s="490"/>
      <c r="Q151" s="490"/>
      <c r="R151" s="490"/>
      <c r="S151" s="490"/>
    </row>
    <row r="152" spans="1:19">
      <c r="A152" s="7">
        <v>8</v>
      </c>
      <c r="B152" s="88" t="s">
        <v>181</v>
      </c>
      <c r="C152" s="6"/>
      <c r="D152" s="6">
        <f>+D144-D145+D146-D147-D148+D149+D150+D151</f>
        <v>2557081.92</v>
      </c>
      <c r="E152" s="6"/>
      <c r="F152" s="6"/>
      <c r="G152" s="6"/>
      <c r="H152" s="6"/>
      <c r="I152" s="6">
        <f>+I144-I145+I146-I147-I148+I149+I150+I151</f>
        <v>274138.34677716141</v>
      </c>
      <c r="J152" s="6"/>
      <c r="K152" s="6"/>
      <c r="M152" s="683"/>
      <c r="N152" s="593"/>
      <c r="O152" s="687"/>
      <c r="P152" s="490"/>
      <c r="Q152" s="490"/>
      <c r="R152" s="490"/>
      <c r="S152" s="490"/>
    </row>
    <row r="153" spans="1:19">
      <c r="A153" s="7"/>
      <c r="C153" s="6"/>
      <c r="E153" s="6"/>
      <c r="F153" s="6"/>
      <c r="G153" s="6"/>
      <c r="H153" s="6"/>
      <c r="J153" s="6"/>
      <c r="K153" s="6"/>
      <c r="M153" s="683"/>
      <c r="N153" s="490"/>
      <c r="O153" s="490"/>
      <c r="P153" s="490"/>
      <c r="Q153" s="490"/>
      <c r="R153" s="490"/>
      <c r="S153" s="490"/>
    </row>
    <row r="154" spans="1:19">
      <c r="A154" s="7"/>
      <c r="B154" s="88" t="s">
        <v>267</v>
      </c>
      <c r="C154" s="6"/>
      <c r="D154" s="6"/>
      <c r="E154" s="6"/>
      <c r="F154" s="6"/>
      <c r="G154" s="6"/>
      <c r="H154" s="6"/>
      <c r="I154" s="6"/>
      <c r="J154" s="6"/>
      <c r="K154" s="6"/>
      <c r="M154" s="683"/>
      <c r="N154" s="490"/>
      <c r="O154" s="490"/>
      <c r="P154" s="490"/>
      <c r="Q154" s="490"/>
      <c r="R154" s="490"/>
      <c r="S154" s="490"/>
    </row>
    <row r="155" spans="1:19">
      <c r="A155" s="7">
        <v>9</v>
      </c>
      <c r="B155" s="88" t="str">
        <f>+B144</f>
        <v xml:space="preserve">  Transmission </v>
      </c>
      <c r="C155" s="1" t="s">
        <v>187</v>
      </c>
      <c r="D155" s="505">
        <f>'5 - 12i.A Expenses and Costs'!F34</f>
        <v>467405.76</v>
      </c>
      <c r="E155" s="6"/>
      <c r="F155" s="6" t="s">
        <v>9</v>
      </c>
      <c r="G155" s="30">
        <f>+G113</f>
        <v>0.77205441773846428</v>
      </c>
      <c r="H155" s="6"/>
      <c r="I155" s="6">
        <f>+G155*D155</f>
        <v>360862.68188440439</v>
      </c>
      <c r="J155" s="6"/>
      <c r="K155" s="31"/>
      <c r="M155" s="683"/>
      <c r="N155" s="593"/>
      <c r="O155" s="687"/>
      <c r="P155" s="490"/>
      <c r="Q155" s="490"/>
      <c r="R155" s="490"/>
      <c r="S155" s="490"/>
    </row>
    <row r="156" spans="1:19">
      <c r="A156" s="7">
        <v>10</v>
      </c>
      <c r="B156" s="88" t="s">
        <v>56</v>
      </c>
      <c r="C156" s="1" t="s">
        <v>268</v>
      </c>
      <c r="D156" s="505">
        <f>'3 -12h.A&amp;B Util Plt &amp; Accum Dep'!E43+'3 -12h.A&amp;B Util Plt &amp; Accum Dep'!E48</f>
        <v>769856</v>
      </c>
      <c r="E156" s="6"/>
      <c r="F156" s="6" t="s">
        <v>57</v>
      </c>
      <c r="G156" s="30">
        <f>+G146</f>
        <v>7.494383704315489E-3</v>
      </c>
      <c r="H156" s="6"/>
      <c r="I156" s="6">
        <f>+G156*D156</f>
        <v>5769.5962610695051</v>
      </c>
      <c r="J156" s="6"/>
      <c r="K156" s="31"/>
      <c r="M156" s="683"/>
      <c r="N156" s="593"/>
      <c r="O156" s="687"/>
      <c r="P156" s="490"/>
      <c r="Q156" s="490"/>
      <c r="R156" s="490"/>
      <c r="S156" s="490"/>
    </row>
    <row r="157" spans="1:19" ht="16.5" thickBot="1">
      <c r="A157" s="7">
        <v>11</v>
      </c>
      <c r="B157" s="88" t="str">
        <f>+B150</f>
        <v xml:space="preserve">  Common</v>
      </c>
      <c r="C157" s="6"/>
      <c r="D157" s="504">
        <v>0</v>
      </c>
      <c r="E157" s="6"/>
      <c r="F157" s="6" t="s">
        <v>59</v>
      </c>
      <c r="G157" s="30">
        <f>+G150</f>
        <v>0</v>
      </c>
      <c r="H157" s="6"/>
      <c r="I157" s="14">
        <f>+G157*D157</f>
        <v>0</v>
      </c>
      <c r="J157" s="6"/>
      <c r="K157" s="31"/>
      <c r="M157" s="683"/>
      <c r="N157" s="593"/>
      <c r="O157" s="687"/>
      <c r="P157" s="490"/>
      <c r="Q157" s="490"/>
      <c r="R157" s="490"/>
      <c r="S157" s="490"/>
    </row>
    <row r="158" spans="1:19">
      <c r="A158" s="7">
        <v>12</v>
      </c>
      <c r="B158" s="88" t="s">
        <v>235</v>
      </c>
      <c r="C158" s="6"/>
      <c r="D158" s="6">
        <f>SUM(D155:D157)</f>
        <v>1237261.76</v>
      </c>
      <c r="E158" s="6"/>
      <c r="F158" s="6"/>
      <c r="G158" s="6"/>
      <c r="H158" s="6"/>
      <c r="I158" s="6">
        <f>SUM(I155:I157)</f>
        <v>366632.27814547392</v>
      </c>
      <c r="J158" s="6"/>
      <c r="K158" s="6"/>
      <c r="M158" s="683"/>
      <c r="N158" s="593"/>
      <c r="O158" s="687"/>
      <c r="P158" s="490"/>
      <c r="Q158" s="490"/>
      <c r="R158" s="490"/>
      <c r="S158" s="490"/>
    </row>
    <row r="159" spans="1:19">
      <c r="A159" s="7"/>
      <c r="B159" s="88"/>
      <c r="C159" s="6"/>
      <c r="D159" s="6"/>
      <c r="E159" s="6"/>
      <c r="F159" s="6"/>
      <c r="G159" s="6"/>
      <c r="H159" s="6"/>
      <c r="I159" s="6"/>
      <c r="J159" s="6"/>
      <c r="K159" s="6"/>
      <c r="M159" s="683"/>
      <c r="N159" s="490"/>
      <c r="O159" s="490"/>
      <c r="P159" s="490"/>
      <c r="Q159" s="490"/>
      <c r="R159" s="490"/>
      <c r="S159" s="490"/>
    </row>
    <row r="160" spans="1:19">
      <c r="A160" s="7" t="s">
        <v>0</v>
      </c>
      <c r="B160" s="88" t="s">
        <v>209</v>
      </c>
      <c r="D160" s="6"/>
      <c r="E160" s="6"/>
      <c r="F160" s="6"/>
      <c r="G160" s="6"/>
      <c r="H160" s="6"/>
      <c r="I160" s="6"/>
      <c r="J160" s="6"/>
      <c r="K160" s="6"/>
      <c r="M160" s="683"/>
      <c r="N160" s="490"/>
      <c r="O160" s="490"/>
      <c r="P160" s="490"/>
      <c r="Q160" s="490"/>
      <c r="R160" s="490"/>
      <c r="S160" s="490"/>
    </row>
    <row r="161" spans="1:19">
      <c r="A161" s="7"/>
      <c r="B161" s="88" t="s">
        <v>82</v>
      </c>
      <c r="E161" s="6"/>
      <c r="F161" s="6"/>
      <c r="H161" s="6"/>
      <c r="J161" s="6"/>
      <c r="K161" s="31"/>
      <c r="M161" s="683"/>
      <c r="N161" s="490"/>
      <c r="O161" s="490"/>
      <c r="P161" s="490"/>
      <c r="Q161" s="490"/>
      <c r="R161" s="490"/>
      <c r="S161" s="490"/>
    </row>
    <row r="162" spans="1:19">
      <c r="A162" s="7">
        <v>13</v>
      </c>
      <c r="B162" s="88" t="s">
        <v>83</v>
      </c>
      <c r="C162" s="6"/>
      <c r="D162" s="505">
        <f>'11WP - Taxes Other Than Inc Tax'!E6</f>
        <v>0</v>
      </c>
      <c r="E162" s="6"/>
      <c r="F162" s="6" t="s">
        <v>57</v>
      </c>
      <c r="G162" s="13">
        <f>+G156</f>
        <v>7.494383704315489E-3</v>
      </c>
      <c r="H162" s="6"/>
      <c r="I162" s="6">
        <f>+G162*D162</f>
        <v>0</v>
      </c>
      <c r="J162" s="6"/>
      <c r="K162" s="31"/>
      <c r="M162" s="683"/>
      <c r="N162" s="593"/>
      <c r="O162" s="687"/>
      <c r="P162" s="490"/>
      <c r="Q162" s="490"/>
      <c r="R162" s="490"/>
      <c r="S162" s="490"/>
    </row>
    <row r="163" spans="1:19">
      <c r="A163" s="7">
        <v>14</v>
      </c>
      <c r="B163" s="88" t="s">
        <v>84</v>
      </c>
      <c r="C163" s="6"/>
      <c r="D163" s="505">
        <f>'11WP - Taxes Other Than Inc Tax'!E7</f>
        <v>0</v>
      </c>
      <c r="E163" s="6"/>
      <c r="F163" s="6" t="str">
        <f>+F162</f>
        <v>W/S</v>
      </c>
      <c r="G163" s="13">
        <f>+G162</f>
        <v>7.494383704315489E-3</v>
      </c>
      <c r="H163" s="6"/>
      <c r="I163" s="6">
        <f>+G163*D163</f>
        <v>0</v>
      </c>
      <c r="J163" s="6"/>
      <c r="K163" s="31"/>
      <c r="M163" s="683"/>
      <c r="N163" s="593"/>
      <c r="O163" s="687"/>
      <c r="P163" s="490"/>
      <c r="Q163" s="490"/>
      <c r="R163" s="490"/>
      <c r="S163" s="490"/>
    </row>
    <row r="164" spans="1:19">
      <c r="A164" s="7">
        <v>15</v>
      </c>
      <c r="B164" s="88" t="s">
        <v>85</v>
      </c>
      <c r="C164" s="6"/>
      <c r="E164" s="6"/>
      <c r="F164" s="6"/>
      <c r="H164" s="6"/>
      <c r="J164" s="6"/>
      <c r="K164" s="31"/>
      <c r="M164" s="683"/>
      <c r="N164" s="490"/>
      <c r="O164" s="490"/>
      <c r="P164" s="490"/>
      <c r="Q164" s="490"/>
      <c r="R164" s="490"/>
      <c r="S164" s="490"/>
    </row>
    <row r="165" spans="1:19">
      <c r="A165" s="7">
        <v>16</v>
      </c>
      <c r="B165" s="88" t="s">
        <v>86</v>
      </c>
      <c r="C165" s="6"/>
      <c r="D165" s="505">
        <f>'11WP - Taxes Other Than Inc Tax'!E8</f>
        <v>0</v>
      </c>
      <c r="E165" s="6"/>
      <c r="F165" s="6" t="s">
        <v>74</v>
      </c>
      <c r="G165" s="13">
        <f>+G87</f>
        <v>9.5451549913094569E-2</v>
      </c>
      <c r="H165" s="6"/>
      <c r="I165" s="6">
        <f>+G165*D165</f>
        <v>0</v>
      </c>
      <c r="J165" s="6"/>
      <c r="K165" s="31"/>
      <c r="M165" s="683"/>
      <c r="N165" s="593"/>
      <c r="O165" s="687"/>
      <c r="P165" s="490"/>
      <c r="Q165" s="490"/>
      <c r="R165" s="490"/>
      <c r="S165" s="490"/>
    </row>
    <row r="166" spans="1:19">
      <c r="A166" s="7">
        <v>17</v>
      </c>
      <c r="B166" s="88" t="s">
        <v>87</v>
      </c>
      <c r="C166" s="6"/>
      <c r="D166" s="505">
        <f>'11WP - Taxes Other Than Inc Tax'!E9</f>
        <v>51735</v>
      </c>
      <c r="E166" s="6"/>
      <c r="F166" s="6"/>
      <c r="G166" s="37" t="s">
        <v>173</v>
      </c>
      <c r="H166" s="6"/>
      <c r="I166" s="6">
        <v>0</v>
      </c>
      <c r="J166" s="6"/>
      <c r="K166" s="31"/>
      <c r="M166" s="683"/>
      <c r="N166" s="593"/>
      <c r="O166" s="687"/>
      <c r="P166" s="490"/>
      <c r="Q166" s="490"/>
      <c r="R166" s="490"/>
      <c r="S166" s="490"/>
    </row>
    <row r="167" spans="1:19">
      <c r="A167" s="7">
        <v>18</v>
      </c>
      <c r="B167" s="88" t="s">
        <v>88</v>
      </c>
      <c r="C167" s="6"/>
      <c r="D167" s="505">
        <f>'11WP - Taxes Other Than Inc Tax'!E10</f>
        <v>0</v>
      </c>
      <c r="E167" s="6"/>
      <c r="F167" s="6" t="str">
        <f>+F165</f>
        <v>GP</v>
      </c>
      <c r="G167" s="13">
        <f>+G165</f>
        <v>9.5451549913094569E-2</v>
      </c>
      <c r="H167" s="6"/>
      <c r="I167" s="6">
        <f>+G167*D167</f>
        <v>0</v>
      </c>
      <c r="J167" s="6"/>
      <c r="K167" s="31"/>
      <c r="M167" s="683"/>
      <c r="N167" s="593"/>
      <c r="O167" s="687"/>
      <c r="P167" s="490"/>
      <c r="Q167" s="490"/>
      <c r="R167" s="490"/>
      <c r="S167" s="490"/>
    </row>
    <row r="168" spans="1:19" ht="16.5" thickBot="1">
      <c r="A168" s="7">
        <v>19</v>
      </c>
      <c r="B168" s="88" t="s">
        <v>89</v>
      </c>
      <c r="C168" s="6"/>
      <c r="D168" s="504">
        <v>0</v>
      </c>
      <c r="E168" s="6"/>
      <c r="F168" s="6" t="s">
        <v>74</v>
      </c>
      <c r="G168" s="13">
        <f>+G167</f>
        <v>9.5451549913094569E-2</v>
      </c>
      <c r="H168" s="6"/>
      <c r="I168" s="14">
        <f>+G168*D168</f>
        <v>0</v>
      </c>
      <c r="J168" s="6"/>
      <c r="K168" s="31"/>
      <c r="M168" s="683"/>
      <c r="N168" s="593"/>
      <c r="O168" s="687"/>
      <c r="P168" s="490"/>
      <c r="Q168" s="490"/>
      <c r="R168" s="490"/>
      <c r="S168" s="490"/>
    </row>
    <row r="169" spans="1:19">
      <c r="A169" s="7">
        <v>20</v>
      </c>
      <c r="B169" s="88" t="s">
        <v>236</v>
      </c>
      <c r="C169" s="6"/>
      <c r="D169" s="6">
        <f>SUM(D162:D168)</f>
        <v>51735</v>
      </c>
      <c r="E169" s="6"/>
      <c r="F169" s="6"/>
      <c r="G169" s="13"/>
      <c r="H169" s="6"/>
      <c r="I169" s="6">
        <f>SUM(I162:I168)</f>
        <v>0</v>
      </c>
      <c r="J169" s="6"/>
      <c r="K169" s="6"/>
      <c r="M169" s="683"/>
      <c r="N169" s="593"/>
      <c r="O169" s="687"/>
      <c r="P169" s="490"/>
      <c r="Q169" s="490"/>
      <c r="R169" s="490"/>
      <c r="S169" s="490"/>
    </row>
    <row r="170" spans="1:19">
      <c r="A170" s="7"/>
      <c r="B170" s="88"/>
      <c r="C170" s="6"/>
      <c r="D170" s="6"/>
      <c r="E170" s="6"/>
      <c r="F170" s="6"/>
      <c r="G170" s="13"/>
      <c r="H170" s="6"/>
      <c r="I170" s="6"/>
      <c r="J170" s="6"/>
      <c r="K170" s="6"/>
      <c r="M170" s="683"/>
      <c r="N170" s="490"/>
      <c r="O170" s="490"/>
      <c r="P170" s="490"/>
      <c r="Q170" s="490"/>
      <c r="R170" s="490"/>
      <c r="S170" s="490"/>
    </row>
    <row r="171" spans="1:19">
      <c r="A171" s="7"/>
      <c r="B171" s="88" t="s">
        <v>90</v>
      </c>
      <c r="C171" s="38" t="s">
        <v>91</v>
      </c>
      <c r="D171" s="6"/>
      <c r="E171" s="6"/>
      <c r="F171" s="6" t="s">
        <v>52</v>
      </c>
      <c r="G171" s="39"/>
      <c r="H171" s="6"/>
      <c r="I171" s="6"/>
      <c r="J171" s="6"/>
      <c r="M171" s="683"/>
      <c r="N171" s="490"/>
      <c r="O171" s="490"/>
      <c r="P171" s="490"/>
      <c r="Q171" s="490"/>
      <c r="R171" s="490"/>
      <c r="S171" s="490"/>
    </row>
    <row r="172" spans="1:19">
      <c r="A172" s="7">
        <v>21</v>
      </c>
      <c r="B172" s="40" t="s">
        <v>92</v>
      </c>
      <c r="C172" s="6"/>
      <c r="D172" s="41">
        <f>IF(D289&gt;0,1-(((1-D290)*(1-D289))/(1-D290*D289*D291)),0)</f>
        <v>0</v>
      </c>
      <c r="E172" s="6"/>
      <c r="G172" s="39"/>
      <c r="H172" s="6"/>
      <c r="J172" s="6"/>
      <c r="M172" s="683"/>
      <c r="N172" s="593"/>
      <c r="O172" s="687"/>
      <c r="P172" s="490"/>
      <c r="Q172" s="490"/>
      <c r="R172" s="490"/>
      <c r="S172" s="490"/>
    </row>
    <row r="173" spans="1:19">
      <c r="A173" s="7">
        <v>22</v>
      </c>
      <c r="B173" s="1" t="s">
        <v>93</v>
      </c>
      <c r="C173" s="6"/>
      <c r="D173" s="41">
        <f>IF(I246&gt;0,(D172/(1-D172))*(1-I244/I246),0)</f>
        <v>0</v>
      </c>
      <c r="E173" s="6"/>
      <c r="G173" s="39"/>
      <c r="H173" s="6"/>
      <c r="J173" s="6"/>
      <c r="M173" s="683"/>
      <c r="N173" s="593"/>
      <c r="O173" s="687"/>
      <c r="P173" s="490"/>
      <c r="Q173" s="490"/>
      <c r="R173" s="490"/>
      <c r="S173" s="490"/>
    </row>
    <row r="174" spans="1:19">
      <c r="A174" s="7"/>
      <c r="B174" s="88" t="s">
        <v>277</v>
      </c>
      <c r="C174" s="6"/>
      <c r="D174" s="6"/>
      <c r="E174" s="6"/>
      <c r="G174" s="39"/>
      <c r="H174" s="6"/>
      <c r="J174" s="6"/>
      <c r="M174" s="683"/>
      <c r="N174" s="490"/>
      <c r="O174" s="490"/>
      <c r="P174" s="490"/>
      <c r="Q174" s="490"/>
      <c r="R174" s="490"/>
      <c r="S174" s="490"/>
    </row>
    <row r="175" spans="1:19">
      <c r="A175" s="7"/>
      <c r="B175" s="88" t="s">
        <v>94</v>
      </c>
      <c r="C175" s="6"/>
      <c r="D175" s="6"/>
      <c r="E175" s="6"/>
      <c r="G175" s="39"/>
      <c r="H175" s="6"/>
      <c r="J175" s="6"/>
      <c r="M175" s="683"/>
      <c r="N175" s="490"/>
      <c r="O175" s="490"/>
      <c r="P175" s="490"/>
      <c r="Q175" s="490"/>
      <c r="R175" s="490"/>
      <c r="S175" s="490"/>
    </row>
    <row r="176" spans="1:19">
      <c r="A176" s="7">
        <v>23</v>
      </c>
      <c r="B176" s="40" t="s">
        <v>95</v>
      </c>
      <c r="C176" s="6"/>
      <c r="D176" s="42">
        <f>IF(D172&gt;0,1/(1-D172),0)</f>
        <v>0</v>
      </c>
      <c r="E176" s="6"/>
      <c r="G176" s="39"/>
      <c r="H176" s="6"/>
      <c r="J176" s="6"/>
      <c r="M176" s="683"/>
      <c r="N176" s="593"/>
      <c r="O176" s="687"/>
      <c r="P176" s="490"/>
      <c r="Q176" s="490"/>
      <c r="R176" s="490"/>
      <c r="S176" s="490"/>
    </row>
    <row r="177" spans="1:19">
      <c r="A177" s="7">
        <v>24</v>
      </c>
      <c r="B177" s="88" t="s">
        <v>188</v>
      </c>
      <c r="C177" s="6"/>
      <c r="D177" s="505">
        <v>0</v>
      </c>
      <c r="E177" s="6"/>
      <c r="G177" s="39"/>
      <c r="H177" s="6"/>
      <c r="J177" s="6"/>
      <c r="M177" s="683"/>
      <c r="N177" s="593"/>
      <c r="O177" s="687"/>
      <c r="P177" s="490"/>
      <c r="Q177" s="490"/>
      <c r="R177" s="490"/>
      <c r="S177" s="490"/>
    </row>
    <row r="178" spans="1:19">
      <c r="A178" s="7"/>
      <c r="B178" s="88"/>
      <c r="C178" s="6"/>
      <c r="D178" s="6"/>
      <c r="E178" s="6"/>
      <c r="G178" s="39"/>
      <c r="H178" s="6"/>
      <c r="J178" s="6"/>
      <c r="M178" s="683"/>
      <c r="N178" s="490"/>
      <c r="O178" s="490"/>
      <c r="P178" s="490"/>
      <c r="Q178" s="490"/>
      <c r="R178" s="490"/>
      <c r="S178" s="490"/>
    </row>
    <row r="179" spans="1:19">
      <c r="A179" s="7">
        <v>25</v>
      </c>
      <c r="B179" s="40" t="s">
        <v>96</v>
      </c>
      <c r="C179" s="38"/>
      <c r="D179" s="6">
        <f>D173*D183</f>
        <v>0</v>
      </c>
      <c r="E179" s="6"/>
      <c r="F179" s="6" t="s">
        <v>52</v>
      </c>
      <c r="G179" s="13"/>
      <c r="H179" s="6"/>
      <c r="I179" s="6">
        <f>D173*I183</f>
        <v>0</v>
      </c>
      <c r="J179" s="6"/>
      <c r="M179" s="683"/>
      <c r="N179" s="593"/>
      <c r="O179" s="687"/>
      <c r="P179" s="490"/>
      <c r="Q179" s="490"/>
      <c r="R179" s="490"/>
      <c r="S179" s="490"/>
    </row>
    <row r="180" spans="1:19" ht="16.5" thickBot="1">
      <c r="A180" s="7">
        <v>26</v>
      </c>
      <c r="B180" s="1" t="s">
        <v>97</v>
      </c>
      <c r="C180" s="38"/>
      <c r="D180" s="14">
        <f>D176*D177</f>
        <v>0</v>
      </c>
      <c r="E180" s="6"/>
      <c r="F180" s="1" t="s">
        <v>64</v>
      </c>
      <c r="G180" s="13">
        <f>G103</f>
        <v>6.1594932592518845E-2</v>
      </c>
      <c r="H180" s="6"/>
      <c r="I180" s="14">
        <f>G180*D180</f>
        <v>0</v>
      </c>
      <c r="J180" s="6"/>
      <c r="M180" s="683"/>
      <c r="N180" s="593"/>
      <c r="O180" s="687"/>
      <c r="P180" s="490"/>
      <c r="Q180" s="490"/>
      <c r="R180" s="490"/>
      <c r="S180" s="490"/>
    </row>
    <row r="181" spans="1:19">
      <c r="A181" s="7">
        <v>27</v>
      </c>
      <c r="B181" s="43" t="s">
        <v>98</v>
      </c>
      <c r="C181" s="1" t="s">
        <v>99</v>
      </c>
      <c r="D181" s="36">
        <f>+D179+D180</f>
        <v>0</v>
      </c>
      <c r="E181" s="6"/>
      <c r="F181" s="6" t="s">
        <v>0</v>
      </c>
      <c r="G181" s="13" t="s">
        <v>0</v>
      </c>
      <c r="H181" s="6"/>
      <c r="I181" s="36">
        <f>+I179+I180</f>
        <v>0</v>
      </c>
      <c r="J181" s="6"/>
      <c r="M181" s="683"/>
      <c r="N181" s="593"/>
      <c r="O181" s="687"/>
      <c r="P181" s="490"/>
      <c r="Q181" s="490"/>
      <c r="R181" s="490"/>
      <c r="S181" s="490"/>
    </row>
    <row r="182" spans="1:19">
      <c r="A182" s="7"/>
      <c r="B182" s="88"/>
      <c r="C182" s="38"/>
      <c r="D182" s="6"/>
      <c r="E182" s="6"/>
      <c r="F182" s="6"/>
      <c r="G182" s="39"/>
      <c r="H182" s="6"/>
      <c r="I182" s="6"/>
      <c r="J182" s="6"/>
      <c r="M182" s="683"/>
      <c r="N182" s="490"/>
      <c r="O182" s="490"/>
      <c r="P182" s="490"/>
      <c r="Q182" s="490"/>
      <c r="R182" s="490"/>
      <c r="S182" s="490"/>
    </row>
    <row r="183" spans="1:19">
      <c r="A183" s="7">
        <v>28</v>
      </c>
      <c r="B183" s="88" t="s">
        <v>100</v>
      </c>
      <c r="C183" s="31"/>
      <c r="D183" s="6">
        <f>+$I246*D121</f>
        <v>7767428.0750727002</v>
      </c>
      <c r="E183" s="6"/>
      <c r="F183" s="6" t="s">
        <v>52</v>
      </c>
      <c r="G183" s="39"/>
      <c r="H183" s="6"/>
      <c r="I183" s="6">
        <f>+$I246*I121</f>
        <v>485080.24231384089</v>
      </c>
      <c r="J183" s="6"/>
      <c r="M183" s="683"/>
      <c r="N183" s="593"/>
      <c r="O183" s="687"/>
      <c r="P183" s="490"/>
      <c r="Q183" s="490"/>
      <c r="R183" s="490"/>
      <c r="S183" s="490"/>
    </row>
    <row r="184" spans="1:19">
      <c r="A184" s="7"/>
      <c r="B184" s="43" t="s">
        <v>195</v>
      </c>
      <c r="D184" s="6"/>
      <c r="E184" s="6"/>
      <c r="F184" s="6"/>
      <c r="G184" s="39"/>
      <c r="H184" s="6"/>
      <c r="I184" s="6"/>
      <c r="J184" s="6"/>
      <c r="K184" s="31"/>
      <c r="M184" s="683"/>
      <c r="N184" s="490"/>
      <c r="O184" s="490"/>
      <c r="P184" s="490"/>
      <c r="Q184" s="490"/>
      <c r="R184" s="490"/>
      <c r="S184" s="490"/>
    </row>
    <row r="185" spans="1:19">
      <c r="A185" s="7"/>
      <c r="B185" s="88"/>
      <c r="D185" s="35"/>
      <c r="E185" s="6"/>
      <c r="F185" s="6"/>
      <c r="G185" s="39"/>
      <c r="H185" s="6"/>
      <c r="I185" s="35"/>
      <c r="J185" s="6"/>
      <c r="K185" s="31"/>
      <c r="M185" s="683"/>
      <c r="N185" s="490"/>
      <c r="O185" s="490"/>
      <c r="P185" s="490"/>
      <c r="Q185" s="490"/>
      <c r="R185" s="490"/>
      <c r="S185" s="490"/>
    </row>
    <row r="186" spans="1:19">
      <c r="A186" s="7">
        <v>29</v>
      </c>
      <c r="B186" s="88" t="s">
        <v>210</v>
      </c>
      <c r="C186" s="6"/>
      <c r="D186" s="35">
        <f>+D183+D181+D169+D158+D152</f>
        <v>11613506.7550727</v>
      </c>
      <c r="E186" s="6"/>
      <c r="F186" s="6"/>
      <c r="G186" s="6"/>
      <c r="H186" s="6"/>
      <c r="I186" s="35">
        <f>+I183+I181+I169+I158+I152</f>
        <v>1125850.8672364762</v>
      </c>
      <c r="J186" s="5"/>
      <c r="K186" s="5"/>
      <c r="M186" s="683"/>
      <c r="N186" s="593"/>
      <c r="O186" s="687"/>
      <c r="P186" s="490"/>
      <c r="Q186" s="490"/>
      <c r="R186" s="490"/>
      <c r="S186" s="490"/>
    </row>
    <row r="187" spans="1:19">
      <c r="A187" s="7"/>
      <c r="B187" s="88"/>
      <c r="C187" s="6"/>
      <c r="D187" s="35"/>
      <c r="E187" s="6"/>
      <c r="F187" s="6"/>
      <c r="G187" s="6"/>
      <c r="H187" s="6"/>
      <c r="I187" s="35"/>
      <c r="J187" s="5"/>
      <c r="K187" s="5"/>
      <c r="M187" s="683"/>
      <c r="N187" s="490"/>
      <c r="O187" s="490"/>
      <c r="P187" s="490"/>
      <c r="Q187" s="490"/>
      <c r="R187" s="490"/>
      <c r="S187" s="490"/>
    </row>
    <row r="188" spans="1:19">
      <c r="A188" s="7">
        <v>30</v>
      </c>
      <c r="B188" s="88" t="s">
        <v>247</v>
      </c>
      <c r="C188" s="6"/>
      <c r="D188" s="35"/>
      <c r="E188" s="6"/>
      <c r="F188" s="6"/>
      <c r="G188" s="6"/>
      <c r="H188" s="6"/>
      <c r="I188" s="35"/>
      <c r="J188" s="5"/>
      <c r="K188" s="5"/>
      <c r="M188" s="683"/>
      <c r="N188" s="490"/>
      <c r="O188" s="490"/>
      <c r="P188" s="490"/>
      <c r="Q188" s="490"/>
      <c r="R188" s="490"/>
      <c r="S188" s="490"/>
    </row>
    <row r="189" spans="1:19">
      <c r="A189" s="7"/>
      <c r="B189" s="88" t="s">
        <v>248</v>
      </c>
      <c r="C189" s="6"/>
      <c r="D189" s="35"/>
      <c r="E189" s="6"/>
      <c r="F189" s="6"/>
      <c r="G189" s="6"/>
      <c r="H189" s="6"/>
      <c r="I189" s="35"/>
      <c r="J189" s="5"/>
      <c r="K189" s="5"/>
      <c r="M189" s="683"/>
      <c r="N189" s="490"/>
      <c r="O189" s="490"/>
      <c r="P189" s="490"/>
      <c r="Q189" s="490"/>
      <c r="R189" s="490"/>
      <c r="S189" s="490"/>
    </row>
    <row r="190" spans="1:19">
      <c r="A190" s="7"/>
      <c r="B190" s="610" t="s">
        <v>212</v>
      </c>
      <c r="C190" s="610"/>
      <c r="J190" s="5"/>
      <c r="K190" s="5"/>
      <c r="M190" s="683"/>
      <c r="N190" s="490"/>
      <c r="O190" s="490"/>
      <c r="P190" s="490"/>
      <c r="Q190" s="490"/>
      <c r="R190" s="490"/>
      <c r="S190" s="490"/>
    </row>
    <row r="191" spans="1:19">
      <c r="A191" s="7"/>
      <c r="B191" s="88" t="s">
        <v>211</v>
      </c>
      <c r="C191" s="6"/>
      <c r="D191" s="503">
        <v>0</v>
      </c>
      <c r="E191" s="6"/>
      <c r="F191" s="6"/>
      <c r="G191" s="6"/>
      <c r="H191" s="6"/>
      <c r="I191" s="503">
        <v>0</v>
      </c>
      <c r="J191" s="5"/>
      <c r="K191" s="5"/>
      <c r="M191" s="683"/>
      <c r="N191" s="593"/>
      <c r="O191" s="687"/>
      <c r="P191" s="490"/>
      <c r="Q191" s="490"/>
      <c r="R191" s="490"/>
      <c r="S191" s="490"/>
    </row>
    <row r="192" spans="1:19">
      <c r="A192" s="7"/>
      <c r="B192" s="88"/>
      <c r="C192" s="6"/>
      <c r="D192" s="35"/>
      <c r="E192" s="6"/>
      <c r="F192" s="6"/>
      <c r="G192" s="6"/>
      <c r="H192" s="6"/>
      <c r="I192" s="35"/>
      <c r="J192" s="5"/>
      <c r="K192" s="5"/>
      <c r="M192" s="683"/>
      <c r="N192" s="490"/>
      <c r="O192" s="490"/>
      <c r="P192" s="490"/>
      <c r="Q192" s="490"/>
      <c r="R192" s="490"/>
      <c r="S192" s="490"/>
    </row>
    <row r="193" spans="1:19" ht="17.25" customHeight="1">
      <c r="A193" s="7" t="s">
        <v>252</v>
      </c>
      <c r="B193" s="88" t="s">
        <v>253</v>
      </c>
      <c r="C193" s="6"/>
      <c r="D193" s="35"/>
      <c r="E193" s="6"/>
      <c r="F193" s="6"/>
      <c r="G193" s="6"/>
      <c r="H193" s="6"/>
      <c r="I193" s="35"/>
      <c r="J193" s="5"/>
      <c r="K193" s="5"/>
      <c r="M193" s="683"/>
      <c r="N193" s="490"/>
      <c r="O193" s="490"/>
      <c r="P193" s="490"/>
      <c r="Q193" s="490"/>
      <c r="R193" s="490"/>
      <c r="S193" s="490"/>
    </row>
    <row r="194" spans="1:19" ht="17.25" customHeight="1">
      <c r="A194" s="7"/>
      <c r="B194" s="506" t="s">
        <v>748</v>
      </c>
      <c r="C194" s="6"/>
      <c r="D194" s="35"/>
      <c r="E194" s="6"/>
      <c r="F194" s="6"/>
      <c r="G194" s="6"/>
      <c r="H194" s="6"/>
      <c r="I194" s="35"/>
      <c r="J194" s="5"/>
      <c r="K194" s="5"/>
      <c r="M194" s="683"/>
      <c r="N194" s="490"/>
      <c r="O194" s="490"/>
      <c r="P194" s="490"/>
      <c r="Q194" s="490"/>
      <c r="R194" s="490"/>
      <c r="S194" s="490"/>
    </row>
    <row r="195" spans="1:19" ht="16.5" customHeight="1">
      <c r="A195" s="7"/>
      <c r="B195" s="611" t="s">
        <v>212</v>
      </c>
      <c r="C195" s="611"/>
      <c r="J195" s="5"/>
      <c r="K195" s="5"/>
      <c r="M195" s="683"/>
      <c r="N195" s="490"/>
      <c r="O195" s="490"/>
      <c r="P195" s="490"/>
      <c r="Q195" s="490"/>
      <c r="R195" s="490"/>
      <c r="S195" s="490"/>
    </row>
    <row r="196" spans="1:19" ht="17.25" customHeight="1" thickBot="1">
      <c r="A196" s="7"/>
      <c r="B196" s="88" t="s">
        <v>254</v>
      </c>
      <c r="C196" s="6"/>
      <c r="D196" s="504">
        <v>0</v>
      </c>
      <c r="E196" s="6"/>
      <c r="F196" s="6"/>
      <c r="G196" s="6"/>
      <c r="H196" s="6"/>
      <c r="I196" s="504">
        <v>0</v>
      </c>
      <c r="J196" s="5"/>
      <c r="K196" s="5"/>
      <c r="M196" s="683"/>
      <c r="N196" s="593"/>
      <c r="O196" s="687"/>
      <c r="P196" s="490"/>
      <c r="Q196" s="490"/>
      <c r="R196" s="490"/>
      <c r="S196" s="490"/>
    </row>
    <row r="197" spans="1:19" ht="17.25" customHeight="1" thickBot="1">
      <c r="A197" s="83">
        <v>31</v>
      </c>
      <c r="B197" s="84" t="s">
        <v>191</v>
      </c>
      <c r="C197" s="85"/>
      <c r="D197" s="86">
        <f>D186-D191-D196</f>
        <v>11613506.7550727</v>
      </c>
      <c r="E197" s="85"/>
      <c r="F197" s="85"/>
      <c r="G197" s="85"/>
      <c r="H197" s="85"/>
      <c r="I197" s="86">
        <f>I186-I191-I196</f>
        <v>1125850.8672364762</v>
      </c>
      <c r="J197" s="87"/>
      <c r="K197" s="85"/>
      <c r="L197" s="84"/>
      <c r="M197" s="683"/>
      <c r="N197" s="593"/>
      <c r="O197" s="687"/>
      <c r="P197" s="490"/>
      <c r="Q197" s="490"/>
      <c r="R197" s="490"/>
      <c r="S197" s="490"/>
    </row>
    <row r="198" spans="1:19" ht="16.5" thickTop="1">
      <c r="A198" s="7"/>
      <c r="B198" s="88" t="s">
        <v>255</v>
      </c>
      <c r="C198" s="6"/>
      <c r="D198" s="35"/>
      <c r="E198" s="6"/>
      <c r="F198" s="6"/>
      <c r="G198" s="6"/>
      <c r="H198" s="6"/>
      <c r="I198" s="35"/>
      <c r="J198" s="5"/>
      <c r="K198" s="5"/>
      <c r="M198" s="593"/>
      <c r="N198" s="490"/>
      <c r="O198" s="490"/>
      <c r="P198" s="490"/>
      <c r="Q198" s="490"/>
      <c r="R198" s="490"/>
      <c r="S198" s="490"/>
    </row>
    <row r="199" spans="1:19">
      <c r="A199" s="7"/>
      <c r="B199" s="88"/>
      <c r="C199" s="6"/>
      <c r="D199" s="35"/>
      <c r="E199" s="6"/>
      <c r="F199" s="6"/>
      <c r="G199" s="6"/>
      <c r="H199" s="6"/>
      <c r="I199" s="35"/>
      <c r="J199" s="5"/>
      <c r="K199" s="2" t="s">
        <v>784</v>
      </c>
      <c r="M199" s="593"/>
      <c r="N199" s="490"/>
      <c r="O199" s="490"/>
      <c r="P199" s="490"/>
      <c r="Q199" s="490"/>
      <c r="R199" s="490"/>
      <c r="S199" s="490"/>
    </row>
    <row r="200" spans="1:19">
      <c r="B200" s="3"/>
      <c r="C200" s="3"/>
      <c r="D200" s="494"/>
      <c r="E200" s="3"/>
      <c r="F200" s="3"/>
      <c r="G200" s="3"/>
      <c r="H200" s="4"/>
      <c r="I200" s="5"/>
      <c r="J200" s="609" t="s">
        <v>767</v>
      </c>
      <c r="K200" s="609"/>
      <c r="M200" s="593"/>
      <c r="N200" s="490"/>
      <c r="O200" s="490"/>
      <c r="P200" s="490"/>
      <c r="Q200" s="490"/>
      <c r="R200" s="490"/>
      <c r="S200" s="490"/>
    </row>
    <row r="201" spans="1:19">
      <c r="A201" s="7"/>
      <c r="J201" s="6"/>
      <c r="K201" s="6"/>
      <c r="M201" s="593"/>
      <c r="N201" s="490"/>
      <c r="O201" s="490"/>
      <c r="P201" s="490"/>
      <c r="Q201" s="490"/>
      <c r="R201" s="490"/>
      <c r="S201" s="490"/>
    </row>
    <row r="202" spans="1:19">
      <c r="A202" s="7"/>
      <c r="B202" s="88" t="str">
        <f>B4</f>
        <v xml:space="preserve">Formula Rate - Non-Levelized </v>
      </c>
      <c r="D202" s="1" t="str">
        <f>D4</f>
        <v xml:space="preserve">     Rate Formula Template</v>
      </c>
      <c r="J202" s="6"/>
      <c r="K202" s="2" t="str">
        <f>K4</f>
        <v>For the 12 months ended 12/31/17</v>
      </c>
      <c r="M202" s="593"/>
      <c r="N202" s="490"/>
      <c r="O202" s="490"/>
      <c r="P202" s="490"/>
      <c r="Q202" s="490"/>
      <c r="R202" s="490"/>
      <c r="S202" s="490"/>
    </row>
    <row r="203" spans="1:19">
      <c r="A203" s="7"/>
      <c r="B203" s="88"/>
      <c r="D203" s="1" t="str">
        <f>D5</f>
        <v xml:space="preserve"> Utilizing RUS Form 12 Data</v>
      </c>
      <c r="J203" s="6"/>
      <c r="K203" s="6"/>
      <c r="M203" s="593"/>
      <c r="N203" s="490"/>
      <c r="O203" s="490"/>
      <c r="P203" s="490"/>
      <c r="Q203" s="490"/>
      <c r="R203" s="490"/>
      <c r="S203" s="490"/>
    </row>
    <row r="204" spans="1:19">
      <c r="A204" s="7"/>
      <c r="J204" s="6"/>
      <c r="K204" s="6"/>
      <c r="M204" s="593"/>
      <c r="N204" s="490"/>
      <c r="O204" s="490"/>
      <c r="P204" s="490"/>
      <c r="Q204" s="490"/>
      <c r="R204" s="490"/>
      <c r="S204" s="490"/>
    </row>
    <row r="205" spans="1:19">
      <c r="A205" s="7"/>
      <c r="D205" s="528" t="str">
        <f>D7</f>
        <v>ETEC on behalf of Jasper-Newton</v>
      </c>
      <c r="E205" s="528"/>
      <c r="F205" s="528"/>
      <c r="G205" s="528"/>
      <c r="J205" s="6"/>
      <c r="K205" s="6"/>
      <c r="M205" s="593"/>
      <c r="N205" s="490"/>
      <c r="O205" s="490"/>
      <c r="P205" s="490"/>
      <c r="Q205" s="490"/>
      <c r="R205" s="490"/>
      <c r="S205" s="490"/>
    </row>
    <row r="206" spans="1:19">
      <c r="A206" s="7" t="s">
        <v>1</v>
      </c>
      <c r="C206" s="88"/>
      <c r="D206" s="88"/>
      <c r="E206" s="88"/>
      <c r="F206" s="88"/>
      <c r="G206" s="88"/>
      <c r="H206" s="88"/>
      <c r="I206" s="88"/>
      <c r="J206" s="88"/>
      <c r="K206" s="88"/>
      <c r="M206" s="684"/>
      <c r="N206" s="490"/>
      <c r="O206" s="685"/>
      <c r="P206" s="490"/>
      <c r="Q206" s="490"/>
      <c r="R206" s="490"/>
      <c r="S206" s="490"/>
    </row>
    <row r="207" spans="1:19" ht="16.5" thickBot="1">
      <c r="A207" s="9" t="s">
        <v>3</v>
      </c>
      <c r="C207" s="29" t="s">
        <v>101</v>
      </c>
      <c r="E207" s="5"/>
      <c r="F207" s="5"/>
      <c r="G207" s="5"/>
      <c r="H207" s="5"/>
      <c r="I207" s="5"/>
      <c r="J207" s="6"/>
      <c r="K207" s="6"/>
      <c r="M207" s="686"/>
      <c r="N207" s="686"/>
      <c r="O207" s="686"/>
      <c r="P207" s="490"/>
      <c r="Q207" s="490"/>
      <c r="R207" s="490"/>
      <c r="S207" s="490"/>
    </row>
    <row r="208" spans="1:19">
      <c r="A208" s="7"/>
      <c r="B208" s="3" t="s">
        <v>104</v>
      </c>
      <c r="C208" s="5"/>
      <c r="D208" s="5"/>
      <c r="E208" s="5"/>
      <c r="F208" s="5"/>
      <c r="G208" s="5"/>
      <c r="H208" s="5"/>
      <c r="I208" s="5"/>
      <c r="J208" s="6"/>
      <c r="K208" s="6"/>
      <c r="M208" s="593"/>
      <c r="N208" s="490"/>
      <c r="O208" s="490"/>
      <c r="P208" s="490"/>
      <c r="Q208" s="490"/>
      <c r="R208" s="490"/>
      <c r="S208" s="490"/>
    </row>
    <row r="209" spans="1:19">
      <c r="A209" s="7">
        <v>1</v>
      </c>
      <c r="B209" s="4" t="s">
        <v>214</v>
      </c>
      <c r="C209" s="5"/>
      <c r="D209" s="6"/>
      <c r="E209" s="6"/>
      <c r="F209" s="6"/>
      <c r="G209" s="6"/>
      <c r="H209" s="6"/>
      <c r="I209" s="6">
        <f>+D83</f>
        <v>17778710</v>
      </c>
      <c r="J209" s="6"/>
      <c r="K209" s="6"/>
      <c r="M209" s="683"/>
      <c r="N209" s="593"/>
      <c r="O209" s="687"/>
      <c r="P209" s="490"/>
      <c r="Q209" s="490"/>
      <c r="R209" s="490"/>
      <c r="S209" s="490"/>
    </row>
    <row r="210" spans="1:19">
      <c r="A210" s="7">
        <v>2</v>
      </c>
      <c r="B210" s="4" t="s">
        <v>213</v>
      </c>
      <c r="D210" s="78"/>
      <c r="I210" s="505">
        <f>'12 - WPTrans Plt Excl from ISO'!C36</f>
        <v>4052578.4028089885</v>
      </c>
      <c r="J210" s="6"/>
      <c r="K210" s="6"/>
      <c r="M210" s="683"/>
      <c r="N210" s="593"/>
      <c r="O210" s="687"/>
      <c r="P210" s="490"/>
      <c r="Q210" s="490"/>
      <c r="R210" s="490"/>
      <c r="S210" s="490"/>
    </row>
    <row r="211" spans="1:19" ht="16.5" thickBot="1">
      <c r="A211" s="7">
        <v>3</v>
      </c>
      <c r="B211" s="44" t="s">
        <v>237</v>
      </c>
      <c r="C211" s="45"/>
      <c r="D211" s="35"/>
      <c r="E211" s="6"/>
      <c r="F211" s="6"/>
      <c r="G211" s="46"/>
      <c r="H211" s="6"/>
      <c r="I211" s="504">
        <f>'13 - WP Trans Plt Incl in Ancil'!C13</f>
        <v>0</v>
      </c>
      <c r="J211" s="6"/>
      <c r="K211" s="6"/>
      <c r="M211" s="683"/>
      <c r="N211" s="593"/>
      <c r="O211" s="687"/>
      <c r="P211" s="490"/>
      <c r="Q211" s="490"/>
      <c r="R211" s="490"/>
      <c r="S211" s="490"/>
    </row>
    <row r="212" spans="1:19">
      <c r="A212" s="7">
        <v>4</v>
      </c>
      <c r="B212" s="4" t="s">
        <v>175</v>
      </c>
      <c r="C212" s="5"/>
      <c r="D212" s="6"/>
      <c r="E212" s="6"/>
      <c r="F212" s="6"/>
      <c r="G212" s="46"/>
      <c r="H212" s="6"/>
      <c r="I212" s="6">
        <f>I209-I210-I211</f>
        <v>13726131.597191012</v>
      </c>
      <c r="J212" s="6"/>
      <c r="K212" s="6"/>
      <c r="M212" s="683"/>
      <c r="N212" s="593"/>
      <c r="O212" s="687"/>
      <c r="P212" s="490"/>
      <c r="Q212" s="490"/>
      <c r="R212" s="490"/>
      <c r="S212" s="490"/>
    </row>
    <row r="213" spans="1:19" ht="9" customHeight="1">
      <c r="A213" s="7"/>
      <c r="C213" s="5"/>
      <c r="D213" s="6"/>
      <c r="E213" s="6"/>
      <c r="F213" s="6"/>
      <c r="G213" s="46"/>
      <c r="H213" s="6"/>
      <c r="J213" s="6"/>
      <c r="K213" s="6"/>
      <c r="M213" s="683"/>
      <c r="N213" s="490"/>
      <c r="O213" s="490"/>
      <c r="P213" s="490"/>
      <c r="Q213" s="490"/>
      <c r="R213" s="490"/>
      <c r="S213" s="490"/>
    </row>
    <row r="214" spans="1:19">
      <c r="A214" s="7">
        <v>5</v>
      </c>
      <c r="B214" s="4" t="s">
        <v>238</v>
      </c>
      <c r="C214" s="8"/>
      <c r="D214" s="47"/>
      <c r="E214" s="47"/>
      <c r="F214" s="47"/>
      <c r="G214" s="24"/>
      <c r="H214" s="6" t="s">
        <v>105</v>
      </c>
      <c r="I214" s="32">
        <f>IF(I209&gt;0,I212/I209,0)</f>
        <v>0.77205441773846428</v>
      </c>
      <c r="J214" s="6"/>
      <c r="K214" s="6"/>
      <c r="M214" s="683"/>
      <c r="N214" s="489"/>
      <c r="O214" s="489"/>
      <c r="P214" s="489"/>
      <c r="Q214" s="490"/>
      <c r="R214" s="490"/>
      <c r="S214" s="490"/>
    </row>
    <row r="215" spans="1:19" ht="9" customHeight="1">
      <c r="J215" s="6"/>
      <c r="K215" s="6"/>
      <c r="M215" s="683"/>
      <c r="N215" s="484"/>
      <c r="O215" s="482"/>
      <c r="P215" s="483"/>
      <c r="Q215" s="484"/>
      <c r="R215" s="482"/>
      <c r="S215" s="482"/>
    </row>
    <row r="216" spans="1:19">
      <c r="B216" s="88" t="s">
        <v>102</v>
      </c>
      <c r="J216" s="6"/>
      <c r="K216" s="6"/>
      <c r="M216" s="683"/>
      <c r="N216" s="607"/>
      <c r="O216" s="608"/>
      <c r="P216" s="608"/>
      <c r="Q216" s="608"/>
      <c r="R216" s="608"/>
      <c r="S216" s="608"/>
    </row>
    <row r="217" spans="1:19" ht="9" customHeight="1">
      <c r="J217" s="6"/>
      <c r="K217" s="6"/>
      <c r="M217" s="683"/>
      <c r="N217" s="155"/>
      <c r="O217" s="482"/>
      <c r="P217" s="483"/>
      <c r="Q217" s="484"/>
      <c r="R217" s="482"/>
      <c r="S217" s="482"/>
    </row>
    <row r="218" spans="1:19">
      <c r="A218" s="7">
        <v>6</v>
      </c>
      <c r="B218" s="1" t="s">
        <v>215</v>
      </c>
      <c r="D218" s="5"/>
      <c r="E218" s="5"/>
      <c r="F218" s="5"/>
      <c r="G218" s="519"/>
      <c r="H218" s="5"/>
      <c r="I218" s="6">
        <f>+D144</f>
        <v>333491.92</v>
      </c>
      <c r="J218" s="6"/>
      <c r="K218" s="6"/>
      <c r="M218" s="683"/>
      <c r="N218" s="593"/>
      <c r="O218" s="687"/>
      <c r="P218" s="483"/>
      <c r="Q218" s="484"/>
      <c r="R218" s="482"/>
      <c r="S218" s="482"/>
    </row>
    <row r="219" spans="1:19" ht="16.5" thickBot="1">
      <c r="A219" s="7">
        <v>7</v>
      </c>
      <c r="B219" s="44" t="s">
        <v>216</v>
      </c>
      <c r="C219" s="45"/>
      <c r="D219" s="35"/>
      <c r="E219" s="35"/>
      <c r="F219" s="6"/>
      <c r="G219" s="6"/>
      <c r="H219" s="6"/>
      <c r="I219" s="504">
        <v>0</v>
      </c>
      <c r="J219" s="6"/>
      <c r="K219" s="6"/>
      <c r="M219" s="683"/>
      <c r="N219" s="593"/>
      <c r="O219" s="687"/>
      <c r="P219" s="491"/>
      <c r="Q219" s="491"/>
      <c r="R219" s="155"/>
      <c r="S219" s="155"/>
    </row>
    <row r="220" spans="1:19">
      <c r="A220" s="7">
        <v>8</v>
      </c>
      <c r="B220" s="4" t="s">
        <v>217</v>
      </c>
      <c r="C220" s="8"/>
      <c r="D220" s="47"/>
      <c r="E220" s="47"/>
      <c r="F220" s="47"/>
      <c r="G220" s="24"/>
      <c r="H220" s="47"/>
      <c r="I220" s="6">
        <f>+I218-I219</f>
        <v>333491.92</v>
      </c>
      <c r="J220" s="6"/>
      <c r="K220" s="6"/>
      <c r="M220" s="683"/>
      <c r="N220" s="593"/>
      <c r="O220" s="687"/>
      <c r="P220" s="155"/>
      <c r="Q220" s="155"/>
      <c r="R220" s="155"/>
      <c r="S220" s="155"/>
    </row>
    <row r="221" spans="1:19">
      <c r="A221" s="7"/>
      <c r="B221" s="4"/>
      <c r="C221" s="5"/>
      <c r="D221" s="6"/>
      <c r="E221" s="6"/>
      <c r="F221" s="6"/>
      <c r="G221" s="6"/>
      <c r="J221" s="6"/>
      <c r="K221" s="6"/>
      <c r="M221" s="683"/>
      <c r="N221" s="493"/>
      <c r="O221" s="485"/>
      <c r="P221" s="486"/>
      <c r="Q221" s="486"/>
      <c r="R221" s="482"/>
      <c r="S221" s="482"/>
    </row>
    <row r="222" spans="1:19">
      <c r="A222" s="7">
        <v>9</v>
      </c>
      <c r="B222" s="4" t="s">
        <v>218</v>
      </c>
      <c r="C222" s="5"/>
      <c r="D222" s="6"/>
      <c r="E222" s="6"/>
      <c r="F222" s="6"/>
      <c r="G222" s="6"/>
      <c r="H222" s="6"/>
      <c r="I222" s="30">
        <f>IF(I218&gt;0,I220/I218,0)</f>
        <v>1</v>
      </c>
      <c r="M222" s="683"/>
      <c r="N222" s="592"/>
      <c r="O222" s="486"/>
      <c r="P222" s="155"/>
      <c r="Q222" s="486"/>
      <c r="R222" s="482"/>
      <c r="S222" s="482"/>
    </row>
    <row r="223" spans="1:19">
      <c r="A223" s="7">
        <v>10</v>
      </c>
      <c r="B223" s="4" t="s">
        <v>219</v>
      </c>
      <c r="C223" s="5"/>
      <c r="D223" s="6"/>
      <c r="E223" s="6"/>
      <c r="F223" s="6"/>
      <c r="G223" s="6"/>
      <c r="H223" s="5" t="s">
        <v>9</v>
      </c>
      <c r="I223" s="48">
        <f>I214</f>
        <v>0.77205441773846428</v>
      </c>
      <c r="M223" s="683"/>
      <c r="N223" s="592"/>
      <c r="O223" s="486"/>
      <c r="P223" s="155"/>
      <c r="Q223" s="486"/>
      <c r="R223" s="482"/>
      <c r="S223" s="482"/>
    </row>
    <row r="224" spans="1:19">
      <c r="A224" s="7">
        <v>11</v>
      </c>
      <c r="B224" s="4" t="s">
        <v>220</v>
      </c>
      <c r="C224" s="5"/>
      <c r="D224" s="5"/>
      <c r="E224" s="5"/>
      <c r="F224" s="5"/>
      <c r="G224" s="5"/>
      <c r="H224" s="5" t="s">
        <v>103</v>
      </c>
      <c r="I224" s="49">
        <f>+I223*I222</f>
        <v>0.77205441773846428</v>
      </c>
      <c r="M224" s="683"/>
      <c r="N224" s="592"/>
      <c r="O224" s="486"/>
      <c r="P224" s="155"/>
      <c r="Q224" s="487"/>
      <c r="R224" s="482"/>
      <c r="S224" s="482"/>
    </row>
    <row r="225" spans="1:19">
      <c r="M225" s="683"/>
      <c r="N225" s="492"/>
      <c r="O225" s="488"/>
      <c r="P225" s="483"/>
      <c r="Q225" s="484"/>
      <c r="R225" s="482"/>
      <c r="S225" s="482"/>
    </row>
    <row r="226" spans="1:19" ht="16.5" thickBot="1">
      <c r="A226" s="7" t="s">
        <v>0</v>
      </c>
      <c r="B226" s="88" t="s">
        <v>106</v>
      </c>
      <c r="C226" s="6"/>
      <c r="D226" s="50" t="s">
        <v>107</v>
      </c>
      <c r="E226" s="50" t="s">
        <v>9</v>
      </c>
      <c r="F226" s="6"/>
      <c r="G226" s="50" t="s">
        <v>108</v>
      </c>
      <c r="H226" s="6"/>
      <c r="I226" s="6"/>
      <c r="J226" s="6"/>
      <c r="K226" s="6"/>
      <c r="M226" s="683"/>
      <c r="N226" s="493"/>
      <c r="O226" s="488"/>
      <c r="P226" s="483"/>
      <c r="Q226" s="484"/>
      <c r="R226" s="482"/>
      <c r="S226" s="482"/>
    </row>
    <row r="227" spans="1:19">
      <c r="A227" s="7">
        <v>12</v>
      </c>
      <c r="B227" s="88" t="s">
        <v>50</v>
      </c>
      <c r="C227" s="6"/>
      <c r="D227" s="505">
        <f>'14 - WP - Wages &amp; Salaries'!B7</f>
        <v>0</v>
      </c>
      <c r="E227" s="51">
        <v>0</v>
      </c>
      <c r="F227" s="51"/>
      <c r="G227" s="6">
        <f>D227*E227</f>
        <v>0</v>
      </c>
      <c r="H227" s="6"/>
      <c r="I227" s="6"/>
      <c r="J227" s="6"/>
      <c r="K227" s="6"/>
      <c r="M227" s="683"/>
      <c r="N227" s="593"/>
      <c r="O227" s="687"/>
      <c r="P227" s="490"/>
      <c r="Q227" s="490"/>
      <c r="R227" s="490"/>
      <c r="S227" s="490"/>
    </row>
    <row r="228" spans="1:19">
      <c r="A228" s="7">
        <v>13</v>
      </c>
      <c r="B228" s="88" t="s">
        <v>53</v>
      </c>
      <c r="C228" s="6"/>
      <c r="D228" s="505">
        <f>'14 - WP - Wages &amp; Salaries'!B8</f>
        <v>32654.230000000003</v>
      </c>
      <c r="E228" s="51">
        <f>+I223</f>
        <v>0.77205441773846428</v>
      </c>
      <c r="F228" s="51"/>
      <c r="G228" s="6">
        <f>D228*E228</f>
        <v>25210.842529347894</v>
      </c>
      <c r="H228" s="6"/>
      <c r="I228" s="6"/>
      <c r="J228" s="6"/>
      <c r="K228" s="6"/>
      <c r="M228" s="683"/>
      <c r="N228" s="593"/>
      <c r="O228" s="687"/>
      <c r="P228" s="490"/>
      <c r="Q228" s="490"/>
      <c r="R228" s="490"/>
      <c r="S228" s="490"/>
    </row>
    <row r="229" spans="1:19">
      <c r="A229" s="7">
        <v>14</v>
      </c>
      <c r="B229" s="88" t="s">
        <v>55</v>
      </c>
      <c r="C229" s="6"/>
      <c r="D229" s="505">
        <f>'14 - WP - Wages &amp; Salaries'!B9</f>
        <v>2196065.69</v>
      </c>
      <c r="E229" s="51">
        <v>0</v>
      </c>
      <c r="F229" s="51"/>
      <c r="G229" s="6">
        <f>D229*E229</f>
        <v>0</v>
      </c>
      <c r="H229" s="6"/>
      <c r="I229" s="52" t="s">
        <v>109</v>
      </c>
      <c r="J229" s="6"/>
      <c r="K229" s="6"/>
      <c r="M229" s="683"/>
      <c r="N229" s="593"/>
      <c r="O229" s="687"/>
      <c r="P229" s="490"/>
      <c r="Q229" s="490"/>
      <c r="R229" s="490"/>
      <c r="S229" s="490"/>
    </row>
    <row r="230" spans="1:19" ht="16.5" thickBot="1">
      <c r="A230" s="7">
        <v>15</v>
      </c>
      <c r="B230" s="88" t="s">
        <v>110</v>
      </c>
      <c r="C230" s="6"/>
      <c r="D230" s="504">
        <f>SUM('14 - WP - Wages &amp; Salaries'!B10:B12)</f>
        <v>1135244.82</v>
      </c>
      <c r="E230" s="51">
        <v>0</v>
      </c>
      <c r="F230" s="51"/>
      <c r="G230" s="14">
        <f>D230*E230</f>
        <v>0</v>
      </c>
      <c r="H230" s="6"/>
      <c r="I230" s="9" t="s">
        <v>111</v>
      </c>
      <c r="J230" s="6"/>
      <c r="K230" s="6"/>
      <c r="M230" s="683"/>
      <c r="N230" s="593"/>
      <c r="O230" s="687"/>
      <c r="P230" s="490"/>
      <c r="Q230" s="490"/>
      <c r="R230" s="490"/>
      <c r="S230" s="490"/>
    </row>
    <row r="231" spans="1:19">
      <c r="A231" s="7">
        <v>16</v>
      </c>
      <c r="B231" s="88" t="s">
        <v>171</v>
      </c>
      <c r="C231" s="6"/>
      <c r="D231" s="6">
        <f>SUM(D227:D230)</f>
        <v>3363964.74</v>
      </c>
      <c r="E231" s="6"/>
      <c r="F231" s="6"/>
      <c r="G231" s="6">
        <f>SUM(G227:G230)</f>
        <v>25210.842529347894</v>
      </c>
      <c r="H231" s="519" t="s">
        <v>112</v>
      </c>
      <c r="I231" s="30">
        <f>IF(G231&gt;0,G231/D231,0)</f>
        <v>7.494383704315489E-3</v>
      </c>
      <c r="J231" s="57" t="s">
        <v>278</v>
      </c>
      <c r="K231" s="6"/>
      <c r="M231" s="683"/>
      <c r="N231" s="490"/>
      <c r="O231" s="490"/>
      <c r="P231" s="490"/>
      <c r="Q231" s="490"/>
      <c r="R231" s="490"/>
      <c r="S231" s="490"/>
    </row>
    <row r="232" spans="1:19" ht="9" customHeight="1">
      <c r="A232" s="7" t="s">
        <v>0</v>
      </c>
      <c r="B232" s="88" t="s">
        <v>0</v>
      </c>
      <c r="C232" s="6" t="s">
        <v>0</v>
      </c>
      <c r="E232" s="6"/>
      <c r="F232" s="6"/>
      <c r="K232" s="6"/>
      <c r="M232" s="683"/>
      <c r="N232" s="490"/>
      <c r="O232" s="490"/>
      <c r="P232" s="490"/>
      <c r="Q232" s="490"/>
      <c r="R232" s="490"/>
      <c r="S232" s="490"/>
    </row>
    <row r="233" spans="1:19">
      <c r="A233" s="7"/>
      <c r="B233" s="88" t="s">
        <v>221</v>
      </c>
      <c r="C233" s="6"/>
      <c r="D233" s="25" t="s">
        <v>107</v>
      </c>
      <c r="E233" s="6"/>
      <c r="F233" s="6"/>
      <c r="G233" s="46" t="s">
        <v>113</v>
      </c>
      <c r="H233" s="39" t="s">
        <v>0</v>
      </c>
      <c r="I233" s="31" t="s">
        <v>114</v>
      </c>
      <c r="J233" s="6"/>
      <c r="K233" s="6"/>
      <c r="M233" s="683"/>
      <c r="N233" s="490"/>
      <c r="O233" s="490"/>
      <c r="P233" s="490"/>
      <c r="Q233" s="490"/>
      <c r="R233" s="490"/>
      <c r="S233" s="490"/>
    </row>
    <row r="234" spans="1:19">
      <c r="A234" s="7">
        <v>17</v>
      </c>
      <c r="B234" s="88" t="s">
        <v>115</v>
      </c>
      <c r="C234" s="6"/>
      <c r="D234" s="505">
        <v>0</v>
      </c>
      <c r="E234" s="6"/>
      <c r="G234" s="7" t="s">
        <v>116</v>
      </c>
      <c r="H234" s="53"/>
      <c r="I234" s="7" t="s">
        <v>117</v>
      </c>
      <c r="J234" s="6"/>
      <c r="K234" s="519" t="s">
        <v>59</v>
      </c>
      <c r="M234" s="683"/>
      <c r="N234" s="490"/>
      <c r="O234" s="490"/>
      <c r="P234" s="490"/>
      <c r="Q234" s="490"/>
      <c r="R234" s="490"/>
      <c r="S234" s="490"/>
    </row>
    <row r="235" spans="1:19">
      <c r="A235" s="7">
        <v>18</v>
      </c>
      <c r="B235" s="88" t="s">
        <v>118</v>
      </c>
      <c r="C235" s="6"/>
      <c r="D235" s="505">
        <v>0</v>
      </c>
      <c r="E235" s="6"/>
      <c r="G235" s="13">
        <f>IF(D237&gt;0,D234/D237,0)</f>
        <v>0</v>
      </c>
      <c r="H235" s="46" t="s">
        <v>119</v>
      </c>
      <c r="I235" s="13">
        <f>I231</f>
        <v>7.494383704315489E-3</v>
      </c>
      <c r="J235" s="39" t="s">
        <v>112</v>
      </c>
      <c r="K235" s="13">
        <f>I235*G235</f>
        <v>0</v>
      </c>
      <c r="M235" s="683"/>
      <c r="N235" s="490"/>
      <c r="O235" s="490"/>
      <c r="P235" s="490"/>
      <c r="Q235" s="490"/>
      <c r="R235" s="490"/>
      <c r="S235" s="490"/>
    </row>
    <row r="236" spans="1:19" ht="16.5" thickBot="1">
      <c r="A236" s="7">
        <v>19</v>
      </c>
      <c r="B236" s="54" t="s">
        <v>120</v>
      </c>
      <c r="C236" s="14"/>
      <c r="D236" s="504">
        <v>0</v>
      </c>
      <c r="E236" s="6"/>
      <c r="F236" s="6"/>
      <c r="G236" s="6" t="s">
        <v>0</v>
      </c>
      <c r="H236" s="6"/>
      <c r="I236" s="6"/>
      <c r="J236" s="6"/>
      <c r="K236" s="6"/>
      <c r="M236" s="683"/>
      <c r="N236" s="490"/>
      <c r="O236" s="490"/>
      <c r="P236" s="490"/>
      <c r="Q236" s="490"/>
      <c r="R236" s="490"/>
      <c r="S236" s="490"/>
    </row>
    <row r="237" spans="1:19">
      <c r="A237" s="7">
        <v>20</v>
      </c>
      <c r="B237" s="88" t="s">
        <v>222</v>
      </c>
      <c r="C237" s="6"/>
      <c r="D237" s="6">
        <f>D234+D235+D236</f>
        <v>0</v>
      </c>
      <c r="E237" s="6"/>
      <c r="F237" s="6"/>
      <c r="G237" s="6"/>
      <c r="H237" s="6"/>
      <c r="I237" s="6"/>
      <c r="J237" s="6"/>
      <c r="K237" s="6"/>
      <c r="M237" s="683"/>
      <c r="N237" s="490"/>
      <c r="O237" s="490"/>
      <c r="P237" s="490"/>
      <c r="Q237" s="490"/>
      <c r="R237" s="490"/>
      <c r="S237" s="490"/>
    </row>
    <row r="238" spans="1:19" ht="9" customHeight="1">
      <c r="A238" s="7"/>
      <c r="B238" s="88" t="s">
        <v>0</v>
      </c>
      <c r="C238" s="6"/>
      <c r="E238" s="6"/>
      <c r="F238" s="6"/>
      <c r="G238" s="6"/>
      <c r="H238" s="6"/>
      <c r="I238" s="6" t="s">
        <v>0</v>
      </c>
      <c r="J238" s="6" t="s">
        <v>0</v>
      </c>
      <c r="K238" s="6"/>
      <c r="M238" s="683"/>
      <c r="N238" s="490"/>
      <c r="O238" s="490"/>
      <c r="P238" s="490"/>
      <c r="Q238" s="490"/>
      <c r="R238" s="490"/>
      <c r="S238" s="490"/>
    </row>
    <row r="239" spans="1:19" ht="16.5" thickBot="1">
      <c r="A239" s="7"/>
      <c r="B239" s="3" t="s">
        <v>121</v>
      </c>
      <c r="C239" s="6"/>
      <c r="D239" s="50" t="s">
        <v>107</v>
      </c>
      <c r="E239" s="6"/>
      <c r="F239" s="6"/>
      <c r="G239" s="6"/>
      <c r="H239" s="6"/>
      <c r="J239" s="6"/>
      <c r="K239" s="6"/>
      <c r="M239" s="683"/>
      <c r="N239" s="490"/>
      <c r="O239" s="490"/>
      <c r="P239" s="490"/>
      <c r="Q239" s="490"/>
      <c r="R239" s="490"/>
      <c r="S239" s="490"/>
    </row>
    <row r="240" spans="1:19">
      <c r="A240" s="7">
        <v>21</v>
      </c>
      <c r="B240" s="6" t="s">
        <v>269</v>
      </c>
      <c r="C240" s="4"/>
      <c r="D240" s="507">
        <f>'1 - 12a.A Statement of Oper'!D30</f>
        <v>2140837</v>
      </c>
      <c r="E240" s="6"/>
      <c r="F240" s="6"/>
      <c r="G240" s="6"/>
      <c r="H240" s="6"/>
      <c r="I240" s="6"/>
      <c r="J240" s="6"/>
      <c r="K240" s="6"/>
      <c r="M240" s="683"/>
      <c r="N240" s="593"/>
      <c r="O240" s="687"/>
      <c r="P240" s="490"/>
      <c r="Q240" s="490"/>
      <c r="R240" s="490"/>
      <c r="S240" s="490"/>
    </row>
    <row r="241" spans="1:19" ht="9" customHeight="1">
      <c r="A241" s="7"/>
      <c r="B241" s="88"/>
      <c r="C241" s="6"/>
      <c r="D241" s="6"/>
      <c r="E241" s="6"/>
      <c r="F241" s="6"/>
      <c r="G241" s="6"/>
      <c r="H241" s="6"/>
      <c r="I241" s="6"/>
      <c r="J241" s="6"/>
      <c r="K241" s="6"/>
      <c r="M241" s="683"/>
      <c r="N241" s="593"/>
      <c r="O241" s="490"/>
      <c r="P241" s="490"/>
      <c r="Q241" s="490"/>
      <c r="R241" s="490"/>
      <c r="S241" s="490"/>
    </row>
    <row r="242" spans="1:19">
      <c r="A242" s="7"/>
      <c r="B242" s="88"/>
      <c r="C242" s="6"/>
      <c r="D242" s="6"/>
      <c r="E242" s="6"/>
      <c r="F242" s="6"/>
      <c r="G242" s="46" t="s">
        <v>122</v>
      </c>
      <c r="H242" s="6"/>
      <c r="I242" s="6"/>
      <c r="J242" s="6"/>
      <c r="K242" s="6"/>
      <c r="M242" s="683"/>
      <c r="N242" s="593"/>
      <c r="O242" s="490"/>
      <c r="P242" s="490"/>
      <c r="Q242" s="490"/>
      <c r="R242" s="490"/>
      <c r="S242" s="490"/>
    </row>
    <row r="243" spans="1:19" ht="16.5" thickBot="1">
      <c r="A243" s="7"/>
      <c r="B243" s="3"/>
      <c r="C243" s="4"/>
      <c r="D243" s="9" t="s">
        <v>107</v>
      </c>
      <c r="E243" s="9" t="s">
        <v>123</v>
      </c>
      <c r="F243" s="6"/>
      <c r="G243" s="9" t="s">
        <v>124</v>
      </c>
      <c r="H243" s="6"/>
      <c r="I243" s="9" t="s">
        <v>125</v>
      </c>
      <c r="J243" s="6"/>
      <c r="K243" s="6"/>
      <c r="M243" s="683"/>
      <c r="N243" s="593"/>
      <c r="O243" s="490"/>
      <c r="P243" s="490"/>
      <c r="Q243" s="490"/>
      <c r="R243" s="490"/>
      <c r="S243" s="490"/>
    </row>
    <row r="244" spans="1:19">
      <c r="A244" s="7">
        <v>22</v>
      </c>
      <c r="B244" s="3" t="s">
        <v>126</v>
      </c>
      <c r="C244" s="4" t="s">
        <v>271</v>
      </c>
      <c r="D244" s="505">
        <f>'2 - 12a.B Balance Sheet'!F23+'2 - 12a.B Balance Sheet'!F24+'2 - 12a.B Balance Sheet'!F29+'2 - 12a.B Balance Sheet'!F30+'2 - 12a.B Balance Sheet'!F31</f>
        <v>53674474</v>
      </c>
      <c r="E244" s="55">
        <f>IF($D$246&gt;0,D244/$D$246,0)</f>
        <v>0.45469443374773721</v>
      </c>
      <c r="F244" s="56"/>
      <c r="G244" s="56">
        <f>IF(D240&gt;0,D240/D244,0)</f>
        <v>3.9885570187422795E-2</v>
      </c>
      <c r="I244" s="56">
        <f>G244*E244</f>
        <v>1.8135746751075838E-2</v>
      </c>
      <c r="J244" s="57" t="s">
        <v>127</v>
      </c>
      <c r="M244" s="683"/>
      <c r="N244" s="593"/>
      <c r="O244" s="687"/>
      <c r="P244" s="490"/>
      <c r="Q244" s="490"/>
      <c r="R244" s="490"/>
      <c r="S244" s="490"/>
    </row>
    <row r="245" spans="1:19" ht="16.5" thickBot="1">
      <c r="A245" s="7">
        <v>23</v>
      </c>
      <c r="B245" s="3" t="s">
        <v>128</v>
      </c>
      <c r="C245" s="4" t="s">
        <v>270</v>
      </c>
      <c r="D245" s="504">
        <f>'2 - 12a.B Balance Sheet'!F16</f>
        <v>64370679</v>
      </c>
      <c r="E245" s="79">
        <f>IF($D$246&gt;0,D245/$D$246,0)</f>
        <v>0.54530556625226279</v>
      </c>
      <c r="F245" s="56"/>
      <c r="G245" s="56">
        <f>I248</f>
        <v>0.1082</v>
      </c>
      <c r="I245" s="58">
        <f>G245*E245</f>
        <v>5.9002062268494838E-2</v>
      </c>
      <c r="J245" s="6"/>
      <c r="M245" s="683"/>
      <c r="N245" s="593"/>
      <c r="O245" s="687"/>
      <c r="P245" s="490"/>
      <c r="Q245" s="490"/>
      <c r="R245" s="490"/>
      <c r="S245" s="490"/>
    </row>
    <row r="246" spans="1:19">
      <c r="A246" s="7">
        <v>24</v>
      </c>
      <c r="B246" s="3" t="s">
        <v>223</v>
      </c>
      <c r="C246" s="4"/>
      <c r="D246" s="6">
        <f>SUM(D244:D245)</f>
        <v>118045153</v>
      </c>
      <c r="E246" s="55">
        <f>IF($D$246&gt;0,D246/$D$246,0)</f>
        <v>1</v>
      </c>
      <c r="F246" s="56"/>
      <c r="G246" s="56"/>
      <c r="I246" s="56">
        <f>SUM(I244:I245)</f>
        <v>7.713780901957068E-2</v>
      </c>
      <c r="J246" s="57" t="s">
        <v>129</v>
      </c>
      <c r="M246" s="683"/>
      <c r="N246" s="490"/>
      <c r="O246" s="490"/>
      <c r="P246" s="490"/>
      <c r="Q246" s="490"/>
      <c r="R246" s="490"/>
      <c r="S246" s="490"/>
    </row>
    <row r="247" spans="1:19" s="544" customFormat="1" ht="15" customHeight="1">
      <c r="A247" s="7" t="s">
        <v>0</v>
      </c>
      <c r="B247" s="3"/>
      <c r="D247" s="545"/>
      <c r="E247" s="545" t="s">
        <v>0</v>
      </c>
      <c r="F247" s="545"/>
      <c r="G247" s="545"/>
      <c r="H247" s="545"/>
      <c r="I247" s="546"/>
      <c r="M247" s="688"/>
      <c r="N247" s="532"/>
      <c r="O247" s="533"/>
      <c r="P247" s="533"/>
      <c r="Q247" s="533"/>
      <c r="R247" s="534"/>
      <c r="S247" s="689"/>
    </row>
    <row r="248" spans="1:19">
      <c r="A248" s="7">
        <v>25</v>
      </c>
      <c r="E248" s="6"/>
      <c r="F248" s="6"/>
      <c r="G248" s="76" t="s">
        <v>193</v>
      </c>
      <c r="H248" s="6"/>
      <c r="I248" s="547">
        <f>R249+R250</f>
        <v>0.1082</v>
      </c>
      <c r="M248" s="683"/>
      <c r="N248" s="535" t="s">
        <v>820</v>
      </c>
      <c r="O248" s="536"/>
      <c r="P248" s="536"/>
      <c r="Q248" s="536"/>
      <c r="R248" s="537"/>
      <c r="S248" s="490"/>
    </row>
    <row r="249" spans="1:19">
      <c r="A249" s="7">
        <v>26</v>
      </c>
      <c r="G249" s="2" t="s">
        <v>194</v>
      </c>
      <c r="I249" s="51">
        <f>IF(I246&gt;0,G244/I246,0)</f>
        <v>0.51706900538623546</v>
      </c>
      <c r="K249" s="6"/>
      <c r="M249" s="683"/>
      <c r="N249" s="535" t="s">
        <v>821</v>
      </c>
      <c r="O249" s="536"/>
      <c r="P249" s="536"/>
      <c r="Q249" s="536"/>
      <c r="R249" s="538">
        <v>0.1032</v>
      </c>
      <c r="S249" s="490"/>
    </row>
    <row r="250" spans="1:19">
      <c r="A250" s="7"/>
      <c r="B250" s="3" t="s">
        <v>130</v>
      </c>
      <c r="C250" s="4"/>
      <c r="D250" s="4"/>
      <c r="E250" s="4"/>
      <c r="F250" s="4"/>
      <c r="G250" s="4"/>
      <c r="H250" s="4"/>
      <c r="I250" s="4"/>
      <c r="J250" s="4"/>
      <c r="K250" s="4"/>
      <c r="M250" s="683"/>
      <c r="N250" s="539" t="s">
        <v>822</v>
      </c>
      <c r="O250" s="540"/>
      <c r="P250" s="540"/>
      <c r="Q250" s="540"/>
      <c r="R250" s="538">
        <v>5.0000000000000001E-3</v>
      </c>
      <c r="S250" s="490"/>
    </row>
    <row r="251" spans="1:19" ht="16.5" thickBot="1">
      <c r="A251" s="7"/>
      <c r="B251" s="3"/>
      <c r="C251" s="3"/>
      <c r="D251" s="3"/>
      <c r="E251" s="3"/>
      <c r="F251" s="3"/>
      <c r="G251" s="3"/>
      <c r="H251" s="3"/>
      <c r="I251" s="9" t="s">
        <v>131</v>
      </c>
      <c r="J251" s="46"/>
      <c r="K251" s="46"/>
      <c r="M251" s="683"/>
      <c r="N251" s="541"/>
      <c r="O251" s="542"/>
      <c r="P251" s="542"/>
      <c r="Q251" s="542"/>
      <c r="R251" s="543"/>
      <c r="S251" s="490"/>
    </row>
    <row r="252" spans="1:19">
      <c r="A252" s="7"/>
      <c r="B252" s="3" t="s">
        <v>224</v>
      </c>
      <c r="C252" s="4"/>
      <c r="D252" s="4"/>
      <c r="E252" s="4"/>
      <c r="F252" s="4"/>
      <c r="G252" s="59" t="s">
        <v>0</v>
      </c>
      <c r="H252" s="60"/>
      <c r="I252" s="61"/>
      <c r="J252" s="46"/>
      <c r="K252" s="46"/>
      <c r="M252" s="683"/>
      <c r="N252" s="490"/>
      <c r="O252" s="490"/>
      <c r="P252" s="490"/>
      <c r="Q252" s="490"/>
      <c r="R252" s="490"/>
      <c r="S252" s="490"/>
    </row>
    <row r="253" spans="1:19">
      <c r="A253" s="7">
        <v>27</v>
      </c>
      <c r="B253" s="1" t="s">
        <v>132</v>
      </c>
      <c r="C253" s="4"/>
      <c r="D253" s="4"/>
      <c r="E253" s="4" t="s">
        <v>133</v>
      </c>
      <c r="F253" s="4"/>
      <c r="H253" s="60"/>
      <c r="I253" s="505">
        <v>0</v>
      </c>
      <c r="J253" s="46"/>
      <c r="K253" s="46"/>
      <c r="M253" s="683"/>
      <c r="N253" s="490"/>
      <c r="O253" s="490"/>
      <c r="P253" s="490"/>
      <c r="Q253" s="490"/>
      <c r="R253" s="490"/>
      <c r="S253" s="490"/>
    </row>
    <row r="254" spans="1:19" ht="16.5" thickBot="1">
      <c r="A254" s="7">
        <v>28</v>
      </c>
      <c r="B254" s="33" t="s">
        <v>168</v>
      </c>
      <c r="C254" s="45"/>
      <c r="D254" s="78"/>
      <c r="E254" s="71"/>
      <c r="F254" s="71"/>
      <c r="G254" s="71"/>
      <c r="H254" s="4"/>
      <c r="I254" s="504">
        <v>0</v>
      </c>
      <c r="J254" s="46"/>
      <c r="K254" s="46"/>
      <c r="M254" s="683"/>
      <c r="N254" s="490"/>
      <c r="O254" s="490"/>
      <c r="P254" s="490"/>
      <c r="Q254" s="490"/>
      <c r="R254" s="490"/>
      <c r="S254" s="490"/>
    </row>
    <row r="255" spans="1:19">
      <c r="A255" s="7">
        <v>29</v>
      </c>
      <c r="B255" s="1" t="s">
        <v>134</v>
      </c>
      <c r="C255" s="5"/>
      <c r="E255" s="4"/>
      <c r="F255" s="4"/>
      <c r="G255" s="4"/>
      <c r="H255" s="4"/>
      <c r="I255" s="505">
        <f>+I253-I254</f>
        <v>0</v>
      </c>
      <c r="J255" s="46"/>
      <c r="K255" s="46"/>
      <c r="M255" s="683"/>
      <c r="N255" s="490"/>
      <c r="O255" s="490"/>
      <c r="P255" s="490"/>
      <c r="Q255" s="490"/>
      <c r="R255" s="490"/>
      <c r="S255" s="490"/>
    </row>
    <row r="256" spans="1:19" ht="9" customHeight="1">
      <c r="A256" s="7"/>
      <c r="C256" s="5"/>
      <c r="E256" s="4"/>
      <c r="F256" s="4"/>
      <c r="G256" s="4"/>
      <c r="H256" s="4"/>
      <c r="I256" s="62"/>
      <c r="J256" s="46"/>
      <c r="K256" s="46"/>
      <c r="M256" s="683"/>
      <c r="N256" s="490"/>
      <c r="O256" s="490"/>
      <c r="P256" s="490"/>
      <c r="Q256" s="490"/>
      <c r="R256" s="490"/>
      <c r="S256" s="490"/>
    </row>
    <row r="257" spans="1:19">
      <c r="A257" s="7">
        <v>30</v>
      </c>
      <c r="B257" s="3" t="s">
        <v>225</v>
      </c>
      <c r="C257" s="5"/>
      <c r="E257" s="4"/>
      <c r="F257" s="4"/>
      <c r="G257" s="22"/>
      <c r="H257" s="4"/>
      <c r="I257" s="508">
        <v>0</v>
      </c>
      <c r="J257" s="61"/>
      <c r="K257" s="63"/>
      <c r="M257" s="683"/>
      <c r="N257" s="490"/>
      <c r="O257" s="490"/>
      <c r="P257" s="490"/>
      <c r="Q257" s="490"/>
      <c r="R257" s="490"/>
      <c r="S257" s="490"/>
    </row>
    <row r="258" spans="1:19" ht="9" customHeight="1">
      <c r="A258" s="7"/>
      <c r="C258" s="4"/>
      <c r="D258" s="4"/>
      <c r="E258" s="4"/>
      <c r="F258" s="4"/>
      <c r="G258" s="4"/>
      <c r="H258" s="4"/>
      <c r="I258" s="62"/>
      <c r="J258" s="61"/>
      <c r="K258" s="63"/>
      <c r="M258" s="683"/>
      <c r="N258" s="490"/>
      <c r="O258" s="490"/>
      <c r="P258" s="490"/>
      <c r="Q258" s="490"/>
      <c r="R258" s="490"/>
      <c r="S258" s="490"/>
    </row>
    <row r="259" spans="1:19">
      <c r="B259" s="3" t="s">
        <v>135</v>
      </c>
      <c r="C259" s="4"/>
      <c r="D259" s="4"/>
      <c r="E259" s="4"/>
      <c r="F259" s="4"/>
      <c r="G259" s="4"/>
      <c r="H259" s="4"/>
      <c r="K259" s="64"/>
      <c r="M259" s="683"/>
      <c r="N259" s="490"/>
      <c r="O259" s="490"/>
      <c r="P259" s="490"/>
      <c r="Q259" s="490"/>
      <c r="R259" s="490"/>
      <c r="S259" s="490"/>
    </row>
    <row r="260" spans="1:19">
      <c r="A260" s="7">
        <v>31</v>
      </c>
      <c r="B260" s="3" t="s">
        <v>136</v>
      </c>
      <c r="C260" s="6"/>
      <c r="D260" s="6"/>
      <c r="E260" s="6"/>
      <c r="F260" s="6"/>
      <c r="G260" s="6"/>
      <c r="H260" s="6"/>
      <c r="I260" s="508">
        <f>'16 - WP - Other Elec Rev'!C41</f>
        <v>1105316.7000000002</v>
      </c>
      <c r="K260" s="64"/>
      <c r="M260" s="683"/>
      <c r="N260" s="490"/>
      <c r="O260" s="687"/>
      <c r="P260" s="490"/>
      <c r="Q260" s="490"/>
      <c r="R260" s="490"/>
      <c r="S260" s="490"/>
    </row>
    <row r="261" spans="1:19">
      <c r="A261" s="7">
        <v>32</v>
      </c>
      <c r="B261" s="72" t="s">
        <v>169</v>
      </c>
      <c r="C261" s="71"/>
      <c r="D261" s="71"/>
      <c r="E261" s="71"/>
      <c r="F261" s="71"/>
      <c r="G261" s="4"/>
      <c r="H261" s="4"/>
      <c r="I261" s="509">
        <f>'16 - WP - Other Elec Rev'!T41</f>
        <v>1085115.0793671624</v>
      </c>
      <c r="K261" s="46"/>
      <c r="M261" s="683"/>
      <c r="N261" s="490"/>
      <c r="O261" s="687"/>
      <c r="P261" s="490"/>
      <c r="Q261" s="490"/>
      <c r="R261" s="490"/>
      <c r="S261" s="490"/>
    </row>
    <row r="262" spans="1:19">
      <c r="A262" s="7" t="s">
        <v>192</v>
      </c>
      <c r="B262" s="450" t="s">
        <v>725</v>
      </c>
      <c r="C262" s="510"/>
      <c r="D262" s="71"/>
      <c r="E262" s="71"/>
      <c r="F262" s="71"/>
      <c r="G262" s="4"/>
      <c r="H262" s="4"/>
      <c r="I262" s="509">
        <v>0</v>
      </c>
      <c r="K262" s="46"/>
      <c r="M262" s="683"/>
      <c r="N262" s="490"/>
      <c r="O262" s="687"/>
      <c r="P262" s="490"/>
      <c r="Q262" s="490"/>
      <c r="R262" s="490"/>
      <c r="S262" s="490"/>
    </row>
    <row r="263" spans="1:19" ht="16.5" thickBot="1">
      <c r="A263" s="7" t="s">
        <v>257</v>
      </c>
      <c r="B263" s="451" t="s">
        <v>726</v>
      </c>
      <c r="C263" s="511"/>
      <c r="D263" s="71"/>
      <c r="E263" s="71"/>
      <c r="F263" s="71"/>
      <c r="G263" s="4"/>
      <c r="H263" s="4"/>
      <c r="I263" s="512">
        <v>0</v>
      </c>
      <c r="K263" s="46"/>
      <c r="M263" s="683"/>
      <c r="N263" s="490"/>
      <c r="O263" s="687"/>
      <c r="P263" s="490"/>
      <c r="Q263" s="490"/>
      <c r="R263" s="490"/>
      <c r="S263" s="490"/>
    </row>
    <row r="264" spans="1:19">
      <c r="A264" s="7">
        <v>33</v>
      </c>
      <c r="B264" s="1" t="s">
        <v>256</v>
      </c>
      <c r="C264" s="7"/>
      <c r="D264" s="6"/>
      <c r="E264" s="6"/>
      <c r="F264" s="6"/>
      <c r="G264" s="6"/>
      <c r="H264" s="4"/>
      <c r="I264" s="67">
        <f>+I260-I261-I262-I263</f>
        <v>20201.620632837759</v>
      </c>
      <c r="J264" s="65"/>
      <c r="K264" s="68"/>
      <c r="M264" s="591"/>
      <c r="O264" s="590"/>
    </row>
    <row r="265" spans="1:19">
      <c r="A265" s="7"/>
    </row>
    <row r="266" spans="1:19">
      <c r="A266" s="7"/>
    </row>
    <row r="267" spans="1:19">
      <c r="A267" s="7"/>
    </row>
    <row r="268" spans="1:19">
      <c r="A268" s="7"/>
      <c r="K268" s="2" t="s">
        <v>784</v>
      </c>
    </row>
    <row r="269" spans="1:19">
      <c r="B269" s="3"/>
      <c r="C269" s="3"/>
      <c r="D269" s="494"/>
      <c r="E269" s="3"/>
      <c r="F269" s="3"/>
      <c r="G269" s="3"/>
      <c r="H269" s="4"/>
      <c r="I269" s="5"/>
      <c r="J269" s="609" t="s">
        <v>768</v>
      </c>
      <c r="K269" s="609"/>
    </row>
    <row r="270" spans="1:19">
      <c r="A270" s="7"/>
      <c r="B270" s="66" t="str">
        <f>B4</f>
        <v xml:space="preserve">Formula Rate - Non-Levelized </v>
      </c>
      <c r="C270" s="7"/>
      <c r="D270" s="6" t="str">
        <f>D4</f>
        <v xml:space="preserve">     Rate Formula Template</v>
      </c>
      <c r="E270" s="6"/>
      <c r="F270" s="6"/>
      <c r="G270" s="6"/>
      <c r="H270" s="4"/>
      <c r="J270" s="61"/>
      <c r="K270" s="513" t="str">
        <f>K4</f>
        <v>For the 12 months ended 12/31/17</v>
      </c>
    </row>
    <row r="271" spans="1:19">
      <c r="A271" s="7"/>
      <c r="B271" s="66"/>
      <c r="C271" s="7"/>
      <c r="D271" s="6" t="str">
        <f>D5</f>
        <v xml:space="preserve"> Utilizing RUS Form 12 Data</v>
      </c>
      <c r="E271" s="6"/>
      <c r="F271" s="6"/>
      <c r="G271" s="6"/>
      <c r="H271" s="4"/>
      <c r="I271" s="69"/>
      <c r="J271" s="61"/>
      <c r="K271" s="68"/>
    </row>
    <row r="272" spans="1:19">
      <c r="A272" s="7"/>
      <c r="B272" s="66"/>
      <c r="C272" s="7"/>
      <c r="D272" s="6"/>
      <c r="E272" s="6"/>
      <c r="F272" s="6"/>
      <c r="G272" s="6"/>
      <c r="H272" s="4"/>
      <c r="I272" s="69"/>
      <c r="J272" s="61"/>
      <c r="K272" s="68"/>
    </row>
    <row r="273" spans="1:11">
      <c r="A273" s="7"/>
      <c r="B273" s="66"/>
      <c r="C273" s="7"/>
      <c r="D273" s="496" t="str">
        <f>D7</f>
        <v>ETEC on behalf of Jasper-Newton</v>
      </c>
      <c r="E273" s="496"/>
      <c r="F273" s="496"/>
      <c r="G273" s="496"/>
      <c r="H273" s="4"/>
      <c r="I273" s="69"/>
      <c r="J273" s="61"/>
      <c r="K273" s="68"/>
    </row>
    <row r="274" spans="1:11">
      <c r="B274" s="3" t="s">
        <v>137</v>
      </c>
      <c r="C274" s="7"/>
      <c r="D274" s="6"/>
      <c r="E274" s="6"/>
      <c r="F274" s="6"/>
      <c r="G274" s="6"/>
      <c r="H274" s="4"/>
      <c r="I274" s="6"/>
      <c r="J274" s="4"/>
      <c r="K274" s="6"/>
    </row>
    <row r="275" spans="1:11">
      <c r="A275" s="7"/>
      <c r="B275" s="77" t="s">
        <v>198</v>
      </c>
      <c r="C275" s="7"/>
      <c r="D275" s="6"/>
      <c r="E275" s="6"/>
      <c r="F275" s="6"/>
      <c r="G275" s="6"/>
      <c r="H275" s="4"/>
      <c r="I275" s="6"/>
      <c r="J275" s="4"/>
      <c r="K275" s="6"/>
    </row>
    <row r="276" spans="1:11">
      <c r="A276" s="7" t="s">
        <v>138</v>
      </c>
      <c r="B276" s="77" t="s">
        <v>199</v>
      </c>
      <c r="C276" s="7"/>
      <c r="D276" s="6"/>
      <c r="E276" s="6"/>
      <c r="F276" s="6"/>
      <c r="G276" s="6"/>
      <c r="H276" s="4"/>
      <c r="I276" s="6"/>
      <c r="J276" s="4"/>
      <c r="K276" s="6"/>
    </row>
    <row r="277" spans="1:11" ht="16.5" thickBot="1">
      <c r="A277" s="9" t="s">
        <v>139</v>
      </c>
      <c r="B277" s="77"/>
      <c r="C277" s="7"/>
      <c r="D277" s="6"/>
      <c r="E277" s="6"/>
      <c r="F277" s="6"/>
      <c r="G277" s="6"/>
      <c r="H277" s="4"/>
      <c r="I277" s="6"/>
      <c r="J277" s="4"/>
      <c r="K277" s="6"/>
    </row>
    <row r="278" spans="1:11" ht="32.25" customHeight="1">
      <c r="A278" s="80" t="s">
        <v>140</v>
      </c>
      <c r="B278" s="606" t="s">
        <v>249</v>
      </c>
      <c r="C278" s="606"/>
      <c r="D278" s="606"/>
      <c r="E278" s="606"/>
      <c r="F278" s="606"/>
      <c r="G278" s="606"/>
      <c r="H278" s="606"/>
      <c r="I278" s="606"/>
      <c r="J278" s="606"/>
      <c r="K278" s="606"/>
    </row>
    <row r="279" spans="1:11" ht="63" customHeight="1">
      <c r="A279" s="80" t="s">
        <v>141</v>
      </c>
      <c r="B279" s="606" t="s">
        <v>250</v>
      </c>
      <c r="C279" s="606"/>
      <c r="D279" s="606"/>
      <c r="E279" s="606"/>
      <c r="F279" s="606"/>
      <c r="G279" s="606"/>
      <c r="H279" s="606"/>
      <c r="I279" s="606"/>
      <c r="J279" s="606"/>
      <c r="K279" s="606"/>
    </row>
    <row r="280" spans="1:11">
      <c r="A280" s="80" t="s">
        <v>142</v>
      </c>
      <c r="B280" s="606" t="s">
        <v>251</v>
      </c>
      <c r="C280" s="606"/>
      <c r="D280" s="606"/>
      <c r="E280" s="606"/>
      <c r="F280" s="606"/>
      <c r="G280" s="606"/>
      <c r="H280" s="606"/>
      <c r="I280" s="606"/>
      <c r="J280" s="606"/>
      <c r="K280" s="606"/>
    </row>
    <row r="281" spans="1:11">
      <c r="A281" s="80" t="s">
        <v>143</v>
      </c>
      <c r="B281" s="606" t="s">
        <v>251</v>
      </c>
      <c r="C281" s="606"/>
      <c r="D281" s="606"/>
      <c r="E281" s="606"/>
      <c r="F281" s="606"/>
      <c r="G281" s="606"/>
      <c r="H281" s="606"/>
      <c r="I281" s="606"/>
      <c r="J281" s="606"/>
      <c r="K281" s="606"/>
    </row>
    <row r="282" spans="1:11">
      <c r="A282" s="80" t="s">
        <v>144</v>
      </c>
      <c r="B282" s="606" t="s">
        <v>279</v>
      </c>
      <c r="C282" s="606"/>
      <c r="D282" s="606"/>
      <c r="E282" s="606"/>
      <c r="F282" s="606"/>
      <c r="G282" s="606"/>
      <c r="H282" s="606"/>
      <c r="I282" s="606"/>
      <c r="J282" s="606"/>
      <c r="K282" s="606"/>
    </row>
    <row r="283" spans="1:11" ht="48" customHeight="1">
      <c r="A283" s="80" t="s">
        <v>145</v>
      </c>
      <c r="B283" s="604" t="s">
        <v>777</v>
      </c>
      <c r="C283" s="604"/>
      <c r="D283" s="604"/>
      <c r="E283" s="604"/>
      <c r="F283" s="604"/>
      <c r="G283" s="604"/>
      <c r="H283" s="604"/>
      <c r="I283" s="604"/>
      <c r="J283" s="604"/>
      <c r="K283" s="604"/>
    </row>
    <row r="284" spans="1:11">
      <c r="A284" s="80" t="s">
        <v>146</v>
      </c>
      <c r="B284" s="604" t="s">
        <v>176</v>
      </c>
      <c r="C284" s="604"/>
      <c r="D284" s="604"/>
      <c r="E284" s="604"/>
      <c r="F284" s="604"/>
      <c r="G284" s="604"/>
      <c r="H284" s="604"/>
      <c r="I284" s="604"/>
      <c r="J284" s="604"/>
      <c r="K284" s="604"/>
    </row>
    <row r="285" spans="1:11" ht="32.25" customHeight="1">
      <c r="A285" s="80" t="s">
        <v>147</v>
      </c>
      <c r="B285" s="604" t="s">
        <v>272</v>
      </c>
      <c r="C285" s="604"/>
      <c r="D285" s="604"/>
      <c r="E285" s="604"/>
      <c r="F285" s="604"/>
      <c r="G285" s="604"/>
      <c r="H285" s="604"/>
      <c r="I285" s="604"/>
      <c r="J285" s="604"/>
      <c r="K285" s="604"/>
    </row>
    <row r="286" spans="1:11" ht="32.25" customHeight="1">
      <c r="A286" s="80" t="s">
        <v>148</v>
      </c>
      <c r="B286" s="606" t="s">
        <v>240</v>
      </c>
      <c r="C286" s="606"/>
      <c r="D286" s="606"/>
      <c r="E286" s="606"/>
      <c r="F286" s="606"/>
      <c r="G286" s="606"/>
      <c r="H286" s="606"/>
      <c r="I286" s="606"/>
      <c r="J286" s="606"/>
      <c r="K286" s="606"/>
    </row>
    <row r="287" spans="1:11" ht="32.25" customHeight="1">
      <c r="A287" s="80" t="s">
        <v>149</v>
      </c>
      <c r="B287" s="604" t="s">
        <v>241</v>
      </c>
      <c r="C287" s="604"/>
      <c r="D287" s="604"/>
      <c r="E287" s="604"/>
      <c r="F287" s="604"/>
      <c r="G287" s="604"/>
      <c r="H287" s="604"/>
      <c r="I287" s="604"/>
      <c r="J287" s="604"/>
      <c r="K287" s="604"/>
    </row>
    <row r="288" spans="1:11" ht="78" customHeight="1">
      <c r="A288" s="80" t="s">
        <v>150</v>
      </c>
      <c r="B288" s="604" t="s">
        <v>749</v>
      </c>
      <c r="C288" s="604"/>
      <c r="D288" s="604"/>
      <c r="E288" s="604"/>
      <c r="F288" s="604"/>
      <c r="G288" s="604"/>
      <c r="H288" s="604"/>
      <c r="I288" s="604"/>
      <c r="J288" s="604"/>
      <c r="K288" s="604"/>
    </row>
    <row r="289" spans="1:11">
      <c r="A289" s="80" t="s">
        <v>0</v>
      </c>
      <c r="B289" s="81" t="s">
        <v>239</v>
      </c>
      <c r="C289" s="520" t="s">
        <v>151</v>
      </c>
      <c r="D289" s="548">
        <v>0</v>
      </c>
      <c r="E289" s="520"/>
      <c r="F289" s="480"/>
      <c r="G289" s="480"/>
      <c r="H289" s="520"/>
      <c r="I289" s="480"/>
      <c r="J289" s="520"/>
      <c r="K289" s="520"/>
    </row>
    <row r="290" spans="1:11">
      <c r="A290" s="80"/>
      <c r="B290" s="520"/>
      <c r="C290" s="520" t="s">
        <v>152</v>
      </c>
      <c r="D290" s="548">
        <v>0</v>
      </c>
      <c r="E290" s="604" t="s">
        <v>153</v>
      </c>
      <c r="F290" s="604"/>
      <c r="G290" s="604"/>
      <c r="H290" s="604"/>
      <c r="I290" s="604"/>
      <c r="J290" s="604"/>
      <c r="K290" s="604"/>
    </row>
    <row r="291" spans="1:11">
      <c r="A291" s="80"/>
      <c r="B291" s="520"/>
      <c r="C291" s="520" t="s">
        <v>154</v>
      </c>
      <c r="D291" s="548">
        <v>0</v>
      </c>
      <c r="E291" s="604" t="s">
        <v>155</v>
      </c>
      <c r="F291" s="604"/>
      <c r="G291" s="604"/>
      <c r="H291" s="604"/>
      <c r="I291" s="604"/>
      <c r="J291" s="604"/>
      <c r="K291" s="604"/>
    </row>
    <row r="292" spans="1:11">
      <c r="A292" s="80" t="s">
        <v>156</v>
      </c>
      <c r="B292" s="604" t="s">
        <v>177</v>
      </c>
      <c r="C292" s="604"/>
      <c r="D292" s="604"/>
      <c r="E292" s="604"/>
      <c r="F292" s="604"/>
      <c r="G292" s="604"/>
      <c r="H292" s="604"/>
      <c r="I292" s="604"/>
      <c r="J292" s="604"/>
      <c r="K292" s="604"/>
    </row>
    <row r="293" spans="1:11" ht="32.25" customHeight="1">
      <c r="A293" s="80" t="s">
        <v>157</v>
      </c>
      <c r="B293" s="604" t="s">
        <v>242</v>
      </c>
      <c r="C293" s="604"/>
      <c r="D293" s="604"/>
      <c r="E293" s="604"/>
      <c r="F293" s="604"/>
      <c r="G293" s="604"/>
      <c r="H293" s="604"/>
      <c r="I293" s="604"/>
      <c r="J293" s="604"/>
      <c r="K293" s="604"/>
    </row>
    <row r="294" spans="1:11" ht="48" customHeight="1">
      <c r="A294" s="80" t="s">
        <v>158</v>
      </c>
      <c r="B294" s="604" t="s">
        <v>750</v>
      </c>
      <c r="C294" s="604"/>
      <c r="D294" s="604"/>
      <c r="E294" s="604"/>
      <c r="F294" s="604"/>
      <c r="G294" s="604"/>
      <c r="H294" s="604"/>
      <c r="I294" s="604"/>
      <c r="J294" s="604"/>
      <c r="K294" s="604"/>
    </row>
    <row r="295" spans="1:11">
      <c r="A295" s="80" t="s">
        <v>159</v>
      </c>
      <c r="B295" s="604" t="s">
        <v>178</v>
      </c>
      <c r="C295" s="604"/>
      <c r="D295" s="604"/>
      <c r="E295" s="604"/>
      <c r="F295" s="604"/>
      <c r="G295" s="604"/>
      <c r="H295" s="604"/>
      <c r="I295" s="604"/>
      <c r="J295" s="604"/>
      <c r="K295" s="604"/>
    </row>
    <row r="296" spans="1:11" ht="189.75" customHeight="1">
      <c r="A296" s="80" t="s">
        <v>160</v>
      </c>
      <c r="B296" s="605" t="s">
        <v>786</v>
      </c>
      <c r="C296" s="604"/>
      <c r="D296" s="604"/>
      <c r="E296" s="604"/>
      <c r="F296" s="604"/>
      <c r="G296" s="604"/>
      <c r="H296" s="604"/>
      <c r="I296" s="604"/>
      <c r="J296" s="604"/>
      <c r="K296" s="604"/>
    </row>
    <row r="297" spans="1:11" ht="32.25" customHeight="1">
      <c r="A297" s="80" t="s">
        <v>161</v>
      </c>
      <c r="B297" s="604" t="s">
        <v>243</v>
      </c>
      <c r="C297" s="604"/>
      <c r="D297" s="604"/>
      <c r="E297" s="604"/>
      <c r="F297" s="604"/>
      <c r="G297" s="604"/>
      <c r="H297" s="604"/>
      <c r="I297" s="604"/>
      <c r="J297" s="604"/>
      <c r="K297" s="604"/>
    </row>
    <row r="298" spans="1:11">
      <c r="A298" s="80" t="s">
        <v>162</v>
      </c>
      <c r="B298" s="604" t="s">
        <v>163</v>
      </c>
      <c r="C298" s="604"/>
      <c r="D298" s="604"/>
      <c r="E298" s="604"/>
      <c r="F298" s="604"/>
      <c r="G298" s="604"/>
      <c r="H298" s="604"/>
      <c r="I298" s="604"/>
      <c r="J298" s="604"/>
      <c r="K298" s="604"/>
    </row>
    <row r="299" spans="1:11" ht="48" customHeight="1">
      <c r="A299" s="80" t="s">
        <v>179</v>
      </c>
      <c r="B299" s="604" t="s">
        <v>280</v>
      </c>
      <c r="C299" s="604"/>
      <c r="D299" s="604"/>
      <c r="E299" s="604"/>
      <c r="F299" s="604"/>
      <c r="G299" s="604"/>
      <c r="H299" s="604"/>
      <c r="I299" s="604"/>
      <c r="J299" s="604"/>
      <c r="K299" s="604"/>
    </row>
    <row r="300" spans="1:11" ht="63.75" customHeight="1">
      <c r="A300" s="82" t="s">
        <v>180</v>
      </c>
      <c r="B300" s="603" t="s">
        <v>281</v>
      </c>
      <c r="C300" s="603"/>
      <c r="D300" s="603"/>
      <c r="E300" s="603"/>
      <c r="F300" s="603"/>
      <c r="G300" s="603"/>
      <c r="H300" s="603"/>
      <c r="I300" s="603"/>
      <c r="J300" s="603"/>
      <c r="K300" s="603"/>
    </row>
    <row r="301" spans="1:11">
      <c r="A301" s="82" t="s">
        <v>189</v>
      </c>
      <c r="B301" s="603" t="s">
        <v>751</v>
      </c>
      <c r="C301" s="603"/>
      <c r="D301" s="603"/>
      <c r="E301" s="603"/>
      <c r="F301" s="603"/>
      <c r="G301" s="603"/>
      <c r="H301" s="603"/>
      <c r="I301" s="603"/>
      <c r="J301" s="603"/>
      <c r="K301" s="603"/>
    </row>
    <row r="302" spans="1:11" ht="32.25" customHeight="1">
      <c r="A302" s="82" t="s">
        <v>190</v>
      </c>
      <c r="B302" s="603" t="s">
        <v>752</v>
      </c>
      <c r="C302" s="603"/>
      <c r="D302" s="603"/>
      <c r="E302" s="603"/>
      <c r="F302" s="603"/>
      <c r="G302" s="603"/>
      <c r="H302" s="603"/>
      <c r="I302" s="603"/>
      <c r="J302" s="603"/>
      <c r="K302" s="603"/>
    </row>
    <row r="303" spans="1:11" s="60" customFormat="1">
      <c r="A303" s="82" t="s">
        <v>258</v>
      </c>
      <c r="B303" s="603" t="s">
        <v>723</v>
      </c>
      <c r="C303" s="603"/>
      <c r="D303" s="603"/>
      <c r="E303" s="603"/>
      <c r="F303" s="603"/>
      <c r="G303" s="603"/>
      <c r="H303" s="603"/>
      <c r="I303" s="603"/>
      <c r="J303" s="603"/>
      <c r="K303" s="603"/>
    </row>
    <row r="304" spans="1:11" s="60" customFormat="1" ht="33.75" customHeight="1">
      <c r="A304" s="82" t="s">
        <v>259</v>
      </c>
      <c r="B304" s="603" t="s">
        <v>724</v>
      </c>
      <c r="C304" s="603"/>
      <c r="D304" s="603"/>
      <c r="E304" s="603"/>
      <c r="F304" s="603"/>
      <c r="G304" s="603"/>
      <c r="H304" s="603"/>
      <c r="I304" s="603"/>
      <c r="J304" s="603"/>
      <c r="K304" s="603"/>
    </row>
    <row r="305" spans="1:11" s="60" customFormat="1">
      <c r="A305" s="89" t="s">
        <v>273</v>
      </c>
      <c r="B305" s="90" t="s">
        <v>274</v>
      </c>
      <c r="C305" s="87"/>
      <c r="D305" s="481"/>
      <c r="E305" s="87"/>
      <c r="F305" s="92"/>
      <c r="G305" s="92"/>
      <c r="H305" s="92"/>
      <c r="I305" s="85"/>
      <c r="J305" s="92"/>
      <c r="K305" s="85"/>
    </row>
    <row r="306" spans="1:11" s="60" customFormat="1">
      <c r="A306" s="89" t="s">
        <v>276</v>
      </c>
      <c r="B306" s="91" t="s">
        <v>275</v>
      </c>
      <c r="C306" s="74"/>
      <c r="D306" s="75"/>
      <c r="E306" s="74"/>
      <c r="F306" s="59"/>
      <c r="G306" s="59"/>
      <c r="H306" s="59"/>
      <c r="I306" s="73"/>
      <c r="J306" s="59"/>
      <c r="K306" s="73"/>
    </row>
    <row r="307" spans="1:11">
      <c r="A307" s="514" t="s">
        <v>769</v>
      </c>
      <c r="B307" s="87" t="s">
        <v>770</v>
      </c>
      <c r="C307" s="4"/>
      <c r="D307" s="4"/>
      <c r="E307" s="4"/>
      <c r="F307" s="4"/>
      <c r="G307" s="4"/>
      <c r="H307" s="4"/>
      <c r="I307" s="4"/>
      <c r="J307" s="4"/>
      <c r="K307" s="4"/>
    </row>
    <row r="308" spans="1:11">
      <c r="A308" s="514"/>
      <c r="B308" s="87" t="s">
        <v>771</v>
      </c>
      <c r="C308" s="4"/>
      <c r="D308" s="4"/>
      <c r="E308" s="4"/>
      <c r="F308" s="4"/>
      <c r="G308" s="4"/>
      <c r="H308" s="4"/>
      <c r="I308" s="4"/>
      <c r="J308" s="4"/>
      <c r="K308" s="4"/>
    </row>
    <row r="309" spans="1:11">
      <c r="A309" s="514" t="s">
        <v>772</v>
      </c>
      <c r="B309" s="87" t="s">
        <v>773</v>
      </c>
      <c r="C309" s="4"/>
      <c r="D309" s="4"/>
      <c r="E309" s="4"/>
      <c r="F309" s="4"/>
      <c r="G309" s="4"/>
      <c r="H309" s="4"/>
      <c r="I309" s="4"/>
      <c r="J309" s="4"/>
      <c r="K309" s="4"/>
    </row>
    <row r="310" spans="1:11">
      <c r="A310" s="514"/>
      <c r="B310" s="87" t="s">
        <v>774</v>
      </c>
      <c r="C310" s="4"/>
      <c r="D310" s="4"/>
      <c r="E310" s="4"/>
      <c r="F310" s="4"/>
      <c r="G310" s="4"/>
      <c r="H310" s="4"/>
      <c r="I310" s="4"/>
      <c r="J310" s="4"/>
      <c r="K310" s="4"/>
    </row>
    <row r="311" spans="1:11">
      <c r="A311" s="7"/>
      <c r="B311" s="4"/>
      <c r="C311" s="4"/>
      <c r="D311" s="4"/>
      <c r="E311" s="4"/>
      <c r="F311" s="4"/>
      <c r="G311" s="4"/>
      <c r="H311" s="4"/>
      <c r="I311" s="4"/>
      <c r="J311" s="4"/>
      <c r="K311" s="4"/>
    </row>
    <row r="312" spans="1:11">
      <c r="A312" s="7"/>
      <c r="B312" s="4"/>
      <c r="C312" s="4"/>
      <c r="D312" s="4"/>
      <c r="E312" s="4"/>
      <c r="F312" s="4"/>
      <c r="G312" s="4"/>
      <c r="H312" s="4"/>
      <c r="I312" s="4"/>
      <c r="J312" s="4"/>
      <c r="K312" s="4"/>
    </row>
    <row r="313" spans="1:11">
      <c r="A313" s="7"/>
      <c r="B313" s="4"/>
      <c r="C313" s="4"/>
      <c r="D313" s="4"/>
      <c r="E313" s="4"/>
      <c r="F313" s="4"/>
      <c r="G313" s="4"/>
      <c r="H313" s="4"/>
      <c r="I313" s="4"/>
      <c r="J313" s="4"/>
      <c r="K313" s="4"/>
    </row>
    <row r="314" spans="1:11">
      <c r="A314" s="7"/>
      <c r="B314" s="4"/>
      <c r="C314" s="4"/>
      <c r="D314" s="4"/>
      <c r="E314" s="4"/>
      <c r="F314" s="4"/>
      <c r="G314" s="4"/>
      <c r="H314" s="4"/>
      <c r="I314" s="4"/>
      <c r="J314" s="4"/>
      <c r="K314" s="4"/>
    </row>
    <row r="315" spans="1:11">
      <c r="A315" s="7"/>
      <c r="B315" s="4"/>
      <c r="C315" s="4"/>
      <c r="D315" s="4"/>
      <c r="E315" s="4"/>
      <c r="F315" s="4"/>
      <c r="G315" s="4"/>
      <c r="H315" s="4"/>
      <c r="I315" s="4"/>
      <c r="J315" s="4"/>
      <c r="K315" s="4"/>
    </row>
    <row r="316" spans="1:11">
      <c r="A316" s="7"/>
      <c r="B316" s="4"/>
      <c r="C316" s="4"/>
      <c r="D316" s="4"/>
      <c r="E316" s="4"/>
      <c r="F316" s="4"/>
      <c r="G316" s="4"/>
      <c r="H316" s="4"/>
      <c r="I316" s="4"/>
      <c r="J316" s="4"/>
      <c r="K316" s="4"/>
    </row>
    <row r="317" spans="1:11">
      <c r="A317" s="7"/>
      <c r="B317" s="4"/>
      <c r="C317" s="4"/>
      <c r="D317" s="4"/>
      <c r="E317" s="4"/>
      <c r="F317" s="4"/>
      <c r="G317" s="4"/>
      <c r="H317" s="4"/>
      <c r="I317" s="4"/>
      <c r="J317" s="4"/>
      <c r="K317" s="4"/>
    </row>
    <row r="318" spans="1:11">
      <c r="A318" s="7"/>
      <c r="B318" s="4"/>
      <c r="C318" s="4"/>
      <c r="D318" s="4"/>
      <c r="E318" s="4"/>
      <c r="F318" s="4"/>
      <c r="G318" s="4"/>
      <c r="H318" s="4"/>
      <c r="I318" s="4"/>
      <c r="J318" s="4"/>
      <c r="K318" s="4"/>
    </row>
    <row r="319" spans="1:11">
      <c r="A319" s="7"/>
      <c r="B319" s="4"/>
      <c r="C319" s="4"/>
      <c r="D319" s="4"/>
      <c r="E319" s="4"/>
      <c r="F319" s="4"/>
      <c r="G319" s="4"/>
      <c r="H319" s="4"/>
      <c r="I319" s="4"/>
      <c r="J319" s="4"/>
      <c r="K319" s="4"/>
    </row>
    <row r="320" spans="1:11">
      <c r="A320" s="7"/>
      <c r="B320" s="4"/>
      <c r="C320" s="4"/>
      <c r="D320" s="4"/>
      <c r="E320" s="4"/>
      <c r="F320" s="4"/>
      <c r="G320" s="4"/>
      <c r="H320" s="4"/>
      <c r="I320" s="4"/>
      <c r="J320" s="4"/>
      <c r="K320" s="4"/>
    </row>
    <row r="321" spans="1:11">
      <c r="A321" s="7"/>
      <c r="B321" s="4"/>
      <c r="C321" s="4"/>
      <c r="D321" s="4"/>
      <c r="E321" s="4"/>
      <c r="F321" s="4"/>
      <c r="G321" s="4"/>
      <c r="H321" s="4"/>
      <c r="I321" s="4"/>
      <c r="J321" s="4"/>
      <c r="K321" s="4"/>
    </row>
    <row r="322" spans="1:11">
      <c r="A322" s="7"/>
      <c r="B322" s="4"/>
      <c r="C322" s="4"/>
      <c r="D322" s="4"/>
      <c r="E322" s="4"/>
      <c r="F322" s="4"/>
      <c r="G322" s="4"/>
      <c r="H322" s="4"/>
      <c r="I322" s="4"/>
      <c r="J322" s="4"/>
      <c r="K322" s="4"/>
    </row>
    <row r="323" spans="1:11">
      <c r="A323" s="7"/>
      <c r="B323" s="4"/>
      <c r="C323" s="4"/>
      <c r="D323" s="4"/>
      <c r="E323" s="4"/>
      <c r="F323" s="4"/>
      <c r="G323" s="4"/>
      <c r="H323" s="4"/>
      <c r="I323" s="4"/>
      <c r="J323" s="4"/>
      <c r="K323" s="4"/>
    </row>
    <row r="324" spans="1:11">
      <c r="A324" s="7"/>
      <c r="B324" s="4"/>
      <c r="C324" s="4"/>
      <c r="D324" s="4"/>
      <c r="E324" s="4"/>
      <c r="F324" s="4"/>
      <c r="G324" s="4"/>
      <c r="H324" s="4"/>
      <c r="I324" s="4"/>
      <c r="J324" s="4"/>
      <c r="K324" s="4"/>
    </row>
    <row r="325" spans="1:11">
      <c r="A325" s="7"/>
      <c r="B325" s="4"/>
      <c r="C325" s="4"/>
      <c r="D325" s="4"/>
      <c r="E325" s="4"/>
      <c r="F325" s="4"/>
      <c r="G325" s="4"/>
      <c r="H325" s="4"/>
      <c r="I325" s="4"/>
      <c r="J325" s="4"/>
      <c r="K325" s="4"/>
    </row>
    <row r="326" spans="1:11">
      <c r="A326" s="7"/>
      <c r="B326" s="4"/>
      <c r="C326" s="4"/>
      <c r="D326" s="4"/>
      <c r="E326" s="4"/>
      <c r="F326" s="4"/>
      <c r="G326" s="4"/>
      <c r="H326" s="4"/>
      <c r="I326" s="4"/>
      <c r="J326" s="4"/>
      <c r="K326" s="4"/>
    </row>
    <row r="327" spans="1:11">
      <c r="A327" s="7"/>
      <c r="B327" s="4"/>
      <c r="C327" s="4"/>
      <c r="D327" s="4"/>
      <c r="E327" s="4"/>
      <c r="F327" s="4"/>
      <c r="G327" s="4"/>
      <c r="H327" s="4"/>
      <c r="I327" s="4"/>
      <c r="J327" s="4"/>
      <c r="K327" s="4"/>
    </row>
    <row r="328" spans="1:11">
      <c r="A328" s="7"/>
      <c r="B328" s="4"/>
      <c r="C328" s="4"/>
      <c r="D328" s="4"/>
      <c r="E328" s="4"/>
      <c r="F328" s="4"/>
      <c r="G328" s="4"/>
      <c r="H328" s="4"/>
      <c r="I328" s="4"/>
      <c r="J328" s="4"/>
      <c r="K328" s="4"/>
    </row>
    <row r="329" spans="1:11">
      <c r="B329" s="5"/>
      <c r="C329" s="5"/>
      <c r="D329" s="5"/>
      <c r="E329" s="5"/>
      <c r="F329" s="5"/>
      <c r="G329" s="5"/>
      <c r="H329" s="5"/>
      <c r="I329" s="5"/>
      <c r="J329" s="5"/>
      <c r="K329" s="5"/>
    </row>
    <row r="330" spans="1:11">
      <c r="B330" s="5"/>
      <c r="C330" s="5"/>
      <c r="D330" s="5"/>
      <c r="E330" s="5"/>
      <c r="F330" s="5"/>
      <c r="G330" s="5"/>
      <c r="H330" s="5"/>
      <c r="I330" s="5"/>
      <c r="J330" s="5"/>
      <c r="K330" s="5"/>
    </row>
    <row r="331" spans="1:11">
      <c r="B331" s="5"/>
      <c r="C331" s="5"/>
      <c r="D331" s="5"/>
      <c r="E331" s="5"/>
      <c r="F331" s="5"/>
      <c r="G331" s="5"/>
      <c r="H331" s="5"/>
      <c r="I331" s="5"/>
      <c r="J331" s="5"/>
      <c r="K331" s="5"/>
    </row>
    <row r="332" spans="1:11">
      <c r="B332" s="5"/>
      <c r="C332" s="5"/>
      <c r="D332" s="5"/>
      <c r="E332" s="5"/>
      <c r="F332" s="5"/>
      <c r="G332" s="5"/>
      <c r="H332" s="5"/>
      <c r="I332" s="5"/>
      <c r="J332" s="5"/>
      <c r="K332" s="5"/>
    </row>
    <row r="333" spans="1:11">
      <c r="B333" s="5"/>
      <c r="C333" s="5"/>
      <c r="D333" s="5"/>
      <c r="E333" s="5"/>
      <c r="F333" s="5"/>
      <c r="G333" s="5"/>
      <c r="H333" s="5"/>
      <c r="I333" s="5"/>
      <c r="J333" s="5"/>
      <c r="K333" s="5"/>
    </row>
    <row r="334" spans="1:11">
      <c r="B334" s="5"/>
      <c r="C334" s="5"/>
      <c r="D334" s="5"/>
      <c r="E334" s="5"/>
      <c r="F334" s="5"/>
      <c r="G334" s="5"/>
      <c r="H334" s="5"/>
      <c r="I334" s="5"/>
      <c r="J334" s="5"/>
      <c r="K334" s="5"/>
    </row>
    <row r="335" spans="1:11">
      <c r="B335" s="5"/>
      <c r="C335" s="5"/>
      <c r="D335" s="5"/>
      <c r="E335" s="5"/>
      <c r="F335" s="5"/>
      <c r="G335" s="5"/>
      <c r="H335" s="5"/>
      <c r="I335" s="5"/>
      <c r="J335" s="5"/>
      <c r="K335" s="5"/>
    </row>
    <row r="336" spans="1:11">
      <c r="B336" s="5"/>
      <c r="C336" s="5"/>
      <c r="D336" s="5"/>
      <c r="E336" s="5"/>
      <c r="F336" s="5"/>
      <c r="G336" s="5"/>
      <c r="H336" s="5"/>
      <c r="I336" s="5"/>
      <c r="J336" s="5"/>
      <c r="K336" s="5"/>
    </row>
    <row r="337" spans="2:11">
      <c r="B337" s="5"/>
      <c r="C337" s="5"/>
      <c r="D337" s="5"/>
      <c r="E337" s="5"/>
      <c r="F337" s="5"/>
      <c r="G337" s="5"/>
      <c r="H337" s="5"/>
      <c r="I337" s="5"/>
      <c r="J337" s="5"/>
      <c r="K337" s="5"/>
    </row>
  </sheetData>
  <protectedRanges>
    <protectedRange sqref="R249:R250" name="Range1_1"/>
    <protectedRange sqref="I248" name="Range1_1_1"/>
  </protectedRanges>
  <mergeCells count="34">
    <mergeCell ref="B281:K281"/>
    <mergeCell ref="J2:K2"/>
    <mergeCell ref="J71:K71"/>
    <mergeCell ref="J133:K133"/>
    <mergeCell ref="B190:C190"/>
    <mergeCell ref="B195:C195"/>
    <mergeCell ref="J200:K200"/>
    <mergeCell ref="N216:S216"/>
    <mergeCell ref="J269:K269"/>
    <mergeCell ref="B278:K278"/>
    <mergeCell ref="B279:K279"/>
    <mergeCell ref="B280:K280"/>
    <mergeCell ref="B294:K294"/>
    <mergeCell ref="B282:K282"/>
    <mergeCell ref="B283:K283"/>
    <mergeCell ref="B284:K284"/>
    <mergeCell ref="B285:K285"/>
    <mergeCell ref="B286:K286"/>
    <mergeCell ref="B287:K287"/>
    <mergeCell ref="B288:K288"/>
    <mergeCell ref="E290:K290"/>
    <mergeCell ref="E291:K291"/>
    <mergeCell ref="B292:K292"/>
    <mergeCell ref="B293:K293"/>
    <mergeCell ref="B301:K301"/>
    <mergeCell ref="B302:K302"/>
    <mergeCell ref="B303:K303"/>
    <mergeCell ref="B304:K304"/>
    <mergeCell ref="B295:K295"/>
    <mergeCell ref="B296:K296"/>
    <mergeCell ref="B297:K297"/>
    <mergeCell ref="B298:K298"/>
    <mergeCell ref="B299:K299"/>
    <mergeCell ref="B300:K300"/>
  </mergeCells>
  <pageMargins left="0.5" right="0.25" top="0.75" bottom="0.75" header="0.5" footer="0.5"/>
  <pageSetup scale="55" fitToHeight="5" orientation="portrait" r:id="rId1"/>
  <headerFooter alignWithMargins="0">
    <oddFooter>&amp;RV35
PENDING EFF 06.01.15</oddFooter>
  </headerFooter>
  <rowBreaks count="5" manualBreakCount="5">
    <brk id="69" max="10" man="1"/>
    <brk id="131" max="10" man="1"/>
    <brk id="198" max="10" man="1"/>
    <brk id="267" max="10" man="1"/>
    <brk id="310" max="1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5"/>
  <sheetViews>
    <sheetView zoomScaleNormal="100" workbookViewId="0">
      <selection sqref="A1:B2"/>
    </sheetView>
  </sheetViews>
  <sheetFormatPr defaultRowHeight="15"/>
  <cols>
    <col min="1" max="1" width="4.5546875" customWidth="1"/>
    <col min="2" max="2" width="40.77734375" bestFit="1" customWidth="1"/>
    <col min="3" max="3" width="9.21875" bestFit="1" customWidth="1"/>
    <col min="4" max="4" width="11.109375" customWidth="1"/>
    <col min="5" max="5" width="13" customWidth="1"/>
    <col min="6" max="6" width="12" customWidth="1"/>
    <col min="7" max="7" width="13.44140625" bestFit="1" customWidth="1"/>
    <col min="13" max="15" width="10.88671875" bestFit="1" customWidth="1"/>
    <col min="16" max="16" width="9.88671875" bestFit="1" customWidth="1"/>
  </cols>
  <sheetData>
    <row r="1" spans="1:12" ht="52.5" customHeight="1">
      <c r="A1" s="624" t="s">
        <v>282</v>
      </c>
      <c r="B1" s="624"/>
      <c r="C1" s="622" t="s">
        <v>680</v>
      </c>
      <c r="D1" s="623"/>
      <c r="E1" s="623"/>
      <c r="F1" s="623"/>
      <c r="G1" s="93"/>
    </row>
    <row r="2" spans="1:12" ht="51" customHeight="1">
      <c r="A2" s="624"/>
      <c r="B2" s="624"/>
      <c r="C2" s="622" t="s">
        <v>816</v>
      </c>
      <c r="D2" s="623"/>
      <c r="E2" s="623"/>
      <c r="F2" s="623"/>
      <c r="G2" s="93"/>
    </row>
    <row r="3" spans="1:12">
      <c r="A3" s="623" t="s">
        <v>283</v>
      </c>
      <c r="B3" s="623"/>
      <c r="C3" s="623"/>
      <c r="D3" s="623"/>
      <c r="E3" s="623"/>
      <c r="F3" s="623"/>
      <c r="G3" s="93"/>
    </row>
    <row r="4" spans="1:12">
      <c r="A4" s="619" t="s">
        <v>629</v>
      </c>
      <c r="B4" s="620"/>
      <c r="C4" s="620"/>
      <c r="D4" s="620"/>
      <c r="E4" s="620"/>
      <c r="F4" s="621"/>
      <c r="G4" s="93"/>
    </row>
    <row r="5" spans="1:12" ht="16.5" customHeight="1">
      <c r="A5" s="612" t="s">
        <v>284</v>
      </c>
      <c r="B5" s="613"/>
      <c r="C5" s="616" t="s">
        <v>285</v>
      </c>
      <c r="D5" s="617"/>
      <c r="E5" s="618"/>
      <c r="F5" s="391"/>
      <c r="G5" s="93"/>
    </row>
    <row r="6" spans="1:12" ht="29.25" customHeight="1">
      <c r="A6" s="614"/>
      <c r="B6" s="615"/>
      <c r="C6" s="111" t="s">
        <v>286</v>
      </c>
      <c r="D6" s="111" t="s">
        <v>287</v>
      </c>
      <c r="E6" s="112" t="s">
        <v>288</v>
      </c>
      <c r="F6" s="392" t="s">
        <v>289</v>
      </c>
      <c r="G6" s="93"/>
    </row>
    <row r="7" spans="1:12">
      <c r="A7" s="200">
        <v>1</v>
      </c>
      <c r="B7" s="113" t="s">
        <v>290</v>
      </c>
      <c r="C7" s="114"/>
      <c r="D7" s="203"/>
      <c r="E7" s="115"/>
      <c r="F7" s="118"/>
      <c r="G7" s="93"/>
    </row>
    <row r="8" spans="1:12">
      <c r="A8" s="200">
        <v>2</v>
      </c>
      <c r="B8" s="113" t="s">
        <v>291</v>
      </c>
      <c r="C8" s="114"/>
      <c r="D8" s="204"/>
      <c r="E8" s="115"/>
      <c r="F8" s="118"/>
      <c r="G8" s="93"/>
    </row>
    <row r="9" spans="1:12">
      <c r="A9" s="200">
        <v>3</v>
      </c>
      <c r="B9" s="113" t="s">
        <v>292</v>
      </c>
      <c r="C9" s="114"/>
      <c r="D9" s="205"/>
      <c r="E9" s="113"/>
      <c r="F9" s="118"/>
      <c r="G9" s="93"/>
    </row>
    <row r="10" spans="1:12">
      <c r="A10" s="201">
        <v>4</v>
      </c>
      <c r="B10" s="116" t="s">
        <v>293</v>
      </c>
      <c r="C10" s="368"/>
      <c r="D10" s="368">
        <v>47245789</v>
      </c>
      <c r="E10" s="368"/>
      <c r="F10" s="190"/>
      <c r="G10" s="93"/>
    </row>
    <row r="11" spans="1:12">
      <c r="A11" s="200">
        <v>5</v>
      </c>
      <c r="B11" s="113" t="s">
        <v>294</v>
      </c>
      <c r="C11" s="189"/>
      <c r="D11" s="189">
        <v>29427493</v>
      </c>
      <c r="E11" s="416"/>
      <c r="F11" s="189"/>
      <c r="G11" s="426"/>
      <c r="H11" s="318"/>
      <c r="I11" s="318"/>
      <c r="J11" s="318"/>
      <c r="K11" s="318"/>
    </row>
    <row r="12" spans="1:12">
      <c r="A12" s="200">
        <v>6</v>
      </c>
      <c r="B12" s="113" t="s">
        <v>295</v>
      </c>
      <c r="C12" s="206"/>
      <c r="D12" s="206">
        <v>0</v>
      </c>
      <c r="E12" s="206"/>
      <c r="F12" s="189"/>
      <c r="G12" s="94"/>
      <c r="H12" s="318"/>
      <c r="I12" s="318"/>
      <c r="J12" s="318"/>
      <c r="K12" s="318"/>
    </row>
    <row r="13" spans="1:12">
      <c r="A13" s="200">
        <v>7</v>
      </c>
      <c r="B13" s="113" t="s">
        <v>296</v>
      </c>
      <c r="C13" s="206"/>
      <c r="D13" s="206">
        <v>0</v>
      </c>
      <c r="E13" s="206"/>
      <c r="F13" s="189"/>
      <c r="G13" s="318"/>
      <c r="H13" s="318"/>
      <c r="I13" s="318"/>
      <c r="J13" s="318"/>
      <c r="K13" s="318"/>
    </row>
    <row r="14" spans="1:12">
      <c r="A14" s="200">
        <v>8</v>
      </c>
      <c r="B14" s="113" t="s">
        <v>297</v>
      </c>
      <c r="C14" s="189"/>
      <c r="D14" s="189">
        <f>'5 - 12i.A Expenses and Costs'!D16+'5 - 12i.A Expenses and Costs'!E16</f>
        <v>90030.51</v>
      </c>
      <c r="E14" s="416"/>
      <c r="F14" s="189"/>
      <c r="G14" s="318"/>
      <c r="H14" s="318"/>
      <c r="I14" s="318"/>
      <c r="J14" s="318"/>
      <c r="K14" s="318"/>
      <c r="L14" s="318"/>
    </row>
    <row r="15" spans="1:12">
      <c r="A15" s="200">
        <v>9</v>
      </c>
      <c r="B15" s="113" t="s">
        <v>298</v>
      </c>
      <c r="C15" s="206"/>
      <c r="D15" s="206">
        <v>0</v>
      </c>
      <c r="E15" s="206"/>
      <c r="F15" s="189"/>
      <c r="G15" s="318"/>
      <c r="H15" s="318"/>
      <c r="I15" s="318"/>
      <c r="J15" s="318"/>
      <c r="K15" s="318"/>
    </row>
    <row r="16" spans="1:12">
      <c r="A16" s="200">
        <v>10</v>
      </c>
      <c r="B16" s="113" t="s">
        <v>299</v>
      </c>
      <c r="C16" s="206"/>
      <c r="D16" s="206">
        <v>2015410</v>
      </c>
      <c r="E16" s="206"/>
      <c r="F16" s="189"/>
      <c r="G16" s="318"/>
      <c r="H16" s="318"/>
      <c r="I16" s="318"/>
      <c r="J16" s="318"/>
      <c r="K16" s="318"/>
    </row>
    <row r="17" spans="1:12">
      <c r="A17" s="200">
        <v>11</v>
      </c>
      <c r="B17" s="113" t="s">
        <v>300</v>
      </c>
      <c r="C17" s="206"/>
      <c r="D17" s="206">
        <v>2743252</v>
      </c>
      <c r="E17" s="206"/>
      <c r="F17" s="189"/>
      <c r="G17" s="318"/>
      <c r="H17" s="318"/>
      <c r="I17" s="318"/>
      <c r="J17" s="318"/>
      <c r="K17" s="318"/>
    </row>
    <row r="18" spans="1:12">
      <c r="A18" s="200">
        <v>12</v>
      </c>
      <c r="B18" s="113" t="s">
        <v>301</v>
      </c>
      <c r="C18" s="206"/>
      <c r="D18" s="206">
        <v>179083</v>
      </c>
      <c r="E18" s="206"/>
      <c r="F18" s="189"/>
      <c r="G18" s="318"/>
      <c r="H18" s="318"/>
      <c r="I18" s="318"/>
      <c r="J18" s="318"/>
      <c r="K18" s="318"/>
    </row>
    <row r="19" spans="1:12">
      <c r="A19" s="200">
        <v>13</v>
      </c>
      <c r="B19" s="113" t="s">
        <v>302</v>
      </c>
      <c r="C19" s="206"/>
      <c r="D19" s="206">
        <v>62919</v>
      </c>
      <c r="E19" s="206"/>
      <c r="F19" s="189"/>
      <c r="G19" s="318"/>
      <c r="H19" s="318"/>
      <c r="I19" s="318"/>
      <c r="J19" s="318"/>
    </row>
    <row r="20" spans="1:12">
      <c r="A20" s="200">
        <v>14</v>
      </c>
      <c r="B20" s="113" t="s">
        <v>303</v>
      </c>
      <c r="C20" s="206"/>
      <c r="D20" s="206">
        <v>2288898</v>
      </c>
      <c r="E20" s="206"/>
      <c r="F20" s="189"/>
    </row>
    <row r="21" spans="1:12">
      <c r="A21" s="201">
        <v>15</v>
      </c>
      <c r="B21" s="116" t="s">
        <v>304</v>
      </c>
      <c r="C21" s="207"/>
      <c r="D21" s="207">
        <f>SUM(D11:D20)</f>
        <v>36807085.510000005</v>
      </c>
      <c r="E21" s="207"/>
      <c r="F21" s="190"/>
    </row>
    <row r="22" spans="1:12">
      <c r="A22" s="200">
        <v>16</v>
      </c>
      <c r="B22" s="113" t="s">
        <v>305</v>
      </c>
      <c r="C22" s="206"/>
      <c r="D22" s="206">
        <v>0</v>
      </c>
      <c r="E22" s="206"/>
      <c r="F22" s="189"/>
    </row>
    <row r="23" spans="1:12">
      <c r="A23" s="200">
        <v>17</v>
      </c>
      <c r="B23" s="113" t="s">
        <v>306</v>
      </c>
      <c r="C23" s="189"/>
      <c r="D23" s="189">
        <f>'5 - 12i.A Expenses and Costs'!D24+'5 - 12i.A Expenses and Costs'!E24</f>
        <v>243461.41</v>
      </c>
      <c r="E23" s="416"/>
      <c r="F23" s="189"/>
      <c r="G23" s="318"/>
      <c r="H23" s="318"/>
      <c r="I23" s="318"/>
      <c r="J23" s="318"/>
      <c r="K23" s="318"/>
      <c r="L23" s="318"/>
    </row>
    <row r="24" spans="1:12">
      <c r="A24" s="200">
        <v>18</v>
      </c>
      <c r="B24" s="113" t="s">
        <v>307</v>
      </c>
      <c r="C24" s="206"/>
      <c r="D24" s="206">
        <v>0</v>
      </c>
      <c r="E24" s="206"/>
      <c r="F24" s="189"/>
    </row>
    <row r="25" spans="1:12">
      <c r="A25" s="200">
        <v>19</v>
      </c>
      <c r="B25" s="113" t="s">
        <v>308</v>
      </c>
      <c r="C25" s="206"/>
      <c r="D25" s="206">
        <v>3827066</v>
      </c>
      <c r="E25" s="206"/>
      <c r="F25" s="189"/>
    </row>
    <row r="26" spans="1:12">
      <c r="A26" s="200">
        <v>20</v>
      </c>
      <c r="B26" s="113" t="s">
        <v>309</v>
      </c>
      <c r="C26" s="206"/>
      <c r="D26" s="206">
        <v>0</v>
      </c>
      <c r="E26" s="206"/>
      <c r="F26" s="189"/>
    </row>
    <row r="27" spans="1:12">
      <c r="A27" s="201">
        <v>21</v>
      </c>
      <c r="B27" s="116" t="s">
        <v>310</v>
      </c>
      <c r="C27" s="207"/>
      <c r="D27" s="207">
        <f>SUM(D22:D26)</f>
        <v>4070527.41</v>
      </c>
      <c r="E27" s="207"/>
      <c r="F27" s="190"/>
    </row>
    <row r="28" spans="1:12">
      <c r="A28" s="200">
        <v>22</v>
      </c>
      <c r="B28" s="113" t="s">
        <v>311</v>
      </c>
      <c r="C28" s="206"/>
      <c r="D28" s="206">
        <v>4236230</v>
      </c>
      <c r="E28" s="206"/>
      <c r="F28" s="189"/>
    </row>
    <row r="29" spans="1:12">
      <c r="A29" s="200">
        <v>23</v>
      </c>
      <c r="B29" s="113" t="s">
        <v>312</v>
      </c>
      <c r="C29" s="189"/>
      <c r="D29" s="189">
        <v>51735</v>
      </c>
      <c r="E29" s="206"/>
      <c r="F29" s="189"/>
    </row>
    <row r="30" spans="1:12">
      <c r="A30" s="200">
        <v>24</v>
      </c>
      <c r="B30" s="113" t="s">
        <v>313</v>
      </c>
      <c r="C30" s="206"/>
      <c r="D30" s="206">
        <v>2140837</v>
      </c>
      <c r="E30" s="206"/>
      <c r="F30" s="189"/>
    </row>
    <row r="31" spans="1:12">
      <c r="A31" s="200">
        <v>25</v>
      </c>
      <c r="B31" s="113" t="s">
        <v>314</v>
      </c>
      <c r="C31" s="206"/>
      <c r="D31" s="206">
        <v>0</v>
      </c>
      <c r="E31" s="206"/>
      <c r="F31" s="189"/>
    </row>
    <row r="32" spans="1:12">
      <c r="A32" s="200">
        <v>26</v>
      </c>
      <c r="B32" s="113" t="s">
        <v>315</v>
      </c>
      <c r="C32" s="206"/>
      <c r="D32" s="206">
        <v>59601</v>
      </c>
      <c r="E32" s="206"/>
      <c r="F32" s="189"/>
    </row>
    <row r="33" spans="1:6">
      <c r="A33" s="200">
        <v>27</v>
      </c>
      <c r="B33" s="113" t="s">
        <v>316</v>
      </c>
      <c r="C33" s="206"/>
      <c r="D33" s="206">
        <v>0</v>
      </c>
      <c r="E33" s="206"/>
      <c r="F33" s="189"/>
    </row>
    <row r="34" spans="1:6">
      <c r="A34" s="200">
        <v>28</v>
      </c>
      <c r="B34" s="113" t="s">
        <v>317</v>
      </c>
      <c r="C34" s="206"/>
      <c r="D34" s="206">
        <v>13321</v>
      </c>
      <c r="E34" s="206"/>
      <c r="F34" s="189"/>
    </row>
    <row r="35" spans="1:6">
      <c r="A35" s="201">
        <v>29</v>
      </c>
      <c r="B35" s="116" t="s">
        <v>318</v>
      </c>
      <c r="C35" s="210"/>
      <c r="D35" s="210">
        <f>SUM(D21,D27:D34)</f>
        <v>47379336.920000002</v>
      </c>
      <c r="E35" s="210"/>
      <c r="F35" s="390"/>
    </row>
    <row r="36" spans="1:6">
      <c r="A36" s="201">
        <v>30</v>
      </c>
      <c r="B36" s="116" t="s">
        <v>319</v>
      </c>
      <c r="C36" s="207"/>
      <c r="D36" s="207">
        <f>D10-D35</f>
        <v>-133547.92000000179</v>
      </c>
      <c r="E36" s="207"/>
      <c r="F36" s="190"/>
    </row>
    <row r="37" spans="1:6">
      <c r="A37" s="200">
        <v>31</v>
      </c>
      <c r="B37" s="113" t="s">
        <v>320</v>
      </c>
      <c r="C37" s="206"/>
      <c r="D37" s="206">
        <v>62997</v>
      </c>
      <c r="E37" s="206"/>
      <c r="F37" s="189"/>
    </row>
    <row r="38" spans="1:6">
      <c r="A38" s="200">
        <v>32</v>
      </c>
      <c r="B38" s="113" t="s">
        <v>321</v>
      </c>
      <c r="C38" s="206"/>
      <c r="D38" s="206">
        <v>0</v>
      </c>
      <c r="E38" s="206"/>
      <c r="F38" s="189"/>
    </row>
    <row r="39" spans="1:6">
      <c r="A39" s="200">
        <v>33</v>
      </c>
      <c r="B39" s="113" t="s">
        <v>322</v>
      </c>
      <c r="C39" s="206"/>
      <c r="D39" s="206">
        <v>0</v>
      </c>
      <c r="E39" s="206"/>
      <c r="F39" s="189"/>
    </row>
    <row r="40" spans="1:6">
      <c r="A40" s="200">
        <v>34</v>
      </c>
      <c r="B40" s="113" t="s">
        <v>323</v>
      </c>
      <c r="C40" s="206"/>
      <c r="D40" s="206">
        <v>22026</v>
      </c>
      <c r="E40" s="206"/>
      <c r="F40" s="189"/>
    </row>
    <row r="41" spans="1:6">
      <c r="A41" s="200">
        <v>35</v>
      </c>
      <c r="B41" s="113" t="s">
        <v>324</v>
      </c>
      <c r="C41" s="206"/>
      <c r="D41" s="206">
        <v>468663</v>
      </c>
      <c r="E41" s="206"/>
      <c r="F41" s="189"/>
    </row>
    <row r="42" spans="1:6">
      <c r="A42" s="200">
        <v>36</v>
      </c>
      <c r="B42" s="113" t="s">
        <v>325</v>
      </c>
      <c r="C42" s="206"/>
      <c r="D42" s="206">
        <v>499611</v>
      </c>
      <c r="E42" s="206"/>
      <c r="F42" s="189"/>
    </row>
    <row r="43" spans="1:6">
      <c r="A43" s="200">
        <v>37</v>
      </c>
      <c r="B43" s="117" t="s">
        <v>326</v>
      </c>
      <c r="C43" s="206"/>
      <c r="D43" s="206">
        <v>0</v>
      </c>
      <c r="E43" s="206"/>
      <c r="F43" s="189"/>
    </row>
    <row r="44" spans="1:6">
      <c r="A44" s="202">
        <v>38</v>
      </c>
      <c r="B44" s="104" t="s">
        <v>327</v>
      </c>
      <c r="C44" s="208"/>
      <c r="D44" s="208">
        <f>SUM(D36:D43)</f>
        <v>919749.07999999821</v>
      </c>
      <c r="E44" s="208"/>
      <c r="F44" s="190"/>
    </row>
    <row r="45" spans="1:6">
      <c r="A45" s="123" t="s">
        <v>328</v>
      </c>
      <c r="B45" s="124"/>
      <c r="C45" s="124"/>
      <c r="D45" s="124"/>
      <c r="E45" s="124"/>
      <c r="F45" s="393"/>
    </row>
  </sheetData>
  <mergeCells count="7">
    <mergeCell ref="A5:B6"/>
    <mergeCell ref="C5:E5"/>
    <mergeCell ref="A4:F4"/>
    <mergeCell ref="C1:F1"/>
    <mergeCell ref="C2:F2"/>
    <mergeCell ref="A1:B2"/>
    <mergeCell ref="A3:F3"/>
  </mergeCells>
  <pageMargins left="0.7" right="0.7" top="0.75" bottom="0.75" header="0.3" footer="0.3"/>
  <pageSetup scale="83" orientation="portrait" r:id="rId1"/>
  <ignoredErrors>
    <ignoredError sqref="D2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4"/>
  <sheetViews>
    <sheetView zoomScaleNormal="100" workbookViewId="0">
      <selection sqref="A1:B2"/>
    </sheetView>
  </sheetViews>
  <sheetFormatPr defaultRowHeight="15"/>
  <cols>
    <col min="1" max="1" width="4.88671875" customWidth="1"/>
    <col min="2" max="2" width="37.6640625" bestFit="1" customWidth="1"/>
    <col min="3" max="3" width="17.21875" customWidth="1"/>
    <col min="4" max="4" width="4.21875" customWidth="1"/>
    <col min="5" max="5" width="43.6640625" bestFit="1" customWidth="1"/>
    <col min="6" max="6" width="15.44140625" customWidth="1"/>
  </cols>
  <sheetData>
    <row r="1" spans="1:22" ht="38.25" customHeight="1">
      <c r="A1" s="625" t="s">
        <v>329</v>
      </c>
      <c r="B1" s="625"/>
      <c r="C1" s="622" t="s">
        <v>683</v>
      </c>
      <c r="D1" s="623"/>
      <c r="E1" s="623"/>
      <c r="F1" s="623"/>
      <c r="G1" s="95"/>
      <c r="H1" s="95"/>
      <c r="I1" s="95"/>
      <c r="J1" s="95"/>
      <c r="K1" s="95"/>
      <c r="L1" s="95"/>
      <c r="M1" s="95"/>
      <c r="N1" s="95"/>
      <c r="O1" s="95"/>
      <c r="P1" s="95"/>
      <c r="Q1" s="95"/>
      <c r="R1" s="95"/>
      <c r="S1" s="95"/>
      <c r="T1" s="95"/>
      <c r="U1" s="95"/>
      <c r="V1" s="95"/>
    </row>
    <row r="2" spans="1:22" ht="36" customHeight="1">
      <c r="A2" s="625"/>
      <c r="B2" s="625"/>
      <c r="C2" s="622" t="s">
        <v>816</v>
      </c>
      <c r="D2" s="623"/>
      <c r="E2" s="623"/>
      <c r="F2" s="623"/>
      <c r="G2" s="94"/>
      <c r="H2" s="95"/>
      <c r="I2" s="95"/>
      <c r="J2" s="95"/>
      <c r="K2" s="95"/>
      <c r="L2" s="95"/>
      <c r="M2" s="95"/>
      <c r="N2" s="95"/>
      <c r="O2" s="95"/>
      <c r="P2" s="95"/>
      <c r="Q2" s="95"/>
      <c r="R2" s="95"/>
      <c r="S2" s="95"/>
      <c r="T2" s="95"/>
      <c r="U2" s="95"/>
      <c r="V2" s="95"/>
    </row>
    <row r="3" spans="1:22" ht="12.75" customHeight="1">
      <c r="A3" s="628" t="s">
        <v>330</v>
      </c>
      <c r="B3" s="629"/>
      <c r="C3" s="629"/>
      <c r="D3" s="629"/>
      <c r="E3" s="629"/>
      <c r="F3" s="630"/>
      <c r="G3" s="94"/>
      <c r="H3" s="95"/>
      <c r="I3" s="95"/>
      <c r="J3" s="95"/>
      <c r="K3" s="95"/>
      <c r="L3" s="95"/>
      <c r="M3" s="95"/>
      <c r="N3" s="95"/>
      <c r="O3" s="95"/>
      <c r="P3" s="95"/>
      <c r="Q3" s="95"/>
      <c r="R3" s="95"/>
      <c r="S3" s="95"/>
      <c r="T3" s="95"/>
      <c r="U3" s="95"/>
      <c r="V3" s="95"/>
    </row>
    <row r="4" spans="1:22" ht="12.75" customHeight="1">
      <c r="A4" s="626" t="s">
        <v>331</v>
      </c>
      <c r="B4" s="626"/>
      <c r="C4" s="626"/>
      <c r="D4" s="626"/>
      <c r="E4" s="626"/>
      <c r="F4" s="626"/>
      <c r="G4" s="94"/>
      <c r="H4" s="96"/>
      <c r="I4" s="96"/>
      <c r="J4" s="96"/>
      <c r="K4" s="96"/>
      <c r="L4" s="96"/>
      <c r="M4" s="96"/>
      <c r="N4" s="96"/>
      <c r="O4" s="96"/>
      <c r="P4" s="96"/>
      <c r="Q4" s="96"/>
      <c r="R4" s="96"/>
      <c r="S4" s="96"/>
      <c r="T4" s="96"/>
      <c r="U4" s="96"/>
      <c r="V4" s="96"/>
    </row>
    <row r="5" spans="1:22" ht="20.25" customHeight="1">
      <c r="A5" s="626" t="s">
        <v>332</v>
      </c>
      <c r="B5" s="626"/>
      <c r="C5" s="626"/>
      <c r="D5" s="627" t="s">
        <v>333</v>
      </c>
      <c r="E5" s="627"/>
      <c r="F5" s="627"/>
      <c r="G5" s="94"/>
      <c r="H5" s="95"/>
      <c r="I5" s="95"/>
      <c r="J5" s="95"/>
      <c r="K5" s="95"/>
      <c r="L5" s="95"/>
      <c r="M5" s="95"/>
      <c r="N5" s="95"/>
      <c r="O5" s="95"/>
      <c r="P5" s="95"/>
      <c r="Q5" s="95"/>
      <c r="R5" s="95"/>
      <c r="S5" s="95"/>
      <c r="T5" s="95"/>
      <c r="U5" s="95"/>
      <c r="V5" s="95"/>
    </row>
    <row r="6" spans="1:22" ht="12.75" customHeight="1">
      <c r="A6" s="97">
        <v>1</v>
      </c>
      <c r="B6" s="97" t="s">
        <v>334</v>
      </c>
      <c r="C6" s="191">
        <v>144619822</v>
      </c>
      <c r="D6" s="192">
        <v>33</v>
      </c>
      <c r="E6" s="192" t="s">
        <v>335</v>
      </c>
      <c r="F6" s="191">
        <v>351295</v>
      </c>
      <c r="G6" s="94"/>
      <c r="H6" s="95"/>
      <c r="I6" s="95"/>
      <c r="J6" s="95"/>
      <c r="K6" s="95"/>
      <c r="L6" s="95"/>
      <c r="M6" s="95"/>
      <c r="N6" s="95"/>
      <c r="O6" s="95"/>
      <c r="P6" s="95"/>
      <c r="Q6" s="95"/>
      <c r="R6" s="95"/>
      <c r="S6" s="95"/>
      <c r="T6" s="95"/>
      <c r="U6" s="95"/>
      <c r="V6" s="95"/>
    </row>
    <row r="7" spans="1:22" ht="12.75" customHeight="1">
      <c r="A7" s="101">
        <v>2</v>
      </c>
      <c r="B7" s="101" t="s">
        <v>336</v>
      </c>
      <c r="C7" s="193">
        <v>3361212</v>
      </c>
      <c r="D7" s="194">
        <v>34</v>
      </c>
      <c r="E7" s="195" t="s">
        <v>337</v>
      </c>
      <c r="F7" s="196">
        <v>64784377</v>
      </c>
      <c r="G7" s="94"/>
      <c r="H7" s="95"/>
      <c r="I7" s="95"/>
      <c r="J7" s="95"/>
      <c r="K7" s="95"/>
      <c r="L7" s="95"/>
      <c r="M7" s="95"/>
      <c r="N7" s="95"/>
      <c r="O7" s="95"/>
      <c r="P7" s="95"/>
      <c r="Q7" s="95"/>
      <c r="R7" s="95"/>
      <c r="S7" s="95"/>
      <c r="T7" s="95"/>
      <c r="U7" s="95"/>
      <c r="V7" s="95"/>
    </row>
    <row r="8" spans="1:22" ht="12.75" customHeight="1">
      <c r="A8" s="120">
        <v>3</v>
      </c>
      <c r="B8" s="120" t="s">
        <v>338</v>
      </c>
      <c r="C8" s="177">
        <f>SUM(C6:C7)</f>
        <v>147981034</v>
      </c>
      <c r="D8" s="197"/>
      <c r="E8" s="195" t="s">
        <v>339</v>
      </c>
      <c r="F8" s="196"/>
      <c r="G8" s="94"/>
      <c r="H8" s="95"/>
      <c r="I8" s="95"/>
      <c r="J8" s="95"/>
      <c r="K8" s="95"/>
      <c r="L8" s="95"/>
      <c r="M8" s="95"/>
      <c r="N8" s="95"/>
      <c r="O8" s="95"/>
      <c r="P8" s="95"/>
      <c r="Q8" s="95"/>
      <c r="R8" s="95"/>
      <c r="S8" s="95"/>
      <c r="T8" s="95"/>
      <c r="U8" s="95"/>
      <c r="V8" s="95"/>
    </row>
    <row r="9" spans="1:22" ht="12.75" customHeight="1">
      <c r="A9" s="101">
        <v>4</v>
      </c>
      <c r="B9" s="101" t="s">
        <v>340</v>
      </c>
      <c r="C9" s="193">
        <v>44345894</v>
      </c>
      <c r="D9" s="194"/>
      <c r="E9" s="195" t="s">
        <v>341</v>
      </c>
      <c r="F9" s="196"/>
      <c r="G9" s="94"/>
      <c r="H9" s="95"/>
      <c r="I9" s="95"/>
      <c r="J9" s="95"/>
      <c r="K9" s="95"/>
      <c r="L9" s="95"/>
      <c r="M9" s="95"/>
      <c r="N9" s="95"/>
      <c r="O9" s="95"/>
      <c r="P9" s="95"/>
      <c r="Q9" s="95"/>
      <c r="R9" s="95"/>
      <c r="S9" s="95"/>
      <c r="T9" s="95"/>
      <c r="U9" s="95"/>
      <c r="V9" s="95"/>
    </row>
    <row r="10" spans="1:22" ht="12.75" customHeight="1">
      <c r="A10" s="120">
        <v>5</v>
      </c>
      <c r="B10" s="120" t="s">
        <v>342</v>
      </c>
      <c r="C10" s="177">
        <f>C8-C9</f>
        <v>103635140</v>
      </c>
      <c r="D10" s="197"/>
      <c r="E10" s="195" t="s">
        <v>343</v>
      </c>
      <c r="F10" s="196"/>
      <c r="G10" s="94"/>
      <c r="H10" s="95"/>
      <c r="I10" s="95"/>
      <c r="J10" s="95"/>
      <c r="K10" s="95"/>
      <c r="L10" s="95"/>
      <c r="M10" s="95"/>
      <c r="N10" s="95"/>
      <c r="O10" s="95"/>
      <c r="P10" s="95"/>
      <c r="Q10" s="95"/>
      <c r="R10" s="95"/>
      <c r="S10" s="95"/>
      <c r="T10" s="95"/>
      <c r="U10" s="95"/>
      <c r="V10" s="95"/>
    </row>
    <row r="11" spans="1:22" ht="12.75" customHeight="1">
      <c r="A11" s="101">
        <v>6</v>
      </c>
      <c r="B11" s="101" t="s">
        <v>344</v>
      </c>
      <c r="C11" s="193">
        <v>0</v>
      </c>
      <c r="D11" s="194"/>
      <c r="E11" s="195" t="s">
        <v>345</v>
      </c>
      <c r="F11" s="197"/>
      <c r="G11" s="94"/>
      <c r="H11" s="95"/>
      <c r="I11" s="95"/>
      <c r="J11" s="95"/>
      <c r="K11" s="95"/>
      <c r="L11" s="95"/>
      <c r="M11" s="95"/>
      <c r="N11" s="95"/>
      <c r="O11" s="95"/>
      <c r="P11" s="95"/>
      <c r="Q11" s="95"/>
      <c r="R11" s="95"/>
      <c r="S11" s="95"/>
      <c r="T11" s="95"/>
      <c r="U11" s="95"/>
      <c r="V11" s="95"/>
    </row>
    <row r="12" spans="1:22" ht="12.75" customHeight="1">
      <c r="A12" s="101">
        <v>7</v>
      </c>
      <c r="B12" s="101" t="s">
        <v>346</v>
      </c>
      <c r="C12" s="193">
        <v>0</v>
      </c>
      <c r="D12" s="197">
        <v>35</v>
      </c>
      <c r="E12" s="197" t="s">
        <v>347</v>
      </c>
      <c r="F12" s="193"/>
      <c r="G12" s="94"/>
      <c r="H12" s="95"/>
      <c r="I12" s="95"/>
      <c r="J12" s="95"/>
      <c r="K12" s="95"/>
      <c r="L12" s="95"/>
      <c r="M12" s="95"/>
      <c r="N12" s="95"/>
      <c r="O12" s="95"/>
      <c r="P12" s="95"/>
      <c r="Q12" s="95"/>
      <c r="R12" s="95"/>
      <c r="S12" s="95"/>
      <c r="T12" s="95"/>
      <c r="U12" s="95"/>
      <c r="V12" s="95"/>
    </row>
    <row r="13" spans="1:22" ht="12.75" customHeight="1">
      <c r="A13" s="101">
        <v>8</v>
      </c>
      <c r="B13" s="549" t="s">
        <v>823</v>
      </c>
      <c r="C13" s="193">
        <v>21209146</v>
      </c>
      <c r="D13" s="194">
        <v>36</v>
      </c>
      <c r="E13" s="197" t="s">
        <v>348</v>
      </c>
      <c r="F13" s="193">
        <v>-133548</v>
      </c>
      <c r="G13" s="94"/>
      <c r="H13" s="95"/>
      <c r="I13" s="95"/>
      <c r="J13" s="95"/>
      <c r="K13" s="95"/>
      <c r="L13" s="95"/>
      <c r="M13" s="95"/>
      <c r="N13" s="95"/>
      <c r="O13" s="95"/>
      <c r="P13" s="95"/>
      <c r="Q13" s="95"/>
      <c r="R13" s="95"/>
      <c r="S13" s="95"/>
      <c r="T13" s="95"/>
      <c r="U13" s="95"/>
      <c r="V13" s="95"/>
    </row>
    <row r="14" spans="1:22" ht="12.75" customHeight="1">
      <c r="A14" s="101">
        <v>9</v>
      </c>
      <c r="B14" s="101" t="s">
        <v>349</v>
      </c>
      <c r="C14" s="193">
        <v>1005</v>
      </c>
      <c r="D14" s="197">
        <v>37</v>
      </c>
      <c r="E14" s="197" t="s">
        <v>350</v>
      </c>
      <c r="F14" s="193">
        <v>1166100</v>
      </c>
      <c r="G14" s="94"/>
      <c r="H14" s="95"/>
      <c r="I14" s="95"/>
      <c r="J14" s="95"/>
      <c r="K14" s="95"/>
      <c r="L14" s="95"/>
      <c r="M14" s="95"/>
      <c r="N14" s="95"/>
      <c r="O14" s="95"/>
      <c r="P14" s="95"/>
      <c r="Q14" s="95"/>
      <c r="R14" s="95"/>
      <c r="S14" s="95"/>
      <c r="T14" s="95"/>
      <c r="U14" s="95"/>
      <c r="V14" s="95"/>
    </row>
    <row r="15" spans="1:22" ht="12.75" customHeight="1">
      <c r="A15" s="101">
        <v>10</v>
      </c>
      <c r="B15" s="101" t="s">
        <v>351</v>
      </c>
      <c r="C15" s="193">
        <v>1228682</v>
      </c>
      <c r="D15" s="194">
        <v>38</v>
      </c>
      <c r="E15" s="197" t="s">
        <v>352</v>
      </c>
      <c r="F15" s="193">
        <v>-1797545</v>
      </c>
      <c r="G15" s="94"/>
      <c r="H15" s="96"/>
      <c r="I15" s="96"/>
      <c r="J15" s="96"/>
      <c r="K15" s="96"/>
      <c r="L15" s="96"/>
      <c r="M15" s="96"/>
      <c r="N15" s="96"/>
      <c r="O15" s="95"/>
      <c r="P15" s="95"/>
      <c r="Q15" s="95"/>
      <c r="R15" s="95"/>
      <c r="S15" s="95"/>
      <c r="T15" s="95"/>
      <c r="U15" s="95"/>
      <c r="V15" s="95"/>
    </row>
    <row r="16" spans="1:22" ht="12.75" customHeight="1">
      <c r="A16" s="101">
        <v>11</v>
      </c>
      <c r="B16" s="101" t="s">
        <v>353</v>
      </c>
      <c r="C16" s="193">
        <v>0</v>
      </c>
      <c r="D16" s="197">
        <v>39</v>
      </c>
      <c r="E16" s="198" t="s">
        <v>354</v>
      </c>
      <c r="F16" s="177">
        <f>SUM(F6,F7:F15)</f>
        <v>64370679</v>
      </c>
      <c r="G16" s="94"/>
      <c r="H16" s="96"/>
      <c r="I16" s="96"/>
      <c r="J16" s="96"/>
      <c r="K16" s="96"/>
      <c r="L16" s="96"/>
      <c r="M16" s="96"/>
      <c r="N16" s="96"/>
      <c r="O16" s="95"/>
      <c r="P16" s="95"/>
      <c r="Q16" s="95"/>
      <c r="R16" s="95"/>
      <c r="S16" s="95"/>
      <c r="T16" s="95"/>
      <c r="U16" s="95"/>
      <c r="V16" s="95"/>
    </row>
    <row r="17" spans="1:22" ht="12.75" customHeight="1">
      <c r="A17" s="101">
        <v>12</v>
      </c>
      <c r="B17" s="101" t="s">
        <v>355</v>
      </c>
      <c r="C17" s="193">
        <v>12655</v>
      </c>
      <c r="D17" s="194">
        <v>40</v>
      </c>
      <c r="E17" s="197" t="s">
        <v>631</v>
      </c>
      <c r="F17" s="193">
        <v>13465070</v>
      </c>
      <c r="G17" s="94"/>
      <c r="H17" s="95"/>
      <c r="I17" s="95"/>
      <c r="J17" s="95"/>
      <c r="K17" s="95"/>
      <c r="L17" s="95"/>
      <c r="M17" s="95"/>
      <c r="N17" s="95"/>
      <c r="O17" s="95"/>
      <c r="P17" s="95"/>
      <c r="Q17" s="95"/>
      <c r="R17" s="95"/>
      <c r="S17" s="95"/>
      <c r="T17" s="95"/>
      <c r="U17" s="95"/>
      <c r="V17" s="95"/>
    </row>
    <row r="18" spans="1:22" ht="12.75" customHeight="1">
      <c r="A18" s="101">
        <v>13</v>
      </c>
      <c r="B18" s="101" t="s">
        <v>356</v>
      </c>
      <c r="C18" s="193">
        <v>0</v>
      </c>
      <c r="D18" s="197">
        <v>41</v>
      </c>
      <c r="E18" s="197" t="s">
        <v>357</v>
      </c>
      <c r="F18" s="193">
        <v>0</v>
      </c>
      <c r="G18" s="94"/>
      <c r="H18" s="95"/>
      <c r="I18" s="95"/>
      <c r="J18" s="95"/>
      <c r="K18" s="95"/>
      <c r="L18" s="95"/>
      <c r="M18" s="95"/>
      <c r="N18" s="95"/>
      <c r="O18" s="95"/>
      <c r="P18" s="95"/>
      <c r="Q18" s="95"/>
      <c r="R18" s="95"/>
      <c r="S18" s="95"/>
      <c r="T18" s="95"/>
      <c r="U18" s="95"/>
      <c r="V18" s="95"/>
    </row>
    <row r="19" spans="1:22" ht="12.75" customHeight="1">
      <c r="A19" s="120" t="s">
        <v>358</v>
      </c>
      <c r="B19" s="183" t="s">
        <v>359</v>
      </c>
      <c r="C19" s="177">
        <f>SUM(C11:C18)</f>
        <v>22451488</v>
      </c>
      <c r="D19" s="194">
        <v>42</v>
      </c>
      <c r="E19" s="197" t="s">
        <v>360</v>
      </c>
      <c r="F19" s="193">
        <v>0</v>
      </c>
      <c r="G19" s="94"/>
      <c r="H19" s="95"/>
      <c r="I19" s="95"/>
      <c r="J19" s="95"/>
      <c r="K19" s="95"/>
      <c r="L19" s="95"/>
      <c r="M19" s="95"/>
      <c r="N19" s="95"/>
      <c r="O19" s="95"/>
      <c r="P19" s="95"/>
      <c r="Q19" s="95"/>
      <c r="R19" s="95"/>
      <c r="S19" s="95"/>
      <c r="T19" s="95"/>
      <c r="U19" s="95"/>
      <c r="V19" s="95"/>
    </row>
    <row r="20" spans="1:22" ht="12.75" customHeight="1">
      <c r="A20" s="101">
        <v>15</v>
      </c>
      <c r="B20" s="101" t="s">
        <v>361</v>
      </c>
      <c r="C20" s="193">
        <v>1496675</v>
      </c>
      <c r="D20" s="197">
        <v>43</v>
      </c>
      <c r="E20" s="195" t="s">
        <v>362</v>
      </c>
      <c r="F20" s="193">
        <v>37014404</v>
      </c>
      <c r="G20" s="94"/>
      <c r="H20" s="95"/>
      <c r="I20" s="95"/>
      <c r="J20" s="95"/>
      <c r="K20" s="95"/>
      <c r="L20" s="95"/>
      <c r="M20" s="95"/>
      <c r="N20" s="95"/>
      <c r="O20" s="95"/>
      <c r="P20" s="95"/>
      <c r="Q20" s="95"/>
      <c r="R20" s="95"/>
      <c r="S20" s="95"/>
      <c r="T20" s="95"/>
      <c r="U20" s="95"/>
      <c r="V20" s="95"/>
    </row>
    <row r="21" spans="1:22" ht="12.75" customHeight="1">
      <c r="A21" s="101">
        <v>16</v>
      </c>
      <c r="B21" s="101" t="s">
        <v>363</v>
      </c>
      <c r="C21" s="193">
        <v>0</v>
      </c>
      <c r="D21" s="194">
        <v>44</v>
      </c>
      <c r="E21" s="197" t="s">
        <v>364</v>
      </c>
      <c r="F21" s="193">
        <v>0</v>
      </c>
      <c r="G21" s="94"/>
      <c r="H21" s="95"/>
      <c r="I21" s="95"/>
      <c r="J21" s="95"/>
      <c r="K21" s="95"/>
      <c r="L21" s="95"/>
      <c r="M21" s="95"/>
      <c r="N21" s="95"/>
      <c r="O21" s="95"/>
      <c r="P21" s="95"/>
      <c r="Q21" s="95"/>
      <c r="R21" s="95"/>
      <c r="S21" s="95"/>
      <c r="T21" s="95"/>
      <c r="U21" s="95"/>
      <c r="V21" s="95"/>
    </row>
    <row r="22" spans="1:22" ht="12.75" customHeight="1">
      <c r="A22" s="101">
        <v>17</v>
      </c>
      <c r="B22" s="101" t="s">
        <v>365</v>
      </c>
      <c r="C22" s="193">
        <v>0</v>
      </c>
      <c r="D22" s="197">
        <v>45</v>
      </c>
      <c r="E22" s="197" t="s">
        <v>366</v>
      </c>
      <c r="F22" s="193">
        <v>0</v>
      </c>
      <c r="G22" s="94"/>
      <c r="H22" s="95"/>
      <c r="I22" s="95"/>
      <c r="J22" s="95"/>
      <c r="K22" s="95"/>
      <c r="L22" s="95"/>
      <c r="M22" s="95"/>
      <c r="N22" s="95"/>
      <c r="O22" s="95"/>
      <c r="P22" s="95"/>
      <c r="Q22" s="95"/>
      <c r="R22" s="95"/>
      <c r="S22" s="95"/>
      <c r="T22" s="95"/>
      <c r="U22" s="95"/>
      <c r="V22" s="95"/>
    </row>
    <row r="23" spans="1:22" ht="12.75" customHeight="1">
      <c r="A23" s="101">
        <v>18</v>
      </c>
      <c r="B23" s="101" t="s">
        <v>367</v>
      </c>
      <c r="C23" s="193">
        <v>268327</v>
      </c>
      <c r="D23" s="194">
        <v>46</v>
      </c>
      <c r="E23" s="199" t="s">
        <v>368</v>
      </c>
      <c r="F23" s="177">
        <f>SUM(F17:F20)+(F21-F22)</f>
        <v>50479474</v>
      </c>
      <c r="G23" s="94"/>
      <c r="H23" s="95"/>
      <c r="I23" s="95"/>
      <c r="J23" s="95"/>
      <c r="K23" s="95"/>
      <c r="L23" s="95"/>
      <c r="M23" s="95"/>
      <c r="N23" s="95"/>
      <c r="O23" s="95"/>
      <c r="P23" s="95"/>
      <c r="Q23" s="95"/>
      <c r="R23" s="95"/>
      <c r="S23" s="95"/>
      <c r="T23" s="95"/>
      <c r="U23" s="95"/>
      <c r="V23" s="95"/>
    </row>
    <row r="24" spans="1:22" ht="12.75" customHeight="1">
      <c r="A24" s="101">
        <v>19</v>
      </c>
      <c r="B24" s="101" t="s">
        <v>369</v>
      </c>
      <c r="C24" s="193">
        <v>0</v>
      </c>
      <c r="D24" s="197">
        <v>47</v>
      </c>
      <c r="E24" s="197" t="s">
        <v>370</v>
      </c>
      <c r="F24" s="193">
        <v>0</v>
      </c>
      <c r="G24" s="94"/>
      <c r="H24" s="95"/>
      <c r="I24" s="95"/>
      <c r="J24" s="95"/>
      <c r="K24" s="95"/>
      <c r="L24" s="95"/>
      <c r="M24" s="95"/>
      <c r="N24" s="95"/>
      <c r="O24" s="95"/>
      <c r="P24" s="95"/>
      <c r="Q24" s="95"/>
      <c r="R24" s="95"/>
      <c r="S24" s="95"/>
      <c r="T24" s="95"/>
      <c r="U24" s="95"/>
      <c r="V24" s="95"/>
    </row>
    <row r="25" spans="1:22" ht="12.75" customHeight="1">
      <c r="A25" s="101">
        <v>20</v>
      </c>
      <c r="B25" s="101" t="s">
        <v>371</v>
      </c>
      <c r="C25" s="193">
        <v>2039969</v>
      </c>
      <c r="D25" s="194">
        <v>48</v>
      </c>
      <c r="E25" s="197" t="s">
        <v>372</v>
      </c>
      <c r="F25" s="193">
        <v>6247689</v>
      </c>
      <c r="G25" s="94"/>
      <c r="H25" s="95"/>
      <c r="I25" s="95"/>
      <c r="J25" s="95"/>
      <c r="K25" s="95"/>
      <c r="L25" s="95"/>
      <c r="M25" s="95"/>
      <c r="N25" s="95"/>
      <c r="O25" s="95"/>
      <c r="P25" s="95"/>
      <c r="Q25" s="95"/>
      <c r="R25" s="95"/>
      <c r="S25" s="95"/>
      <c r="T25" s="95"/>
      <c r="U25" s="95"/>
      <c r="V25" s="95"/>
    </row>
    <row r="26" spans="1:22" ht="12.75" customHeight="1">
      <c r="A26" s="101">
        <v>21</v>
      </c>
      <c r="B26" s="101" t="s">
        <v>373</v>
      </c>
      <c r="C26" s="193">
        <v>49267</v>
      </c>
      <c r="D26" s="197">
        <v>49</v>
      </c>
      <c r="E26" s="198" t="s">
        <v>374</v>
      </c>
      <c r="F26" s="177">
        <f>SUM(F24:F25)</f>
        <v>6247689</v>
      </c>
      <c r="G26" s="94"/>
      <c r="H26" s="95"/>
      <c r="I26" s="95"/>
      <c r="J26" s="95"/>
      <c r="K26" s="95"/>
      <c r="L26" s="95"/>
      <c r="M26" s="95"/>
      <c r="N26" s="95"/>
      <c r="O26" s="95"/>
      <c r="P26" s="95"/>
      <c r="Q26" s="95"/>
      <c r="R26" s="95"/>
      <c r="S26" s="95"/>
      <c r="T26" s="95"/>
      <c r="U26" s="95"/>
      <c r="V26" s="95"/>
    </row>
    <row r="27" spans="1:22" ht="12.75" customHeight="1">
      <c r="A27" s="101">
        <v>22</v>
      </c>
      <c r="B27" s="101" t="s">
        <v>375</v>
      </c>
      <c r="C27" s="193">
        <v>0</v>
      </c>
      <c r="D27" s="194">
        <v>50</v>
      </c>
      <c r="E27" s="197" t="s">
        <v>376</v>
      </c>
      <c r="F27" s="193">
        <v>1013125</v>
      </c>
      <c r="G27" s="94"/>
      <c r="H27" s="95"/>
      <c r="I27" s="95"/>
      <c r="J27" s="95"/>
      <c r="K27" s="95"/>
      <c r="L27" s="95"/>
      <c r="M27" s="95"/>
      <c r="N27" s="95"/>
      <c r="O27" s="95"/>
      <c r="P27" s="95"/>
      <c r="Q27" s="95"/>
      <c r="R27" s="95"/>
      <c r="S27" s="95"/>
      <c r="T27" s="95"/>
      <c r="U27" s="95"/>
      <c r="V27" s="95"/>
    </row>
    <row r="28" spans="1:22" ht="12.75" customHeight="1">
      <c r="A28" s="101">
        <v>23</v>
      </c>
      <c r="B28" s="101" t="s">
        <v>377</v>
      </c>
      <c r="C28" s="193">
        <v>0</v>
      </c>
      <c r="D28" s="197">
        <v>51</v>
      </c>
      <c r="E28" s="197" t="s">
        <v>378</v>
      </c>
      <c r="F28" s="193">
        <v>5860523</v>
      </c>
      <c r="G28" s="94"/>
      <c r="H28" s="95"/>
      <c r="I28" s="95"/>
      <c r="J28" s="95"/>
      <c r="K28" s="95"/>
      <c r="L28" s="95"/>
      <c r="M28" s="95"/>
      <c r="N28" s="95"/>
      <c r="O28" s="95"/>
      <c r="P28" s="95"/>
      <c r="Q28" s="95"/>
      <c r="R28" s="95"/>
      <c r="S28" s="95"/>
      <c r="T28" s="95"/>
      <c r="U28" s="95"/>
      <c r="V28" s="95"/>
    </row>
    <row r="29" spans="1:22" ht="12.75" customHeight="1">
      <c r="A29" s="101">
        <v>24</v>
      </c>
      <c r="B29" s="101" t="s">
        <v>379</v>
      </c>
      <c r="C29" s="193">
        <v>650348</v>
      </c>
      <c r="D29" s="194">
        <v>52</v>
      </c>
      <c r="E29" s="197" t="s">
        <v>380</v>
      </c>
      <c r="F29" s="193">
        <v>3195000</v>
      </c>
      <c r="G29" s="94"/>
      <c r="H29" s="95"/>
      <c r="I29" s="95"/>
      <c r="J29" s="95"/>
      <c r="K29" s="95"/>
      <c r="L29" s="95"/>
      <c r="M29" s="95"/>
      <c r="N29" s="95"/>
      <c r="O29" s="95"/>
      <c r="P29" s="95"/>
      <c r="Q29" s="95"/>
      <c r="R29" s="95"/>
      <c r="S29" s="95"/>
      <c r="T29" s="95"/>
      <c r="U29" s="95"/>
      <c r="V29" s="95"/>
    </row>
    <row r="30" spans="1:22" ht="12.75" customHeight="1">
      <c r="A30" s="101">
        <v>25</v>
      </c>
      <c r="B30" s="101" t="s">
        <v>381</v>
      </c>
      <c r="C30" s="193">
        <v>306268</v>
      </c>
      <c r="D30" s="197">
        <v>53</v>
      </c>
      <c r="E30" s="197" t="s">
        <v>382</v>
      </c>
      <c r="F30" s="193">
        <v>0</v>
      </c>
      <c r="G30" s="94"/>
      <c r="H30" s="95"/>
      <c r="I30" s="95"/>
      <c r="J30" s="95"/>
      <c r="K30" s="95"/>
      <c r="L30" s="95"/>
      <c r="M30" s="95"/>
      <c r="N30" s="95"/>
      <c r="O30" s="95"/>
      <c r="P30" s="95"/>
      <c r="Q30" s="95"/>
      <c r="R30" s="95"/>
      <c r="S30" s="95"/>
      <c r="T30" s="95"/>
      <c r="U30" s="95"/>
      <c r="V30" s="95"/>
    </row>
    <row r="31" spans="1:22" ht="12.75" customHeight="1">
      <c r="A31" s="101">
        <v>26</v>
      </c>
      <c r="B31" s="101" t="s">
        <v>383</v>
      </c>
      <c r="C31" s="193">
        <v>2975632</v>
      </c>
      <c r="D31" s="194">
        <v>54</v>
      </c>
      <c r="E31" s="197" t="s">
        <v>384</v>
      </c>
      <c r="F31" s="193">
        <v>0</v>
      </c>
      <c r="G31" s="94"/>
      <c r="H31" s="95"/>
      <c r="I31" s="95"/>
      <c r="J31" s="95"/>
      <c r="K31" s="95"/>
      <c r="L31" s="95"/>
      <c r="M31" s="95"/>
      <c r="N31" s="95"/>
      <c r="O31" s="95"/>
      <c r="P31" s="95"/>
      <c r="Q31" s="95"/>
      <c r="R31" s="95"/>
      <c r="S31" s="95"/>
      <c r="T31" s="95"/>
      <c r="U31" s="95"/>
      <c r="V31" s="95"/>
    </row>
    <row r="32" spans="1:22" ht="12.75" customHeight="1">
      <c r="A32" s="120">
        <v>27</v>
      </c>
      <c r="B32" s="120" t="s">
        <v>385</v>
      </c>
      <c r="C32" s="177">
        <f>SUM(C20:C31)</f>
        <v>7786486</v>
      </c>
      <c r="D32" s="197">
        <v>55</v>
      </c>
      <c r="E32" s="197" t="s">
        <v>386</v>
      </c>
      <c r="F32" s="193">
        <v>0</v>
      </c>
      <c r="G32" s="94"/>
      <c r="H32" s="95"/>
      <c r="I32" s="95"/>
      <c r="J32" s="95"/>
      <c r="K32" s="95"/>
      <c r="L32" s="95"/>
      <c r="M32" s="95"/>
      <c r="N32" s="95"/>
      <c r="O32" s="95"/>
      <c r="P32" s="95"/>
      <c r="Q32" s="95"/>
      <c r="R32" s="95"/>
      <c r="S32" s="95"/>
      <c r="T32" s="95"/>
      <c r="U32" s="95"/>
      <c r="V32" s="95"/>
    </row>
    <row r="33" spans="1:22" ht="12.75" customHeight="1">
      <c r="A33" s="101">
        <v>28</v>
      </c>
      <c r="B33" s="102" t="s">
        <v>387</v>
      </c>
      <c r="C33" s="193">
        <v>0</v>
      </c>
      <c r="D33" s="194">
        <v>56</v>
      </c>
      <c r="E33" s="197" t="s">
        <v>388</v>
      </c>
      <c r="F33" s="193">
        <v>1205794</v>
      </c>
      <c r="G33" s="94"/>
      <c r="H33" s="95"/>
      <c r="I33" s="95"/>
      <c r="J33" s="95"/>
      <c r="K33" s="95"/>
      <c r="L33" s="95"/>
      <c r="M33" s="95"/>
      <c r="N33" s="95"/>
      <c r="O33" s="95"/>
      <c r="P33" s="95"/>
      <c r="Q33" s="95"/>
      <c r="R33" s="95"/>
      <c r="S33" s="95"/>
      <c r="T33" s="95"/>
      <c r="U33" s="95"/>
      <c r="V33" s="95"/>
    </row>
    <row r="34" spans="1:22" ht="12.75" customHeight="1">
      <c r="A34" s="101">
        <v>29</v>
      </c>
      <c r="B34" s="101" t="s">
        <v>389</v>
      </c>
      <c r="C34" s="193">
        <v>0</v>
      </c>
      <c r="D34" s="197">
        <v>57</v>
      </c>
      <c r="E34" s="195" t="s">
        <v>390</v>
      </c>
      <c r="F34" s="193">
        <v>3163712</v>
      </c>
      <c r="G34" s="94"/>
      <c r="H34" s="95"/>
      <c r="I34" s="95"/>
      <c r="J34" s="95"/>
      <c r="K34" s="95"/>
      <c r="L34" s="95"/>
      <c r="M34" s="95"/>
      <c r="N34" s="95"/>
      <c r="O34" s="95"/>
      <c r="P34" s="95"/>
      <c r="Q34" s="95"/>
      <c r="R34" s="95"/>
      <c r="S34" s="95"/>
      <c r="T34" s="95"/>
      <c r="U34" s="95"/>
      <c r="V34" s="95"/>
    </row>
    <row r="35" spans="1:22" ht="12.75" customHeight="1">
      <c r="A35" s="101">
        <v>30</v>
      </c>
      <c r="B35" s="101" t="s">
        <v>391</v>
      </c>
      <c r="C35" s="193">
        <v>1934831</v>
      </c>
      <c r="D35" s="194">
        <v>58</v>
      </c>
      <c r="E35" s="198" t="s">
        <v>392</v>
      </c>
      <c r="F35" s="177">
        <f>SUM(F27:F34)</f>
        <v>14438154</v>
      </c>
      <c r="G35" s="99"/>
      <c r="H35" s="95"/>
      <c r="I35" s="95"/>
      <c r="J35" s="95"/>
      <c r="K35" s="95"/>
      <c r="L35" s="95"/>
      <c r="M35" s="95"/>
      <c r="N35" s="95"/>
      <c r="O35" s="95"/>
      <c r="P35" s="95"/>
      <c r="Q35" s="95"/>
      <c r="R35" s="95"/>
      <c r="S35" s="95"/>
      <c r="T35" s="95"/>
      <c r="U35" s="95"/>
      <c r="V35" s="95"/>
    </row>
    <row r="36" spans="1:22" ht="12.75" customHeight="1">
      <c r="A36" s="101">
        <v>31</v>
      </c>
      <c r="B36" s="101" t="s">
        <v>393</v>
      </c>
      <c r="C36" s="193">
        <v>0</v>
      </c>
      <c r="D36" s="197">
        <v>59</v>
      </c>
      <c r="E36" s="197" t="s">
        <v>394</v>
      </c>
      <c r="F36" s="193">
        <v>271949</v>
      </c>
      <c r="G36" s="94"/>
      <c r="H36" s="95"/>
      <c r="I36" s="98"/>
      <c r="J36" s="95"/>
      <c r="K36" s="95"/>
      <c r="L36" s="95"/>
      <c r="M36" s="95"/>
      <c r="N36" s="95"/>
      <c r="O36" s="95"/>
      <c r="P36" s="95"/>
      <c r="Q36" s="95"/>
      <c r="R36" s="95"/>
      <c r="S36" s="95"/>
      <c r="T36" s="95"/>
      <c r="U36" s="95"/>
      <c r="V36" s="95"/>
    </row>
    <row r="37" spans="1:22" ht="12.75" customHeight="1">
      <c r="A37" s="101"/>
      <c r="B37" s="101"/>
      <c r="C37" s="197"/>
      <c r="D37" s="197">
        <v>60</v>
      </c>
      <c r="E37" s="197" t="s">
        <v>393</v>
      </c>
      <c r="F37" s="193"/>
      <c r="G37" s="94"/>
      <c r="H37" s="95"/>
      <c r="I37" s="95"/>
      <c r="J37" s="95"/>
      <c r="K37" s="95"/>
      <c r="L37" s="95"/>
      <c r="M37" s="95"/>
      <c r="N37" s="95"/>
      <c r="O37" s="95"/>
      <c r="P37" s="95"/>
      <c r="Q37" s="95"/>
      <c r="R37" s="95"/>
      <c r="S37" s="95"/>
      <c r="T37" s="95"/>
      <c r="U37" s="95"/>
      <c r="V37" s="95"/>
    </row>
    <row r="38" spans="1:22" ht="12.75" customHeight="1">
      <c r="A38" s="120">
        <v>32</v>
      </c>
      <c r="B38" s="183" t="s">
        <v>395</v>
      </c>
      <c r="C38" s="177">
        <f>SUM(C10,C19,C32:C36)</f>
        <v>135807945</v>
      </c>
      <c r="D38" s="197">
        <v>61</v>
      </c>
      <c r="E38" s="198" t="s">
        <v>396</v>
      </c>
      <c r="F38" s="177">
        <f>SUM(F16,F23,F26,F35,F36,F37)</f>
        <v>135807945</v>
      </c>
      <c r="G38" s="99"/>
      <c r="H38" s="95"/>
      <c r="I38" s="95"/>
      <c r="J38" s="95"/>
      <c r="K38" s="95"/>
      <c r="L38" s="95"/>
      <c r="M38" s="95"/>
      <c r="N38" s="95"/>
      <c r="O38" s="95"/>
      <c r="P38" s="95"/>
      <c r="Q38" s="95"/>
      <c r="R38" s="95"/>
      <c r="S38" s="95"/>
      <c r="T38" s="95"/>
      <c r="U38" s="95"/>
      <c r="V38" s="95"/>
    </row>
    <row r="39" spans="1:22" ht="12.75" customHeight="1">
      <c r="A39" s="127" t="s">
        <v>328</v>
      </c>
      <c r="B39" s="128"/>
      <c r="C39" s="128"/>
      <c r="D39" s="128"/>
      <c r="E39" s="128"/>
      <c r="F39" s="129"/>
      <c r="G39" s="94"/>
      <c r="H39" s="94"/>
      <c r="I39" s="94"/>
      <c r="J39" s="94"/>
      <c r="K39" s="94"/>
      <c r="L39" s="94"/>
      <c r="M39" s="94"/>
      <c r="N39" s="94"/>
      <c r="O39" s="94"/>
      <c r="P39" s="94"/>
      <c r="Q39" s="94"/>
      <c r="R39" s="94"/>
      <c r="S39" s="94"/>
      <c r="T39" s="94"/>
      <c r="U39" s="94"/>
      <c r="V39" s="94"/>
    </row>
    <row r="40" spans="1:22">
      <c r="A40" s="94"/>
      <c r="B40" s="94"/>
      <c r="C40" s="94"/>
      <c r="D40" s="94"/>
      <c r="E40" s="94"/>
      <c r="F40" s="94"/>
      <c r="G40" s="94"/>
      <c r="H40" s="94"/>
      <c r="I40" s="94"/>
      <c r="J40" s="94"/>
      <c r="K40" s="94"/>
      <c r="L40" s="94"/>
      <c r="M40" s="94"/>
      <c r="N40" s="94"/>
      <c r="O40" s="94"/>
      <c r="P40" s="94"/>
      <c r="Q40" s="94"/>
      <c r="R40" s="94"/>
      <c r="S40" s="94"/>
      <c r="T40" s="94"/>
      <c r="U40" s="94"/>
      <c r="V40" s="94"/>
    </row>
    <row r="41" spans="1:22">
      <c r="A41" s="94"/>
      <c r="B41" s="94"/>
      <c r="C41" s="94"/>
      <c r="D41" s="94"/>
      <c r="E41" s="94"/>
      <c r="F41" s="94"/>
      <c r="G41" s="94"/>
      <c r="H41" s="94"/>
      <c r="I41" s="94"/>
      <c r="J41" s="94"/>
      <c r="K41" s="94"/>
      <c r="L41" s="94"/>
      <c r="M41" s="94"/>
      <c r="N41" s="94"/>
      <c r="O41" s="94"/>
      <c r="P41" s="94"/>
      <c r="Q41" s="94"/>
      <c r="R41" s="94"/>
      <c r="S41" s="94"/>
      <c r="T41" s="94"/>
      <c r="U41" s="94"/>
      <c r="V41" s="94"/>
    </row>
    <row r="42" spans="1:22">
      <c r="A42" s="94"/>
      <c r="B42" s="94"/>
      <c r="C42" s="94"/>
      <c r="D42" s="94"/>
      <c r="E42" s="94"/>
      <c r="F42" s="94"/>
      <c r="G42" s="94"/>
      <c r="H42" s="94"/>
      <c r="I42" s="94"/>
      <c r="J42" s="94"/>
      <c r="K42" s="94"/>
      <c r="L42" s="94"/>
      <c r="M42" s="94"/>
      <c r="N42" s="94"/>
      <c r="O42" s="94"/>
      <c r="P42" s="94"/>
      <c r="Q42" s="94"/>
      <c r="R42" s="94"/>
      <c r="S42" s="94"/>
      <c r="T42" s="94"/>
      <c r="U42" s="94"/>
      <c r="V42" s="94"/>
    </row>
    <row r="44" spans="1:22">
      <c r="A44" s="94"/>
      <c r="B44" s="94"/>
      <c r="C44" s="94"/>
      <c r="D44" s="94"/>
      <c r="E44" s="94"/>
      <c r="F44" s="94"/>
      <c r="G44" s="94"/>
      <c r="H44" s="94"/>
      <c r="I44" s="94"/>
      <c r="J44" s="94"/>
      <c r="K44" s="94"/>
      <c r="L44" s="94"/>
      <c r="M44" s="94"/>
      <c r="N44" s="94"/>
      <c r="O44" s="94"/>
      <c r="P44" s="94"/>
      <c r="Q44" s="94"/>
      <c r="R44" s="94"/>
      <c r="S44" s="94"/>
      <c r="T44" s="94"/>
      <c r="U44" s="94"/>
      <c r="V44" s="94"/>
    </row>
  </sheetData>
  <mergeCells count="7">
    <mergeCell ref="A1:B2"/>
    <mergeCell ref="C1:F1"/>
    <mergeCell ref="C2:F2"/>
    <mergeCell ref="A4:F4"/>
    <mergeCell ref="D5:F5"/>
    <mergeCell ref="A5:C5"/>
    <mergeCell ref="A3:F3"/>
  </mergeCells>
  <pageMargins left="0.7" right="0.7" top="0.75" bottom="0.75" header="0.3" footer="0.3"/>
  <pageSetup scale="83" orientation="landscape"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58"/>
  <sheetViews>
    <sheetView zoomScale="90" zoomScaleNormal="90" workbookViewId="0">
      <selection sqref="A1:B2"/>
    </sheetView>
  </sheetViews>
  <sheetFormatPr defaultRowHeight="15"/>
  <cols>
    <col min="1" max="1" width="4.21875" customWidth="1"/>
    <col min="2" max="2" width="49.33203125" bestFit="1" customWidth="1"/>
    <col min="3" max="3" width="6" customWidth="1"/>
    <col min="4" max="4" width="11.44140625" customWidth="1"/>
    <col min="5" max="5" width="11.6640625" customWidth="1"/>
    <col min="6" max="6" width="12.21875" customWidth="1"/>
    <col min="7" max="7" width="12.6640625" customWidth="1"/>
    <col min="8" max="8" width="11" customWidth="1"/>
    <col min="10" max="10" width="13.44140625" bestFit="1" customWidth="1"/>
    <col min="11" max="11" width="12.33203125" bestFit="1" customWidth="1"/>
    <col min="12" max="12" width="13.44140625" bestFit="1" customWidth="1"/>
  </cols>
  <sheetData>
    <row r="1" spans="1:12" ht="42" customHeight="1">
      <c r="A1" s="637" t="s">
        <v>397</v>
      </c>
      <c r="B1" s="638"/>
      <c r="C1" s="641" t="s">
        <v>684</v>
      </c>
      <c r="D1" s="642"/>
      <c r="E1" s="642"/>
      <c r="F1" s="642"/>
      <c r="G1" s="642"/>
      <c r="H1" s="643"/>
    </row>
    <row r="2" spans="1:12" ht="43.5" customHeight="1">
      <c r="A2" s="639"/>
      <c r="B2" s="640"/>
      <c r="C2" s="641" t="s">
        <v>817</v>
      </c>
      <c r="D2" s="642"/>
      <c r="E2" s="642"/>
      <c r="F2" s="642"/>
      <c r="G2" s="642"/>
      <c r="H2" s="643"/>
    </row>
    <row r="3" spans="1:12" ht="12.75" customHeight="1">
      <c r="A3" s="644" t="s">
        <v>283</v>
      </c>
      <c r="B3" s="642"/>
      <c r="C3" s="642"/>
      <c r="D3" s="642"/>
      <c r="E3" s="642"/>
      <c r="F3" s="642"/>
      <c r="G3" s="642"/>
      <c r="H3" s="643"/>
    </row>
    <row r="4" spans="1:12" ht="12.75" customHeight="1">
      <c r="A4" s="634" t="s">
        <v>398</v>
      </c>
      <c r="B4" s="635"/>
      <c r="C4" s="635"/>
      <c r="D4" s="635"/>
      <c r="E4" s="635"/>
      <c r="F4" s="635"/>
      <c r="G4" s="635"/>
      <c r="H4" s="636"/>
    </row>
    <row r="5" spans="1:12" ht="61.5" customHeight="1">
      <c r="A5" s="133" t="s">
        <v>284</v>
      </c>
      <c r="B5" s="134"/>
      <c r="C5" s="209"/>
      <c r="D5" s="106" t="s">
        <v>399</v>
      </c>
      <c r="E5" s="107" t="s">
        <v>400</v>
      </c>
      <c r="F5" s="108" t="s">
        <v>401</v>
      </c>
      <c r="G5" s="108" t="s">
        <v>402</v>
      </c>
      <c r="H5" s="109" t="s">
        <v>403</v>
      </c>
      <c r="J5" s="135" t="s">
        <v>779</v>
      </c>
    </row>
    <row r="6" spans="1:12" ht="12.75" customHeight="1">
      <c r="A6" s="122">
        <v>1</v>
      </c>
      <c r="B6" s="122" t="s">
        <v>404</v>
      </c>
      <c r="C6" s="118"/>
      <c r="D6" s="189">
        <v>0</v>
      </c>
      <c r="E6" s="189">
        <v>0</v>
      </c>
      <c r="F6" s="189">
        <v>0</v>
      </c>
      <c r="G6" s="189">
        <v>0</v>
      </c>
      <c r="H6" s="189">
        <f t="shared" ref="H6:H34" si="0">D6+E6-F6+G6</f>
        <v>0</v>
      </c>
    </row>
    <row r="7" spans="1:12" ht="12.75" customHeight="1">
      <c r="A7" s="122">
        <v>2</v>
      </c>
      <c r="B7" s="122" t="s">
        <v>405</v>
      </c>
      <c r="C7" s="118"/>
      <c r="D7" s="189">
        <v>0</v>
      </c>
      <c r="E7" s="189">
        <v>0</v>
      </c>
      <c r="F7" s="189">
        <v>0</v>
      </c>
      <c r="G7" s="189">
        <v>0</v>
      </c>
      <c r="H7" s="189">
        <f t="shared" si="0"/>
        <v>0</v>
      </c>
    </row>
    <row r="8" spans="1:12" ht="12.75" customHeight="1">
      <c r="A8" s="122">
        <v>3</v>
      </c>
      <c r="B8" s="122" t="s">
        <v>406</v>
      </c>
      <c r="C8" s="118"/>
      <c r="D8" s="189">
        <v>0</v>
      </c>
      <c r="E8" s="189">
        <v>0</v>
      </c>
      <c r="F8" s="189">
        <v>0</v>
      </c>
      <c r="G8" s="189">
        <v>0</v>
      </c>
      <c r="H8" s="189">
        <f t="shared" si="0"/>
        <v>0</v>
      </c>
    </row>
    <row r="9" spans="1:12" ht="12.75" customHeight="1">
      <c r="A9" s="122">
        <v>4</v>
      </c>
      <c r="B9" s="122" t="s">
        <v>407</v>
      </c>
      <c r="C9" s="118"/>
      <c r="D9" s="189">
        <v>0</v>
      </c>
      <c r="E9" s="189">
        <v>0</v>
      </c>
      <c r="F9" s="189">
        <v>0</v>
      </c>
      <c r="G9" s="189">
        <v>0</v>
      </c>
      <c r="H9" s="189">
        <f t="shared" si="0"/>
        <v>0</v>
      </c>
    </row>
    <row r="10" spans="1:12" ht="12.75" customHeight="1">
      <c r="A10" s="122">
        <v>5</v>
      </c>
      <c r="B10" s="122" t="s">
        <v>408</v>
      </c>
      <c r="C10" s="118"/>
      <c r="D10" s="189">
        <v>0</v>
      </c>
      <c r="E10" s="189">
        <v>0</v>
      </c>
      <c r="F10" s="189">
        <v>0</v>
      </c>
      <c r="G10" s="189">
        <v>0</v>
      </c>
      <c r="H10" s="189">
        <f t="shared" si="0"/>
        <v>0</v>
      </c>
    </row>
    <row r="11" spans="1:12" ht="12.75" customHeight="1">
      <c r="A11" s="119">
        <v>6</v>
      </c>
      <c r="B11" s="119" t="s">
        <v>409</v>
      </c>
      <c r="C11" s="104"/>
      <c r="D11" s="190">
        <f>SUM(D6:D10)</f>
        <v>0</v>
      </c>
      <c r="E11" s="190">
        <f t="shared" ref="E11:G11" si="1">SUM(E6:E10)</f>
        <v>0</v>
      </c>
      <c r="F11" s="190">
        <f t="shared" si="1"/>
        <v>0</v>
      </c>
      <c r="G11" s="190">
        <f t="shared" si="1"/>
        <v>0</v>
      </c>
      <c r="H11" s="177">
        <f t="shared" si="0"/>
        <v>0</v>
      </c>
    </row>
    <row r="12" spans="1:12" ht="12.75" customHeight="1">
      <c r="A12" s="122">
        <v>7</v>
      </c>
      <c r="B12" s="122" t="s">
        <v>410</v>
      </c>
      <c r="C12" s="118"/>
      <c r="D12" s="189">
        <v>782138</v>
      </c>
      <c r="E12" s="189">
        <v>0</v>
      </c>
      <c r="F12" s="189">
        <v>0</v>
      </c>
      <c r="G12" s="189">
        <v>0</v>
      </c>
      <c r="H12" s="427">
        <f t="shared" si="0"/>
        <v>782138</v>
      </c>
      <c r="J12" s="515" t="s">
        <v>824</v>
      </c>
    </row>
    <row r="13" spans="1:12" ht="12.75" customHeight="1">
      <c r="A13" s="122">
        <v>8</v>
      </c>
      <c r="B13" s="122" t="s">
        <v>411</v>
      </c>
      <c r="C13" s="118"/>
      <c r="D13" s="189">
        <v>0</v>
      </c>
      <c r="E13" s="189">
        <v>0</v>
      </c>
      <c r="F13" s="189">
        <v>0</v>
      </c>
      <c r="G13" s="189">
        <v>0</v>
      </c>
      <c r="H13" s="189">
        <f t="shared" si="0"/>
        <v>0</v>
      </c>
    </row>
    <row r="14" spans="1:12" ht="12.75" customHeight="1">
      <c r="A14" s="122">
        <v>9</v>
      </c>
      <c r="B14" s="122" t="s">
        <v>412</v>
      </c>
      <c r="C14" s="118"/>
      <c r="D14" s="189">
        <v>12056096</v>
      </c>
      <c r="E14" s="189">
        <v>0</v>
      </c>
      <c r="F14" s="189">
        <v>0</v>
      </c>
      <c r="G14" s="189"/>
      <c r="H14" s="427">
        <f t="shared" si="0"/>
        <v>12056096</v>
      </c>
      <c r="J14" s="515" t="s">
        <v>824</v>
      </c>
    </row>
    <row r="15" spans="1:12" ht="12.75" customHeight="1">
      <c r="A15" s="122">
        <v>10</v>
      </c>
      <c r="B15" s="122" t="s">
        <v>413</v>
      </c>
      <c r="C15" s="118"/>
      <c r="D15" s="189">
        <f>3015770+1924706</f>
        <v>4940476</v>
      </c>
      <c r="E15" s="189">
        <v>0</v>
      </c>
      <c r="F15" s="189">
        <v>0</v>
      </c>
      <c r="G15" s="189">
        <v>0</v>
      </c>
      <c r="H15" s="427">
        <f t="shared" si="0"/>
        <v>4940476</v>
      </c>
      <c r="J15" s="515" t="s">
        <v>824</v>
      </c>
      <c r="L15" s="434"/>
    </row>
    <row r="16" spans="1:12" ht="12.75" customHeight="1">
      <c r="A16" s="119">
        <v>11</v>
      </c>
      <c r="B16" s="119" t="s">
        <v>414</v>
      </c>
      <c r="C16" s="104"/>
      <c r="D16" s="190">
        <f>SUM(D12:D15)</f>
        <v>17778710</v>
      </c>
      <c r="E16" s="190">
        <f>SUM(E12:E15)</f>
        <v>0</v>
      </c>
      <c r="F16" s="190">
        <f>SUM(F12:F15)</f>
        <v>0</v>
      </c>
      <c r="G16" s="190">
        <f>SUM(G12:G15)</f>
        <v>0</v>
      </c>
      <c r="H16" s="177">
        <f t="shared" si="0"/>
        <v>17778710</v>
      </c>
    </row>
    <row r="17" spans="1:13" ht="12.75" customHeight="1">
      <c r="A17" s="122">
        <v>12</v>
      </c>
      <c r="B17" s="122" t="s">
        <v>415</v>
      </c>
      <c r="C17" s="118"/>
      <c r="D17" s="189">
        <v>151023</v>
      </c>
      <c r="E17" s="189">
        <v>13144</v>
      </c>
      <c r="F17" s="189">
        <v>0</v>
      </c>
      <c r="G17" s="189">
        <v>0</v>
      </c>
      <c r="H17" s="427">
        <f t="shared" si="0"/>
        <v>164167</v>
      </c>
      <c r="J17" s="515" t="s">
        <v>824</v>
      </c>
    </row>
    <row r="18" spans="1:13" ht="12.75" customHeight="1">
      <c r="A18" s="122">
        <v>13</v>
      </c>
      <c r="B18" s="122" t="s">
        <v>416</v>
      </c>
      <c r="C18" s="118"/>
      <c r="D18" s="189">
        <v>0</v>
      </c>
      <c r="E18" s="189">
        <v>0</v>
      </c>
      <c r="F18" s="189">
        <v>0</v>
      </c>
      <c r="G18" s="189">
        <v>0</v>
      </c>
      <c r="H18" s="427">
        <f t="shared" si="0"/>
        <v>0</v>
      </c>
    </row>
    <row r="19" spans="1:13" ht="12.75" customHeight="1">
      <c r="A19" s="122">
        <v>14</v>
      </c>
      <c r="B19" s="122" t="s">
        <v>417</v>
      </c>
      <c r="C19" s="118"/>
      <c r="D19" s="189">
        <v>9556699</v>
      </c>
      <c r="E19" s="189">
        <v>0</v>
      </c>
      <c r="F19" s="189">
        <v>0</v>
      </c>
      <c r="G19" s="189"/>
      <c r="H19" s="427">
        <f t="shared" si="0"/>
        <v>9556699</v>
      </c>
      <c r="J19" s="515" t="s">
        <v>824</v>
      </c>
      <c r="K19" s="318"/>
      <c r="L19" s="318"/>
      <c r="M19" s="318"/>
    </row>
    <row r="20" spans="1:13" ht="12.75" customHeight="1">
      <c r="A20" s="122">
        <v>15</v>
      </c>
      <c r="B20" s="122" t="s">
        <v>418</v>
      </c>
      <c r="C20" s="118"/>
      <c r="D20" s="189">
        <f>34259861+26607271+3410479+23292763+6352174+2067118+5503163</f>
        <v>101492829</v>
      </c>
      <c r="E20" s="189">
        <f>1014804+1095199+426268+1092138+3736346+285270</f>
        <v>7650025</v>
      </c>
      <c r="F20" s="189">
        <f>165177+153702+23067+151812+1892818+51106</f>
        <v>2437682</v>
      </c>
      <c r="G20" s="189">
        <v>0</v>
      </c>
      <c r="H20" s="427">
        <f t="shared" si="0"/>
        <v>106705172</v>
      </c>
      <c r="J20" s="515" t="s">
        <v>824</v>
      </c>
      <c r="K20" s="318"/>
      <c r="L20" s="318"/>
      <c r="M20" s="318"/>
    </row>
    <row r="21" spans="1:13" ht="12.75" customHeight="1">
      <c r="A21" s="119">
        <v>16</v>
      </c>
      <c r="B21" s="119" t="s">
        <v>419</v>
      </c>
      <c r="C21" s="104"/>
      <c r="D21" s="190">
        <f>SUM(D17:D20)</f>
        <v>111200551</v>
      </c>
      <c r="E21" s="190">
        <f>SUM(E17:E20)</f>
        <v>7663169</v>
      </c>
      <c r="F21" s="190">
        <f>SUM(F17:F20)</f>
        <v>2437682</v>
      </c>
      <c r="G21" s="190">
        <f>SUM(G17:G20)</f>
        <v>0</v>
      </c>
      <c r="H21" s="177">
        <f t="shared" si="0"/>
        <v>116426038</v>
      </c>
      <c r="J21" s="515"/>
      <c r="K21" s="434"/>
      <c r="L21" s="318"/>
    </row>
    <row r="22" spans="1:13" ht="12.75" customHeight="1">
      <c r="A22" s="122">
        <v>17</v>
      </c>
      <c r="B22" s="122" t="s">
        <v>420</v>
      </c>
      <c r="C22" s="118"/>
      <c r="D22" s="189">
        <v>0</v>
      </c>
      <c r="E22" s="189">
        <v>0</v>
      </c>
      <c r="F22" s="189">
        <v>0</v>
      </c>
      <c r="G22" s="189">
        <v>0</v>
      </c>
      <c r="H22" s="189">
        <f t="shared" si="0"/>
        <v>0</v>
      </c>
      <c r="J22" s="515"/>
      <c r="L22" s="318"/>
    </row>
    <row r="23" spans="1:13" ht="12.75" customHeight="1">
      <c r="A23" s="122">
        <v>18</v>
      </c>
      <c r="B23" s="181" t="s">
        <v>421</v>
      </c>
      <c r="C23" s="118"/>
      <c r="D23" s="189">
        <v>10169833</v>
      </c>
      <c r="E23" s="189">
        <v>602424</v>
      </c>
      <c r="F23" s="189">
        <v>357183</v>
      </c>
      <c r="G23" s="190"/>
      <c r="H23" s="189">
        <f t="shared" si="0"/>
        <v>10415074</v>
      </c>
      <c r="J23" s="515" t="s">
        <v>824</v>
      </c>
      <c r="K23" s="435"/>
      <c r="L23" s="434"/>
    </row>
    <row r="24" spans="1:13" ht="12.75" customHeight="1">
      <c r="A24" s="182">
        <v>19</v>
      </c>
      <c r="B24" s="183" t="s">
        <v>645</v>
      </c>
      <c r="C24" s="120"/>
      <c r="D24" s="177">
        <f>D11+D16+D21+D23+D6</f>
        <v>139149094</v>
      </c>
      <c r="E24" s="177">
        <f t="shared" ref="E24:G24" si="2">E11+E16+E21+E23+E6</f>
        <v>8265593</v>
      </c>
      <c r="F24" s="177">
        <f t="shared" si="2"/>
        <v>2794865</v>
      </c>
      <c r="G24" s="177">
        <f t="shared" si="2"/>
        <v>0</v>
      </c>
      <c r="H24" s="177">
        <f t="shared" si="0"/>
        <v>144619822</v>
      </c>
      <c r="K24" s="436"/>
      <c r="L24" s="437"/>
    </row>
    <row r="25" spans="1:13" ht="12.75" customHeight="1">
      <c r="A25" s="122">
        <v>20</v>
      </c>
      <c r="B25" s="122" t="s">
        <v>422</v>
      </c>
      <c r="C25" s="118"/>
      <c r="D25" s="189">
        <v>0</v>
      </c>
      <c r="E25" s="189">
        <v>0</v>
      </c>
      <c r="F25" s="189">
        <v>0</v>
      </c>
      <c r="G25" s="189">
        <v>0</v>
      </c>
      <c r="H25" s="189">
        <f t="shared" si="0"/>
        <v>0</v>
      </c>
      <c r="K25" s="435"/>
      <c r="L25" s="434"/>
    </row>
    <row r="26" spans="1:13" ht="12.75" customHeight="1">
      <c r="A26" s="122">
        <v>21</v>
      </c>
      <c r="B26" s="122" t="s">
        <v>423</v>
      </c>
      <c r="C26" s="118"/>
      <c r="D26" s="189">
        <v>0</v>
      </c>
      <c r="E26" s="189">
        <v>0</v>
      </c>
      <c r="F26" s="189">
        <v>0</v>
      </c>
      <c r="G26" s="189">
        <v>0</v>
      </c>
      <c r="H26" s="189">
        <f t="shared" si="0"/>
        <v>0</v>
      </c>
    </row>
    <row r="27" spans="1:13" ht="12.75" customHeight="1">
      <c r="A27" s="122">
        <v>22</v>
      </c>
      <c r="B27" s="122" t="s">
        <v>424</v>
      </c>
      <c r="C27" s="118"/>
      <c r="D27" s="189">
        <v>0</v>
      </c>
      <c r="E27" s="189">
        <v>0</v>
      </c>
      <c r="F27" s="189">
        <v>0</v>
      </c>
      <c r="G27" s="189">
        <v>0</v>
      </c>
      <c r="H27" s="189">
        <f t="shared" si="0"/>
        <v>0</v>
      </c>
    </row>
    <row r="28" spans="1:13" ht="12.75" customHeight="1">
      <c r="A28" s="122">
        <v>23</v>
      </c>
      <c r="B28" s="122" t="s">
        <v>425</v>
      </c>
      <c r="C28" s="118"/>
      <c r="D28" s="189">
        <v>0</v>
      </c>
      <c r="E28" s="189">
        <v>0</v>
      </c>
      <c r="F28" s="189">
        <v>0</v>
      </c>
      <c r="G28" s="189">
        <v>0</v>
      </c>
      <c r="H28" s="189">
        <f t="shared" si="0"/>
        <v>0</v>
      </c>
    </row>
    <row r="29" spans="1:13" ht="12.75" customHeight="1">
      <c r="A29" s="122">
        <v>24</v>
      </c>
      <c r="B29" s="122" t="s">
        <v>426</v>
      </c>
      <c r="C29" s="118"/>
      <c r="D29" s="189">
        <v>0</v>
      </c>
      <c r="E29" s="189">
        <v>0</v>
      </c>
      <c r="F29" s="189">
        <v>0</v>
      </c>
      <c r="G29" s="189">
        <v>0</v>
      </c>
      <c r="H29" s="189">
        <f t="shared" si="0"/>
        <v>0</v>
      </c>
    </row>
    <row r="30" spans="1:13" ht="12.75" customHeight="1">
      <c r="A30" s="122">
        <v>25</v>
      </c>
      <c r="B30" s="122" t="s">
        <v>427</v>
      </c>
      <c r="C30" s="118"/>
      <c r="D30" s="189">
        <v>0</v>
      </c>
      <c r="E30" s="189">
        <v>0</v>
      </c>
      <c r="F30" s="189">
        <v>0</v>
      </c>
      <c r="G30" s="189">
        <v>0</v>
      </c>
      <c r="H30" s="189">
        <f t="shared" si="0"/>
        <v>0</v>
      </c>
    </row>
    <row r="31" spans="1:13" ht="12.75" customHeight="1">
      <c r="A31" s="122">
        <v>26</v>
      </c>
      <c r="B31" s="122" t="s">
        <v>428</v>
      </c>
      <c r="C31" s="118"/>
      <c r="D31" s="189">
        <v>0</v>
      </c>
      <c r="E31" s="189">
        <v>0</v>
      </c>
      <c r="F31" s="189">
        <v>0</v>
      </c>
      <c r="G31" s="189">
        <v>0</v>
      </c>
      <c r="H31" s="189">
        <f t="shared" si="0"/>
        <v>0</v>
      </c>
    </row>
    <row r="32" spans="1:13" ht="12.75" customHeight="1">
      <c r="A32" s="184">
        <v>27</v>
      </c>
      <c r="B32" s="184" t="s">
        <v>429</v>
      </c>
      <c r="C32" s="120"/>
      <c r="D32" s="177">
        <f>SUM(D24:D31)</f>
        <v>139149094</v>
      </c>
      <c r="E32" s="177">
        <f>SUM(E24:E31)</f>
        <v>8265593</v>
      </c>
      <c r="F32" s="177">
        <f t="shared" ref="F32:G32" si="3">SUM(F24:F31)</f>
        <v>2794865</v>
      </c>
      <c r="G32" s="177">
        <f t="shared" si="3"/>
        <v>0</v>
      </c>
      <c r="H32" s="177">
        <f t="shared" si="0"/>
        <v>144619822</v>
      </c>
    </row>
    <row r="33" spans="1:15" ht="12.75" customHeight="1">
      <c r="A33" s="122">
        <v>28</v>
      </c>
      <c r="B33" s="122" t="s">
        <v>430</v>
      </c>
      <c r="C33" s="118"/>
      <c r="D33" s="189">
        <v>4311260</v>
      </c>
      <c r="E33" s="189">
        <v>-950048</v>
      </c>
      <c r="F33" s="189">
        <v>0</v>
      </c>
      <c r="G33" s="189">
        <v>0</v>
      </c>
      <c r="H33" s="189">
        <f t="shared" si="0"/>
        <v>3361212</v>
      </c>
      <c r="J33" s="515" t="s">
        <v>824</v>
      </c>
    </row>
    <row r="34" spans="1:15" ht="12.75" customHeight="1">
      <c r="A34" s="184">
        <v>29</v>
      </c>
      <c r="B34" s="184" t="s">
        <v>431</v>
      </c>
      <c r="C34" s="120"/>
      <c r="D34" s="177">
        <f>SUM(D32:D33)</f>
        <v>143460354</v>
      </c>
      <c r="E34" s="177">
        <f>SUM(E32:E33)</f>
        <v>7315545</v>
      </c>
      <c r="F34" s="177">
        <f>SUM(F32:F33)</f>
        <v>2794865</v>
      </c>
      <c r="G34" s="177">
        <f t="shared" ref="G34" si="4">SUM(G32:G33)</f>
        <v>0</v>
      </c>
      <c r="H34" s="177">
        <f t="shared" si="0"/>
        <v>147981034</v>
      </c>
    </row>
    <row r="35" spans="1:15" ht="12.75" customHeight="1">
      <c r="A35" s="631" t="s">
        <v>632</v>
      </c>
      <c r="B35" s="632"/>
      <c r="C35" s="632"/>
      <c r="D35" s="632"/>
      <c r="E35" s="632"/>
      <c r="F35" s="632"/>
      <c r="G35" s="632"/>
      <c r="H35" s="633"/>
    </row>
    <row r="36" spans="1:15" ht="66.75" customHeight="1">
      <c r="A36" s="125" t="s">
        <v>633</v>
      </c>
      <c r="B36" s="126"/>
      <c r="C36" s="110" t="s">
        <v>432</v>
      </c>
      <c r="D36" s="211" t="s">
        <v>634</v>
      </c>
      <c r="E36" s="211" t="s">
        <v>635</v>
      </c>
      <c r="F36" s="211" t="s">
        <v>636</v>
      </c>
      <c r="G36" s="211" t="s">
        <v>637</v>
      </c>
      <c r="H36" s="211" t="s">
        <v>638</v>
      </c>
    </row>
    <row r="37" spans="1:15" ht="12.75" customHeight="1">
      <c r="A37" s="122">
        <v>1</v>
      </c>
      <c r="B37" s="122" t="s">
        <v>433</v>
      </c>
      <c r="C37" s="118"/>
      <c r="D37" s="189"/>
      <c r="E37" s="189"/>
      <c r="F37" s="189"/>
      <c r="G37" s="189"/>
      <c r="H37" s="189"/>
      <c r="I37" s="318"/>
      <c r="J37" s="318"/>
      <c r="K37" s="318"/>
      <c r="L37" s="318"/>
      <c r="M37" s="318"/>
      <c r="N37" s="318"/>
      <c r="O37" s="318"/>
    </row>
    <row r="38" spans="1:15" ht="12.75" customHeight="1">
      <c r="A38" s="122">
        <v>2</v>
      </c>
      <c r="B38" s="122" t="s">
        <v>434</v>
      </c>
      <c r="C38" s="118"/>
      <c r="D38" s="189"/>
      <c r="E38" s="189"/>
      <c r="F38" s="189"/>
      <c r="G38" s="189"/>
      <c r="H38" s="189"/>
      <c r="I38" s="318"/>
      <c r="J38" s="318"/>
      <c r="K38" s="318"/>
      <c r="L38" s="318"/>
      <c r="M38" s="318"/>
      <c r="N38" s="318"/>
      <c r="O38" s="318"/>
    </row>
    <row r="39" spans="1:15" ht="12.75" customHeight="1">
      <c r="A39" s="122">
        <v>3</v>
      </c>
      <c r="B39" s="122" t="s">
        <v>435</v>
      </c>
      <c r="C39" s="118"/>
      <c r="D39" s="189"/>
      <c r="E39" s="189"/>
      <c r="F39" s="189"/>
      <c r="G39" s="189"/>
      <c r="H39" s="189"/>
      <c r="I39" s="318"/>
      <c r="J39" s="318"/>
      <c r="K39" s="318"/>
      <c r="L39" s="318"/>
      <c r="M39" s="318"/>
      <c r="N39" s="318"/>
      <c r="O39" s="318"/>
    </row>
    <row r="40" spans="1:15" ht="12.75" customHeight="1">
      <c r="A40" s="122">
        <v>4</v>
      </c>
      <c r="B40" s="122" t="s">
        <v>436</v>
      </c>
      <c r="C40" s="118"/>
      <c r="D40" s="189"/>
      <c r="E40" s="189"/>
      <c r="F40" s="189"/>
      <c r="G40" s="189"/>
      <c r="H40" s="189"/>
      <c r="I40" s="318"/>
      <c r="J40" s="318"/>
      <c r="K40" s="318"/>
      <c r="L40" s="318"/>
      <c r="M40" s="318"/>
      <c r="N40" s="318"/>
      <c r="O40" s="318"/>
    </row>
    <row r="41" spans="1:15" ht="12.75" customHeight="1">
      <c r="A41" s="122">
        <v>5</v>
      </c>
      <c r="B41" s="122" t="s">
        <v>437</v>
      </c>
      <c r="C41" s="121"/>
      <c r="D41" s="189">
        <v>9362420</v>
      </c>
      <c r="E41" s="189">
        <v>467406</v>
      </c>
      <c r="F41" s="189"/>
      <c r="G41" s="189"/>
      <c r="H41" s="189">
        <f>D41+E41-F41+G41</f>
        <v>9829826</v>
      </c>
      <c r="I41" s="318"/>
      <c r="J41" s="516" t="s">
        <v>780</v>
      </c>
      <c r="K41" s="318"/>
      <c r="L41" s="318"/>
      <c r="M41" s="318"/>
      <c r="N41" s="318"/>
      <c r="O41" s="318"/>
    </row>
    <row r="42" spans="1:15" ht="12.75" customHeight="1">
      <c r="A42" s="122">
        <v>6</v>
      </c>
      <c r="B42" s="122" t="s">
        <v>438</v>
      </c>
      <c r="C42" s="315"/>
      <c r="D42" s="189">
        <v>26668600</v>
      </c>
      <c r="E42" s="189">
        <v>3510106</v>
      </c>
      <c r="F42" s="189">
        <v>2918298</v>
      </c>
      <c r="G42" s="189"/>
      <c r="H42" s="189">
        <f t="shared" ref="H42:H44" si="5">D42+E42-F42+G42</f>
        <v>27260408</v>
      </c>
      <c r="I42" s="318"/>
      <c r="J42" s="516" t="s">
        <v>780</v>
      </c>
      <c r="K42" s="318"/>
      <c r="L42" s="318"/>
      <c r="M42" s="318"/>
      <c r="N42" s="318"/>
      <c r="O42" s="318"/>
    </row>
    <row r="43" spans="1:15" ht="12.75" customHeight="1">
      <c r="A43" s="122">
        <v>7</v>
      </c>
      <c r="B43" s="185" t="s">
        <v>439</v>
      </c>
      <c r="C43" s="121"/>
      <c r="D43" s="189">
        <v>7133501</v>
      </c>
      <c r="E43" s="189">
        <v>769856</v>
      </c>
      <c r="F43" s="189">
        <v>357183</v>
      </c>
      <c r="G43" s="189"/>
      <c r="H43" s="189">
        <f t="shared" si="5"/>
        <v>7546174</v>
      </c>
      <c r="I43" s="318"/>
      <c r="J43" s="516" t="s">
        <v>780</v>
      </c>
      <c r="K43" s="318"/>
      <c r="L43" s="318"/>
      <c r="M43" s="318"/>
      <c r="N43" s="318"/>
      <c r="O43" s="318"/>
    </row>
    <row r="44" spans="1:15" ht="12.75" customHeight="1">
      <c r="A44" s="122">
        <v>8</v>
      </c>
      <c r="B44" s="185" t="s">
        <v>440</v>
      </c>
      <c r="C44" s="431"/>
      <c r="D44" s="189">
        <v>-180051</v>
      </c>
      <c r="E44" s="189"/>
      <c r="F44" s="189">
        <v>110463</v>
      </c>
      <c r="G44" s="189"/>
      <c r="H44" s="189">
        <f t="shared" si="5"/>
        <v>-290514</v>
      </c>
      <c r="I44" s="318"/>
      <c r="J44" s="516" t="s">
        <v>780</v>
      </c>
      <c r="K44" s="318"/>
      <c r="L44" s="318"/>
      <c r="M44" s="318"/>
      <c r="N44" s="318"/>
      <c r="O44" s="318"/>
    </row>
    <row r="45" spans="1:15" ht="12.75" customHeight="1">
      <c r="A45" s="186">
        <v>9</v>
      </c>
      <c r="B45" s="187" t="s">
        <v>441</v>
      </c>
      <c r="C45" s="432"/>
      <c r="D45" s="190">
        <f>SUM(D37:D44)</f>
        <v>42984470</v>
      </c>
      <c r="E45" s="190">
        <f>SUM(E37:E44)</f>
        <v>4747368</v>
      </c>
      <c r="F45" s="190">
        <f>SUM(F37:F44)</f>
        <v>3385944</v>
      </c>
      <c r="G45" s="190">
        <f>SUM(G37:G44)</f>
        <v>0</v>
      </c>
      <c r="H45" s="190">
        <f>SUM(H37:H44)</f>
        <v>44345894</v>
      </c>
      <c r="I45" s="438"/>
      <c r="J45" s="318"/>
      <c r="K45" s="318"/>
      <c r="L45" s="318"/>
      <c r="M45" s="318"/>
      <c r="N45" s="318"/>
      <c r="O45" s="318"/>
    </row>
    <row r="46" spans="1:15" ht="12.75" customHeight="1">
      <c r="A46" s="122">
        <v>10</v>
      </c>
      <c r="B46" s="122" t="s">
        <v>442</v>
      </c>
      <c r="C46" s="316"/>
      <c r="D46" s="428"/>
      <c r="E46" s="428"/>
      <c r="F46" s="428"/>
      <c r="G46" s="428"/>
      <c r="H46" s="189"/>
      <c r="I46" s="318"/>
      <c r="J46" s="318"/>
      <c r="K46" s="318"/>
      <c r="L46" s="318"/>
      <c r="M46" s="318"/>
      <c r="N46" s="318"/>
      <c r="O46" s="318"/>
    </row>
    <row r="47" spans="1:15" ht="12.75" customHeight="1">
      <c r="A47" s="122">
        <v>11</v>
      </c>
      <c r="B47" s="122" t="s">
        <v>443</v>
      </c>
      <c r="C47" s="121"/>
      <c r="D47" s="189"/>
      <c r="E47" s="189"/>
      <c r="F47" s="189"/>
      <c r="G47" s="189"/>
      <c r="H47" s="189"/>
      <c r="I47" s="318"/>
      <c r="J47" s="318"/>
      <c r="K47" s="318"/>
      <c r="L47" s="318"/>
      <c r="M47" s="318"/>
      <c r="N47" s="318"/>
      <c r="O47" s="318"/>
    </row>
    <row r="48" spans="1:15" ht="12.75" customHeight="1">
      <c r="A48" s="122">
        <v>12</v>
      </c>
      <c r="B48" s="122" t="s">
        <v>444</v>
      </c>
      <c r="C48" s="121"/>
      <c r="D48" s="189"/>
      <c r="E48" s="189"/>
      <c r="F48" s="189"/>
      <c r="G48" s="189"/>
      <c r="H48" s="189"/>
      <c r="I48" s="318"/>
      <c r="J48" s="318"/>
      <c r="K48" s="318"/>
      <c r="L48" s="318"/>
      <c r="M48" s="318"/>
      <c r="N48" s="318"/>
      <c r="O48" s="318"/>
    </row>
    <row r="49" spans="1:15" ht="12.75" customHeight="1">
      <c r="A49" s="122">
        <v>13</v>
      </c>
      <c r="B49" s="122" t="s">
        <v>445</v>
      </c>
      <c r="C49" s="121"/>
      <c r="D49" s="189"/>
      <c r="E49" s="189"/>
      <c r="F49" s="189"/>
      <c r="G49" s="189"/>
      <c r="H49" s="189"/>
      <c r="I49" s="318"/>
      <c r="J49" s="318"/>
      <c r="K49" s="318"/>
      <c r="L49" s="318"/>
      <c r="M49" s="318"/>
      <c r="N49" s="318"/>
      <c r="O49" s="318"/>
    </row>
    <row r="50" spans="1:15" ht="12.75" customHeight="1">
      <c r="A50" s="122">
        <v>14</v>
      </c>
      <c r="B50" s="122" t="s">
        <v>446</v>
      </c>
      <c r="C50" s="121"/>
      <c r="D50" s="189"/>
      <c r="E50" s="189"/>
      <c r="F50" s="189"/>
      <c r="G50" s="189"/>
      <c r="H50" s="189"/>
      <c r="I50" s="318"/>
      <c r="J50" s="318"/>
      <c r="K50" s="318"/>
      <c r="L50" s="318"/>
      <c r="M50" s="318"/>
      <c r="N50" s="318"/>
      <c r="O50" s="318"/>
    </row>
    <row r="51" spans="1:15" ht="12.75" customHeight="1">
      <c r="A51" s="122">
        <v>15</v>
      </c>
      <c r="B51" s="122" t="s">
        <v>447</v>
      </c>
      <c r="C51" s="121"/>
      <c r="D51" s="189"/>
      <c r="E51" s="189"/>
      <c r="F51" s="189"/>
      <c r="G51" s="189"/>
      <c r="H51" s="189"/>
      <c r="I51" s="318"/>
      <c r="J51" s="318"/>
      <c r="K51" s="318"/>
      <c r="L51" s="318"/>
      <c r="M51" s="318"/>
      <c r="N51" s="318"/>
      <c r="O51" s="318"/>
    </row>
    <row r="52" spans="1:15" ht="12.75" customHeight="1">
      <c r="A52" s="122">
        <v>16</v>
      </c>
      <c r="B52" s="122" t="s">
        <v>448</v>
      </c>
      <c r="C52" s="121"/>
      <c r="D52" s="189"/>
      <c r="E52" s="189"/>
      <c r="F52" s="189"/>
      <c r="G52" s="189"/>
      <c r="H52" s="189"/>
      <c r="I52" s="318"/>
      <c r="J52" s="318"/>
      <c r="K52" s="318"/>
      <c r="L52" s="318"/>
      <c r="M52" s="318"/>
      <c r="N52" s="318"/>
      <c r="O52" s="318"/>
    </row>
    <row r="53" spans="1:15" ht="12.75" customHeight="1">
      <c r="A53" s="122">
        <v>17</v>
      </c>
      <c r="B53" s="122" t="s">
        <v>449</v>
      </c>
      <c r="C53" s="118"/>
      <c r="D53" s="189"/>
      <c r="E53" s="189"/>
      <c r="F53" s="189"/>
      <c r="G53" s="189"/>
      <c r="H53" s="189"/>
      <c r="I53" s="318"/>
      <c r="J53" s="318"/>
      <c r="K53" s="318"/>
      <c r="L53" s="318"/>
      <c r="M53" s="318"/>
      <c r="N53" s="318"/>
      <c r="O53" s="318"/>
    </row>
    <row r="54" spans="1:15" ht="12.75" customHeight="1">
      <c r="A54" s="186">
        <v>18</v>
      </c>
      <c r="B54" s="188" t="s">
        <v>646</v>
      </c>
      <c r="C54" s="104"/>
      <c r="D54" s="190">
        <f>SUM(D45:D53)</f>
        <v>42984470</v>
      </c>
      <c r="E54" s="190">
        <f>SUM(E45:E53)</f>
        <v>4747368</v>
      </c>
      <c r="F54" s="190">
        <f>SUM(F45:F53)</f>
        <v>3385944</v>
      </c>
      <c r="G54" s="190">
        <f>SUM(G45:G53)</f>
        <v>0</v>
      </c>
      <c r="H54" s="190">
        <f>SUM(H45:H53)</f>
        <v>44345894</v>
      </c>
      <c r="I54" s="318"/>
      <c r="J54" s="318"/>
      <c r="K54" s="318"/>
      <c r="L54" s="318"/>
      <c r="M54" s="318"/>
      <c r="N54" s="318"/>
      <c r="O54" s="318"/>
    </row>
    <row r="55" spans="1:15" ht="12.75" customHeight="1">
      <c r="A55" s="130" t="s">
        <v>450</v>
      </c>
      <c r="B55" s="131"/>
      <c r="C55" s="131"/>
      <c r="D55" s="131"/>
      <c r="E55" s="131"/>
      <c r="F55" s="131"/>
      <c r="G55" s="131"/>
      <c r="H55" s="132"/>
      <c r="I55" s="318"/>
      <c r="J55" s="318"/>
      <c r="K55" s="318"/>
      <c r="L55" s="318"/>
      <c r="M55" s="318"/>
      <c r="N55" s="318"/>
      <c r="O55" s="318"/>
    </row>
    <row r="56" spans="1:15">
      <c r="A56" s="100"/>
      <c r="B56" s="100"/>
      <c r="C56" s="100"/>
      <c r="D56" s="100"/>
      <c r="E56" s="100"/>
      <c r="F56" s="100"/>
      <c r="G56" s="100"/>
      <c r="H56" s="100"/>
      <c r="I56" s="318"/>
      <c r="J56" s="318"/>
      <c r="K56" s="318"/>
      <c r="L56" s="318"/>
      <c r="M56" s="318"/>
      <c r="N56" s="318"/>
      <c r="O56" s="318"/>
    </row>
    <row r="57" spans="1:15">
      <c r="B57" s="318"/>
      <c r="C57" s="318"/>
      <c r="D57" s="318"/>
      <c r="E57" s="318"/>
      <c r="F57" s="318"/>
      <c r="G57" s="318"/>
      <c r="H57" s="439"/>
      <c r="I57" s="318"/>
      <c r="J57" s="318"/>
      <c r="K57" s="318"/>
      <c r="L57" s="318"/>
      <c r="M57" s="318"/>
      <c r="N57" s="318"/>
      <c r="O57" s="318"/>
    </row>
    <row r="58" spans="1:15">
      <c r="B58" s="318"/>
      <c r="C58" s="318"/>
      <c r="D58" s="318"/>
      <c r="E58" s="318"/>
      <c r="F58" s="318"/>
      <c r="G58" s="318"/>
      <c r="H58" s="318"/>
      <c r="I58" s="318"/>
      <c r="J58" s="318"/>
      <c r="K58" s="318"/>
      <c r="L58" s="318"/>
      <c r="M58" s="318"/>
      <c r="N58" s="318"/>
      <c r="O58" s="318"/>
    </row>
  </sheetData>
  <mergeCells count="6">
    <mergeCell ref="A35:H35"/>
    <mergeCell ref="A4:H4"/>
    <mergeCell ref="A1:B2"/>
    <mergeCell ref="C1:H1"/>
    <mergeCell ref="C2:H2"/>
    <mergeCell ref="A3:H3"/>
  </mergeCells>
  <printOptions horizontalCentered="1"/>
  <pageMargins left="0.7" right="0.7" top="0.75" bottom="0.75" header="0.3" footer="0.3"/>
  <pageSetup scale="59" orientation="landscape" r:id="rId1"/>
  <rowBreaks count="1" manualBreakCount="1">
    <brk id="55" max="7" man="1"/>
  </rowBreaks>
  <drawing r:id="rId2"/>
  <legacyDrawing r:id="rId3"/>
  <oleObjects>
    <mc:AlternateContent xmlns:mc="http://schemas.openxmlformats.org/markup-compatibility/2006">
      <mc:Choice Requires="x14">
        <oleObject progId="Acrobat.Document.2015" shapeId="21505" r:id="rId4">
          <objectPr defaultSize="0" r:id="rId5">
            <anchor moveWithCells="1">
              <from>
                <xdr:col>12</xdr:col>
                <xdr:colOff>0</xdr:colOff>
                <xdr:row>5</xdr:row>
                <xdr:rowOff>0</xdr:rowOff>
              </from>
              <to>
                <xdr:col>19</xdr:col>
                <xdr:colOff>495300</xdr:colOff>
                <xdr:row>47</xdr:row>
                <xdr:rowOff>57150</xdr:rowOff>
              </to>
            </anchor>
          </objectPr>
        </oleObject>
      </mc:Choice>
      <mc:Fallback>
        <oleObject progId="Acrobat.Document.2015" shapeId="2150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0"/>
  <sheetViews>
    <sheetView zoomScaleNormal="100" workbookViewId="0">
      <selection sqref="A1:B2"/>
    </sheetView>
  </sheetViews>
  <sheetFormatPr defaultRowHeight="15"/>
  <cols>
    <col min="1" max="1" width="4" customWidth="1"/>
    <col min="2" max="2" width="30" customWidth="1"/>
    <col min="3" max="3" width="15.44140625" customWidth="1"/>
    <col min="4" max="4" width="1.88671875" customWidth="1"/>
    <col min="5" max="5" width="11.88671875" customWidth="1"/>
    <col min="6" max="6" width="12.33203125" customWidth="1"/>
    <col min="7" max="7" width="11.33203125" customWidth="1"/>
    <col min="8" max="8" width="12.77734375" customWidth="1"/>
  </cols>
  <sheetData>
    <row r="1" spans="1:15" ht="38.25" customHeight="1">
      <c r="A1" s="649" t="s">
        <v>452</v>
      </c>
      <c r="B1" s="650"/>
      <c r="C1" s="656" t="s">
        <v>685</v>
      </c>
      <c r="D1" s="657"/>
      <c r="E1" s="657"/>
      <c r="F1" s="657"/>
      <c r="G1" s="658"/>
      <c r="H1" s="157"/>
      <c r="I1" s="157"/>
      <c r="J1" s="157"/>
      <c r="K1" s="157"/>
      <c r="L1" s="157"/>
      <c r="M1" s="157"/>
      <c r="N1" s="157"/>
      <c r="O1" s="157"/>
    </row>
    <row r="2" spans="1:15" ht="41.25" customHeight="1">
      <c r="A2" s="651"/>
      <c r="B2" s="652"/>
      <c r="C2" s="656" t="s">
        <v>816</v>
      </c>
      <c r="D2" s="657"/>
      <c r="E2" s="657"/>
      <c r="F2" s="657"/>
      <c r="G2" s="658"/>
      <c r="H2" s="157"/>
      <c r="I2" s="157"/>
      <c r="J2" s="157"/>
      <c r="K2" s="157"/>
      <c r="L2" s="157"/>
      <c r="M2" s="157"/>
      <c r="N2" s="157"/>
      <c r="O2" s="157"/>
    </row>
    <row r="3" spans="1:15" ht="12.75" customHeight="1">
      <c r="A3" s="646" t="s">
        <v>283</v>
      </c>
      <c r="B3" s="647"/>
      <c r="C3" s="647"/>
      <c r="D3" s="647"/>
      <c r="E3" s="647"/>
      <c r="F3" s="647"/>
      <c r="G3" s="648"/>
      <c r="H3" s="157"/>
      <c r="I3" s="157"/>
      <c r="J3" s="157"/>
      <c r="K3" s="157"/>
      <c r="L3" s="157"/>
      <c r="M3" s="157"/>
      <c r="N3" s="157"/>
      <c r="O3" s="157"/>
    </row>
    <row r="4" spans="1:15" ht="12.75" customHeight="1">
      <c r="A4" s="653" t="s">
        <v>453</v>
      </c>
      <c r="B4" s="654"/>
      <c r="C4" s="654"/>
      <c r="D4" s="654"/>
      <c r="E4" s="654"/>
      <c r="F4" s="654"/>
      <c r="G4" s="655"/>
      <c r="H4" s="157"/>
      <c r="I4" s="157"/>
      <c r="J4" s="157"/>
      <c r="K4" s="157"/>
      <c r="L4" s="157"/>
      <c r="M4" s="157"/>
      <c r="N4" s="157"/>
      <c r="O4" s="157"/>
    </row>
    <row r="5" spans="1:15" ht="50.25" customHeight="1">
      <c r="A5" s="659" t="s">
        <v>454</v>
      </c>
      <c r="B5" s="659"/>
      <c r="C5" s="160" t="s">
        <v>455</v>
      </c>
      <c r="D5" s="161"/>
      <c r="E5" s="160" t="s">
        <v>456</v>
      </c>
      <c r="F5" s="162" t="s">
        <v>457</v>
      </c>
      <c r="G5" s="160" t="s">
        <v>458</v>
      </c>
      <c r="H5" s="157"/>
      <c r="I5" s="157"/>
      <c r="J5" s="157"/>
      <c r="K5" s="157"/>
      <c r="L5" s="157"/>
      <c r="M5" s="157"/>
      <c r="N5" s="157"/>
      <c r="O5" s="157"/>
    </row>
    <row r="6" spans="1:15" ht="12.75" customHeight="1">
      <c r="A6" s="166">
        <v>1</v>
      </c>
      <c r="B6" s="166" t="s">
        <v>459</v>
      </c>
      <c r="C6" s="189"/>
      <c r="D6" s="189"/>
      <c r="E6" s="189"/>
      <c r="F6" s="189"/>
      <c r="G6" s="189"/>
      <c r="H6" s="157"/>
      <c r="I6" s="157"/>
      <c r="J6" s="157"/>
      <c r="K6" s="157"/>
      <c r="L6" s="157"/>
      <c r="M6" s="157"/>
      <c r="N6" s="157"/>
      <c r="O6" s="157"/>
    </row>
    <row r="7" spans="1:15" ht="12.75" customHeight="1">
      <c r="A7" s="166">
        <v>2</v>
      </c>
      <c r="B7" s="166" t="s">
        <v>460</v>
      </c>
      <c r="C7" s="189"/>
      <c r="D7" s="189"/>
      <c r="E7" s="189"/>
      <c r="F7" s="189"/>
      <c r="G7" s="189"/>
      <c r="H7" s="157"/>
      <c r="I7" s="157"/>
      <c r="J7" s="157"/>
      <c r="K7" s="157"/>
      <c r="L7" s="157"/>
      <c r="M7" s="157"/>
      <c r="N7" s="157"/>
      <c r="O7" s="157"/>
    </row>
    <row r="8" spans="1:15" ht="12.75" customHeight="1">
      <c r="A8" s="166">
        <v>3</v>
      </c>
      <c r="B8" s="166" t="s">
        <v>461</v>
      </c>
      <c r="C8" s="189"/>
      <c r="D8" s="189"/>
      <c r="E8" s="189"/>
      <c r="F8" s="189"/>
      <c r="G8" s="189"/>
      <c r="H8" s="157"/>
      <c r="I8" s="157"/>
      <c r="J8" s="157"/>
      <c r="K8" s="157"/>
      <c r="L8" s="157"/>
      <c r="M8" s="157"/>
      <c r="N8" s="157"/>
      <c r="O8" s="157"/>
    </row>
    <row r="9" spans="1:15" ht="12.75" customHeight="1">
      <c r="A9" s="166">
        <v>4</v>
      </c>
      <c r="B9" s="166" t="s">
        <v>462</v>
      </c>
      <c r="C9" s="189"/>
      <c r="D9" s="189"/>
      <c r="E9" s="189"/>
      <c r="F9" s="189"/>
      <c r="G9" s="427"/>
      <c r="N9" s="157"/>
      <c r="O9" s="157"/>
    </row>
    <row r="10" spans="1:15" ht="12.75" customHeight="1">
      <c r="A10" s="166">
        <v>5</v>
      </c>
      <c r="B10" s="166" t="s">
        <v>463</v>
      </c>
      <c r="C10" s="189"/>
      <c r="D10" s="189"/>
      <c r="E10" s="189"/>
      <c r="F10" s="189"/>
      <c r="G10" s="189">
        <f>650011.65+336.71</f>
        <v>650348.36</v>
      </c>
      <c r="I10" t="s">
        <v>775</v>
      </c>
      <c r="N10" s="157"/>
      <c r="O10" s="157"/>
    </row>
    <row r="11" spans="1:15" ht="12.75" customHeight="1">
      <c r="A11" s="166">
        <v>6</v>
      </c>
      <c r="B11" s="166" t="s">
        <v>464</v>
      </c>
      <c r="C11" s="189"/>
      <c r="D11" s="189"/>
      <c r="E11" s="189"/>
      <c r="F11" s="189"/>
      <c r="G11" s="189"/>
      <c r="N11" s="157"/>
      <c r="O11" s="157"/>
    </row>
    <row r="12" spans="1:15" ht="12.75" customHeight="1">
      <c r="A12" s="164">
        <v>7</v>
      </c>
      <c r="B12" s="164" t="s">
        <v>465</v>
      </c>
      <c r="C12" s="190"/>
      <c r="D12" s="190"/>
      <c r="E12" s="190">
        <f t="shared" ref="E12:G12" si="0">SUM(E6:E11)</f>
        <v>0</v>
      </c>
      <c r="F12" s="190">
        <f t="shared" si="0"/>
        <v>0</v>
      </c>
      <c r="G12" s="190">
        <f t="shared" si="0"/>
        <v>650348.36</v>
      </c>
      <c r="N12" s="159"/>
      <c r="O12" s="159"/>
    </row>
    <row r="13" spans="1:15" ht="12.75" customHeight="1">
      <c r="A13" s="660" t="s">
        <v>639</v>
      </c>
      <c r="B13" s="661"/>
      <c r="C13" s="661"/>
      <c r="D13" s="661"/>
      <c r="E13" s="661"/>
      <c r="F13" s="661"/>
      <c r="G13" s="662"/>
      <c r="N13" s="157"/>
      <c r="O13" s="157"/>
    </row>
    <row r="14" spans="1:15" ht="12.75" customHeight="1">
      <c r="A14" s="385">
        <v>1</v>
      </c>
      <c r="B14" s="386" t="s">
        <v>466</v>
      </c>
      <c r="C14" s="387"/>
      <c r="D14" s="385">
        <v>4</v>
      </c>
      <c r="E14" s="388" t="s">
        <v>467</v>
      </c>
      <c r="F14" s="180">
        <v>3987348</v>
      </c>
      <c r="G14" s="383"/>
      <c r="N14" s="157"/>
      <c r="O14" s="157"/>
    </row>
    <row r="15" spans="1:15" ht="12.75" customHeight="1">
      <c r="A15" s="178">
        <v>2</v>
      </c>
      <c r="B15" s="179" t="s">
        <v>468</v>
      </c>
      <c r="C15" s="180"/>
      <c r="D15" s="178">
        <v>5</v>
      </c>
      <c r="E15" s="166" t="s">
        <v>469</v>
      </c>
      <c r="F15" s="180">
        <v>1423155</v>
      </c>
      <c r="G15" s="383"/>
      <c r="N15" s="157"/>
      <c r="O15" s="157"/>
    </row>
    <row r="16" spans="1:15" ht="12.75" customHeight="1">
      <c r="A16" s="178">
        <v>3</v>
      </c>
      <c r="B16" s="179" t="s">
        <v>470</v>
      </c>
      <c r="C16" s="180"/>
      <c r="D16" s="178">
        <v>6</v>
      </c>
      <c r="E16" s="166" t="s">
        <v>471</v>
      </c>
      <c r="F16" s="180">
        <v>1509464</v>
      </c>
      <c r="G16" s="383"/>
      <c r="H16" s="157"/>
      <c r="I16" s="157"/>
      <c r="J16" s="157"/>
      <c r="K16" s="157"/>
      <c r="L16" s="157"/>
      <c r="M16" s="157"/>
      <c r="N16" s="157"/>
      <c r="O16" s="157"/>
    </row>
    <row r="17" spans="1:8" ht="12.75" customHeight="1">
      <c r="A17" s="317" t="s">
        <v>451</v>
      </c>
      <c r="B17" s="167"/>
      <c r="C17" s="167"/>
      <c r="D17" s="167"/>
      <c r="E17" s="167"/>
      <c r="F17" s="168"/>
      <c r="G17" s="384"/>
      <c r="H17" s="141"/>
    </row>
    <row r="18" spans="1:8" ht="12.75" customHeight="1">
      <c r="A18" s="158"/>
      <c r="B18" s="158"/>
      <c r="C18" s="158"/>
      <c r="D18" s="158"/>
      <c r="E18" s="158"/>
      <c r="F18" s="157"/>
      <c r="G18" s="157"/>
      <c r="H18" s="141"/>
    </row>
    <row r="19" spans="1:8" ht="12.75" customHeight="1">
      <c r="A19" s="136"/>
      <c r="B19" s="136"/>
      <c r="C19" s="105"/>
      <c r="D19" s="140"/>
      <c r="E19" s="141"/>
      <c r="F19" s="141"/>
      <c r="G19" s="141"/>
      <c r="H19" s="141"/>
    </row>
    <row r="20" spans="1:8" ht="12.75" customHeight="1">
      <c r="A20" s="136"/>
      <c r="B20" s="136"/>
      <c r="C20" s="105"/>
      <c r="D20" s="140"/>
      <c r="E20" s="141"/>
      <c r="F20" s="141"/>
      <c r="G20" s="141"/>
      <c r="H20" s="141"/>
    </row>
    <row r="21" spans="1:8" ht="12.75" customHeight="1">
      <c r="A21" s="139"/>
      <c r="B21" s="139"/>
      <c r="C21" s="433"/>
      <c r="D21" s="142"/>
      <c r="E21" s="433"/>
      <c r="F21" s="433"/>
      <c r="G21" s="142"/>
      <c r="H21" s="142"/>
    </row>
    <row r="22" spans="1:8" ht="12.75" customHeight="1">
      <c r="A22" s="136"/>
      <c r="B22" s="136"/>
      <c r="C22" s="105"/>
      <c r="D22" s="137"/>
      <c r="E22" s="138"/>
      <c r="F22" s="138"/>
      <c r="G22" s="138"/>
      <c r="H22" s="141"/>
    </row>
    <row r="23" spans="1:8" ht="12.75" customHeight="1">
      <c r="A23" s="136"/>
      <c r="B23" s="143"/>
      <c r="C23" s="105"/>
      <c r="D23" s="140"/>
      <c r="E23" s="141"/>
      <c r="F23" s="141"/>
      <c r="G23" s="141"/>
      <c r="H23" s="141"/>
    </row>
    <row r="24" spans="1:8" ht="12.75" customHeight="1">
      <c r="A24" s="144"/>
      <c r="B24" s="145"/>
      <c r="C24" s="103"/>
      <c r="D24" s="146"/>
      <c r="E24" s="146"/>
      <c r="F24" s="146"/>
      <c r="G24" s="146"/>
      <c r="H24" s="146"/>
    </row>
    <row r="25" spans="1:8" ht="12.75" customHeight="1">
      <c r="A25" s="136"/>
      <c r="B25" s="136"/>
      <c r="C25" s="105"/>
      <c r="D25" s="140"/>
      <c r="E25" s="141"/>
      <c r="F25" s="141"/>
      <c r="G25" s="141"/>
      <c r="H25" s="141"/>
    </row>
    <row r="26" spans="1:8" ht="12.75" customHeight="1">
      <c r="A26" s="136"/>
      <c r="B26" s="136"/>
      <c r="C26" s="105"/>
      <c r="D26" s="140"/>
      <c r="E26" s="141"/>
      <c r="F26" s="141"/>
      <c r="G26" s="141"/>
      <c r="H26" s="141"/>
    </row>
    <row r="27" spans="1:8" ht="12.75" customHeight="1">
      <c r="A27" s="136"/>
      <c r="B27" s="136"/>
      <c r="C27" s="105"/>
      <c r="D27" s="140"/>
      <c r="E27" s="141"/>
      <c r="F27" s="141"/>
      <c r="G27" s="141"/>
      <c r="H27" s="141"/>
    </row>
    <row r="28" spans="1:8" ht="12.75" customHeight="1">
      <c r="A28" s="136"/>
      <c r="B28" s="136"/>
      <c r="C28" s="105"/>
      <c r="D28" s="140"/>
      <c r="E28" s="141"/>
      <c r="F28" s="141"/>
      <c r="G28" s="141"/>
      <c r="H28" s="141"/>
    </row>
    <row r="29" spans="1:8" ht="12.75" customHeight="1">
      <c r="A29" s="136"/>
      <c r="B29" s="136"/>
      <c r="C29" s="105"/>
      <c r="D29" s="140"/>
      <c r="E29" s="141"/>
      <c r="F29" s="141"/>
      <c r="G29" s="141"/>
      <c r="H29" s="141"/>
    </row>
    <row r="30" spans="1:8" ht="12.75" customHeight="1">
      <c r="A30" s="136"/>
      <c r="B30" s="136"/>
      <c r="C30" s="105"/>
      <c r="D30" s="140"/>
      <c r="E30" s="141"/>
      <c r="F30" s="141"/>
      <c r="G30" s="141"/>
      <c r="H30" s="141"/>
    </row>
    <row r="31" spans="1:8" ht="12.75" customHeight="1">
      <c r="A31" s="136"/>
      <c r="B31" s="136"/>
      <c r="C31" s="105"/>
      <c r="D31" s="140"/>
      <c r="E31" s="141"/>
      <c r="F31" s="141"/>
      <c r="G31" s="141"/>
      <c r="H31" s="141"/>
    </row>
    <row r="32" spans="1:8" ht="12.75" customHeight="1">
      <c r="A32" s="147"/>
      <c r="B32" s="147"/>
      <c r="C32" s="103"/>
      <c r="D32" s="146"/>
      <c r="E32" s="146"/>
      <c r="F32" s="146"/>
      <c r="G32" s="146"/>
      <c r="H32" s="146"/>
    </row>
    <row r="33" spans="1:14" ht="12.75" customHeight="1">
      <c r="A33" s="136"/>
      <c r="B33" s="136"/>
      <c r="C33" s="105"/>
      <c r="D33" s="140"/>
      <c r="E33" s="141"/>
      <c r="F33" s="138"/>
      <c r="G33" s="138"/>
      <c r="H33" s="141"/>
    </row>
    <row r="34" spans="1:14" ht="12.75" customHeight="1">
      <c r="A34" s="147"/>
      <c r="B34" s="147"/>
      <c r="C34" s="103"/>
      <c r="D34" s="146"/>
      <c r="E34" s="146"/>
      <c r="F34" s="146"/>
      <c r="G34" s="146"/>
      <c r="H34" s="146"/>
    </row>
    <row r="35" spans="1:14" ht="12.75" customHeight="1">
      <c r="A35" s="156"/>
      <c r="B35" s="156"/>
      <c r="C35" s="156"/>
      <c r="D35" s="156"/>
      <c r="E35" s="156"/>
      <c r="F35" s="156"/>
      <c r="G35" s="156"/>
      <c r="H35" s="156"/>
    </row>
    <row r="36" spans="1:14" ht="12.75" customHeight="1">
      <c r="A36" s="148"/>
      <c r="B36" s="148"/>
      <c r="C36" s="135"/>
      <c r="D36" s="135"/>
      <c r="E36" s="148"/>
      <c r="F36" s="135"/>
      <c r="G36" s="135"/>
      <c r="H36" s="135"/>
    </row>
    <row r="37" spans="1:14" ht="12.75" customHeight="1">
      <c r="A37" s="136"/>
      <c r="B37" s="136"/>
      <c r="C37" s="149"/>
      <c r="D37" s="149"/>
      <c r="E37" s="149"/>
      <c r="F37" s="149"/>
      <c r="G37" s="149"/>
      <c r="H37" s="149"/>
    </row>
    <row r="38" spans="1:14" ht="12.75" customHeight="1">
      <c r="A38" s="136"/>
      <c r="B38" s="136"/>
      <c r="C38" s="149"/>
      <c r="D38" s="149"/>
      <c r="E38" s="149"/>
      <c r="F38" s="149"/>
      <c r="G38" s="149"/>
      <c r="H38" s="149"/>
    </row>
    <row r="39" spans="1:14" ht="12.75" customHeight="1">
      <c r="A39" s="136"/>
      <c r="B39" s="136"/>
      <c r="C39" s="149"/>
      <c r="D39" s="149"/>
      <c r="E39" s="149"/>
      <c r="F39" s="149"/>
      <c r="G39" s="149"/>
      <c r="H39" s="149"/>
    </row>
    <row r="40" spans="1:14" ht="12.75" customHeight="1">
      <c r="A40" s="157"/>
      <c r="B40" s="157"/>
      <c r="C40" s="157"/>
      <c r="D40" s="157"/>
      <c r="E40" s="157"/>
      <c r="F40" s="157"/>
      <c r="G40" s="157"/>
      <c r="H40" s="157"/>
      <c r="I40" s="157"/>
      <c r="J40" s="157"/>
      <c r="K40" s="157"/>
      <c r="L40" s="157"/>
      <c r="M40" s="157"/>
      <c r="N40" s="157"/>
    </row>
    <row r="41" spans="1:14" ht="12.75" customHeight="1">
      <c r="A41" s="136"/>
      <c r="B41" s="136"/>
      <c r="C41" s="149"/>
      <c r="D41" s="150"/>
      <c r="E41" s="150"/>
      <c r="F41" s="150"/>
      <c r="G41" s="150"/>
      <c r="H41" s="150"/>
    </row>
    <row r="42" spans="1:14" ht="12.75" customHeight="1">
      <c r="A42" s="136"/>
      <c r="B42" s="136"/>
      <c r="C42" s="149"/>
      <c r="D42" s="150"/>
      <c r="E42" s="150"/>
      <c r="F42" s="150"/>
      <c r="G42" s="150"/>
      <c r="H42" s="150"/>
    </row>
    <row r="43" spans="1:14" ht="12.75" customHeight="1">
      <c r="A43" s="136"/>
      <c r="B43" s="136"/>
      <c r="C43" s="149"/>
      <c r="D43" s="150"/>
      <c r="E43" s="150"/>
      <c r="F43" s="150"/>
      <c r="G43" s="150"/>
      <c r="H43" s="150"/>
    </row>
    <row r="44" spans="1:14" ht="12.75" customHeight="1">
      <c r="A44" s="136"/>
      <c r="B44" s="136"/>
      <c r="C44" s="149"/>
      <c r="D44" s="150"/>
      <c r="E44" s="150"/>
      <c r="F44" s="150"/>
      <c r="G44" s="150"/>
      <c r="H44" s="150"/>
    </row>
    <row r="45" spans="1:14" ht="12.75" customHeight="1">
      <c r="A45" s="151"/>
      <c r="B45" s="152"/>
      <c r="C45" s="153"/>
      <c r="D45" s="153"/>
      <c r="E45" s="154"/>
      <c r="F45" s="153"/>
      <c r="G45" s="153"/>
      <c r="H45" s="153"/>
    </row>
    <row r="46" spans="1:14" ht="12.75" customHeight="1">
      <c r="A46" s="136"/>
      <c r="B46" s="136"/>
      <c r="C46" s="149"/>
      <c r="D46" s="149"/>
      <c r="E46" s="149"/>
      <c r="F46" s="149"/>
      <c r="G46" s="149"/>
      <c r="H46" s="149"/>
    </row>
    <row r="47" spans="1:14" ht="12.75" customHeight="1">
      <c r="A47" s="136"/>
      <c r="B47" s="136"/>
      <c r="C47" s="149"/>
      <c r="D47" s="149"/>
      <c r="E47" s="149"/>
      <c r="F47" s="149"/>
      <c r="G47" s="149"/>
      <c r="H47" s="149"/>
    </row>
    <row r="48" spans="1:14" ht="12.75" customHeight="1">
      <c r="A48" s="136"/>
      <c r="B48" s="136"/>
      <c r="C48" s="149"/>
      <c r="D48" s="149"/>
      <c r="E48" s="149"/>
      <c r="F48" s="149"/>
      <c r="G48" s="149"/>
      <c r="H48" s="149"/>
    </row>
    <row r="49" spans="1:8" ht="12.75" customHeight="1">
      <c r="A49" s="136"/>
      <c r="B49" s="136"/>
      <c r="C49" s="149"/>
      <c r="D49" s="149"/>
      <c r="E49" s="149"/>
      <c r="F49" s="149"/>
      <c r="G49" s="149"/>
      <c r="H49" s="149"/>
    </row>
    <row r="50" spans="1:8" ht="12.75" customHeight="1">
      <c r="A50" s="136"/>
      <c r="B50" s="136"/>
      <c r="C50" s="149"/>
      <c r="D50" s="149"/>
      <c r="E50" s="149"/>
      <c r="F50" s="149"/>
      <c r="G50" s="149"/>
      <c r="H50" s="149"/>
    </row>
    <row r="51" spans="1:8" ht="12.75" customHeight="1">
      <c r="A51" s="136"/>
      <c r="B51" s="136"/>
      <c r="C51" s="149"/>
      <c r="D51" s="149"/>
      <c r="E51" s="149"/>
      <c r="F51" s="149"/>
      <c r="G51" s="149"/>
      <c r="H51" s="150"/>
    </row>
    <row r="52" spans="1:8" ht="12.75" customHeight="1">
      <c r="A52" s="136"/>
      <c r="B52" s="136"/>
      <c r="C52" s="149"/>
      <c r="D52" s="149"/>
      <c r="E52" s="149"/>
      <c r="F52" s="149"/>
      <c r="G52" s="149"/>
      <c r="H52" s="149"/>
    </row>
    <row r="53" spans="1:8" ht="12.75" customHeight="1">
      <c r="A53" s="136"/>
      <c r="B53" s="136"/>
      <c r="C53" s="149"/>
      <c r="D53" s="149"/>
      <c r="E53" s="149"/>
      <c r="F53" s="149"/>
      <c r="G53" s="149"/>
      <c r="H53" s="149"/>
    </row>
    <row r="54" spans="1:8" ht="12.75" customHeight="1">
      <c r="A54" s="151"/>
      <c r="B54" s="152"/>
      <c r="C54" s="153"/>
      <c r="D54" s="153"/>
      <c r="E54" s="153"/>
      <c r="F54" s="153"/>
      <c r="G54" s="153"/>
      <c r="H54" s="153"/>
    </row>
    <row r="55" spans="1:8" ht="12.75" customHeight="1">
      <c r="A55" s="645"/>
      <c r="B55" s="645"/>
      <c r="C55" s="645"/>
      <c r="D55" s="645"/>
      <c r="E55" s="645"/>
      <c r="F55" s="645"/>
      <c r="G55" s="645"/>
      <c r="H55" s="645"/>
    </row>
    <row r="56" spans="1:8">
      <c r="A56" s="137"/>
      <c r="B56" s="137"/>
      <c r="C56" s="137"/>
      <c r="D56" s="137"/>
      <c r="E56" s="137"/>
      <c r="F56" s="137"/>
      <c r="G56" s="137"/>
      <c r="H56" s="137"/>
    </row>
    <row r="57" spans="1:8">
      <c r="A57" s="155"/>
      <c r="B57" s="155"/>
      <c r="C57" s="155"/>
      <c r="D57" s="155"/>
      <c r="E57" s="155"/>
      <c r="F57" s="155"/>
      <c r="G57" s="155"/>
      <c r="H57" s="155"/>
    </row>
    <row r="58" spans="1:8">
      <c r="A58" s="155"/>
      <c r="B58" s="155"/>
      <c r="C58" s="155"/>
      <c r="D58" s="155"/>
      <c r="E58" s="155"/>
      <c r="F58" s="155"/>
      <c r="G58" s="155"/>
      <c r="H58" s="155"/>
    </row>
    <row r="59" spans="1:8">
      <c r="A59" s="155"/>
      <c r="B59" s="155"/>
      <c r="C59" s="155"/>
      <c r="D59" s="155"/>
      <c r="E59" s="155"/>
      <c r="F59" s="155"/>
      <c r="G59" s="155"/>
      <c r="H59" s="155"/>
    </row>
    <row r="60" spans="1:8">
      <c r="A60" s="155"/>
      <c r="B60" s="155"/>
      <c r="C60" s="155"/>
      <c r="D60" s="155"/>
      <c r="E60" s="155"/>
      <c r="F60" s="155"/>
      <c r="G60" s="155"/>
      <c r="H60" s="155"/>
    </row>
    <row r="61" spans="1:8">
      <c r="A61" s="155"/>
      <c r="B61" s="155"/>
      <c r="C61" s="155"/>
      <c r="D61" s="155"/>
      <c r="E61" s="155"/>
      <c r="F61" s="155"/>
      <c r="G61" s="155"/>
      <c r="H61" s="155"/>
    </row>
    <row r="62" spans="1:8">
      <c r="A62" s="155"/>
      <c r="B62" s="155"/>
      <c r="C62" s="155"/>
      <c r="D62" s="155"/>
      <c r="E62" s="155"/>
      <c r="F62" s="155"/>
      <c r="G62" s="155"/>
      <c r="H62" s="155"/>
    </row>
    <row r="63" spans="1:8">
      <c r="A63" s="155"/>
      <c r="B63" s="155"/>
      <c r="C63" s="155"/>
      <c r="D63" s="155"/>
      <c r="E63" s="155"/>
      <c r="F63" s="155"/>
      <c r="G63" s="155"/>
      <c r="H63" s="155"/>
    </row>
    <row r="64" spans="1:8">
      <c r="A64" s="155"/>
      <c r="B64" s="155"/>
      <c r="C64" s="155"/>
      <c r="D64" s="155"/>
      <c r="E64" s="155"/>
      <c r="F64" s="155"/>
      <c r="G64" s="155"/>
      <c r="H64" s="155"/>
    </row>
    <row r="65" spans="1:8">
      <c r="A65" s="155"/>
      <c r="B65" s="155"/>
      <c r="C65" s="155"/>
      <c r="D65" s="155"/>
      <c r="E65" s="155"/>
      <c r="F65" s="155"/>
      <c r="G65" s="155"/>
      <c r="H65" s="155"/>
    </row>
    <row r="66" spans="1:8">
      <c r="A66" s="155"/>
      <c r="B66" s="155"/>
      <c r="C66" s="155"/>
      <c r="D66" s="155"/>
      <c r="E66" s="155"/>
      <c r="F66" s="155"/>
      <c r="G66" s="155"/>
      <c r="H66" s="155"/>
    </row>
    <row r="67" spans="1:8">
      <c r="A67" s="155"/>
      <c r="B67" s="155"/>
      <c r="C67" s="155"/>
      <c r="D67" s="155"/>
      <c r="E67" s="155"/>
      <c r="F67" s="155"/>
      <c r="G67" s="155"/>
      <c r="H67" s="155"/>
    </row>
    <row r="68" spans="1:8">
      <c r="A68" s="155"/>
      <c r="B68" s="155"/>
      <c r="C68" s="155"/>
      <c r="D68" s="155"/>
      <c r="E68" s="155"/>
      <c r="F68" s="155"/>
      <c r="G68" s="155"/>
      <c r="H68" s="155"/>
    </row>
    <row r="69" spans="1:8">
      <c r="A69" s="155"/>
      <c r="B69" s="155"/>
      <c r="C69" s="155"/>
      <c r="D69" s="155"/>
      <c r="E69" s="155"/>
      <c r="F69" s="155"/>
      <c r="G69" s="155"/>
      <c r="H69" s="155"/>
    </row>
    <row r="70" spans="1:8">
      <c r="A70" s="155"/>
      <c r="B70" s="155"/>
      <c r="C70" s="155"/>
      <c r="D70" s="155"/>
      <c r="E70" s="155"/>
      <c r="F70" s="155"/>
      <c r="G70" s="155"/>
      <c r="H70" s="155"/>
    </row>
    <row r="71" spans="1:8">
      <c r="A71" s="155"/>
      <c r="B71" s="155"/>
      <c r="C71" s="155"/>
      <c r="D71" s="155"/>
      <c r="E71" s="155"/>
      <c r="F71" s="155"/>
      <c r="G71" s="155"/>
      <c r="H71" s="155"/>
    </row>
    <row r="72" spans="1:8">
      <c r="A72" s="155"/>
      <c r="B72" s="155"/>
      <c r="C72" s="155"/>
      <c r="D72" s="155"/>
      <c r="E72" s="155"/>
      <c r="F72" s="155"/>
      <c r="G72" s="155"/>
      <c r="H72" s="155"/>
    </row>
    <row r="73" spans="1:8">
      <c r="A73" s="155"/>
      <c r="B73" s="155"/>
      <c r="C73" s="155"/>
      <c r="D73" s="155"/>
      <c r="E73" s="155"/>
      <c r="F73" s="155"/>
      <c r="G73" s="155"/>
      <c r="H73" s="155"/>
    </row>
    <row r="74" spans="1:8">
      <c r="A74" s="155"/>
      <c r="B74" s="155"/>
      <c r="C74" s="155"/>
      <c r="D74" s="155"/>
      <c r="E74" s="155"/>
      <c r="F74" s="155"/>
      <c r="G74" s="155"/>
      <c r="H74" s="155"/>
    </row>
    <row r="75" spans="1:8">
      <c r="A75" s="155"/>
      <c r="B75" s="155"/>
      <c r="C75" s="155"/>
      <c r="D75" s="155"/>
      <c r="E75" s="155"/>
      <c r="F75" s="155"/>
      <c r="G75" s="155"/>
      <c r="H75" s="155"/>
    </row>
    <row r="76" spans="1:8">
      <c r="A76" s="155"/>
      <c r="B76" s="155"/>
      <c r="C76" s="155"/>
      <c r="D76" s="155"/>
      <c r="E76" s="155"/>
      <c r="F76" s="155"/>
      <c r="G76" s="155"/>
      <c r="H76" s="155"/>
    </row>
    <row r="77" spans="1:8">
      <c r="A77" s="155"/>
      <c r="B77" s="155"/>
      <c r="C77" s="155"/>
      <c r="D77" s="155"/>
      <c r="E77" s="155"/>
      <c r="F77" s="155"/>
      <c r="G77" s="155"/>
      <c r="H77" s="155"/>
    </row>
    <row r="78" spans="1:8">
      <c r="A78" s="155"/>
      <c r="B78" s="155"/>
      <c r="C78" s="155"/>
      <c r="D78" s="155"/>
      <c r="E78" s="155"/>
      <c r="F78" s="155"/>
      <c r="G78" s="155"/>
      <c r="H78" s="155"/>
    </row>
    <row r="79" spans="1:8">
      <c r="A79" s="155"/>
      <c r="B79" s="155"/>
      <c r="C79" s="155"/>
      <c r="D79" s="155"/>
      <c r="E79" s="155"/>
      <c r="F79" s="155"/>
      <c r="G79" s="155"/>
      <c r="H79" s="155"/>
    </row>
    <row r="80" spans="1:8">
      <c r="A80" s="155"/>
      <c r="B80" s="155"/>
      <c r="C80" s="155"/>
      <c r="D80" s="155"/>
      <c r="E80" s="155"/>
      <c r="F80" s="155"/>
      <c r="G80" s="155"/>
      <c r="H80" s="155"/>
    </row>
    <row r="81" spans="1:8">
      <c r="A81" s="155"/>
      <c r="B81" s="155"/>
      <c r="C81" s="155"/>
      <c r="D81" s="155"/>
      <c r="E81" s="155"/>
      <c r="F81" s="155"/>
      <c r="G81" s="155"/>
      <c r="H81" s="155"/>
    </row>
    <row r="82" spans="1:8">
      <c r="A82" s="155"/>
      <c r="B82" s="155"/>
      <c r="C82" s="155"/>
      <c r="D82" s="155"/>
      <c r="E82" s="155"/>
      <c r="F82" s="155"/>
      <c r="G82" s="155"/>
      <c r="H82" s="155"/>
    </row>
    <row r="83" spans="1:8">
      <c r="A83" s="155"/>
      <c r="B83" s="155"/>
      <c r="C83" s="155"/>
      <c r="D83" s="155"/>
      <c r="E83" s="155"/>
      <c r="F83" s="155"/>
      <c r="G83" s="155"/>
      <c r="H83" s="155"/>
    </row>
    <row r="84" spans="1:8">
      <c r="A84" s="155"/>
      <c r="B84" s="155"/>
      <c r="C84" s="155"/>
      <c r="D84" s="155"/>
      <c r="E84" s="155"/>
      <c r="F84" s="155"/>
      <c r="G84" s="155"/>
      <c r="H84" s="155"/>
    </row>
    <row r="85" spans="1:8">
      <c r="A85" s="155"/>
      <c r="B85" s="155"/>
      <c r="C85" s="155"/>
      <c r="D85" s="155"/>
      <c r="E85" s="155"/>
      <c r="F85" s="155"/>
      <c r="G85" s="155"/>
      <c r="H85" s="155"/>
    </row>
    <row r="86" spans="1:8">
      <c r="A86" s="155"/>
      <c r="B86" s="155"/>
      <c r="C86" s="155"/>
      <c r="D86" s="155"/>
      <c r="E86" s="155"/>
      <c r="F86" s="155"/>
      <c r="G86" s="155"/>
      <c r="H86" s="155"/>
    </row>
    <row r="87" spans="1:8">
      <c r="A87" s="155"/>
      <c r="B87" s="155"/>
      <c r="C87" s="155"/>
      <c r="D87" s="155"/>
      <c r="E87" s="155"/>
      <c r="F87" s="155"/>
      <c r="G87" s="155"/>
      <c r="H87" s="155"/>
    </row>
    <row r="88" spans="1:8">
      <c r="A88" s="155"/>
      <c r="B88" s="155"/>
      <c r="C88" s="155"/>
      <c r="D88" s="155"/>
      <c r="E88" s="155"/>
      <c r="F88" s="155"/>
      <c r="G88" s="155"/>
      <c r="H88" s="155"/>
    </row>
    <row r="89" spans="1:8">
      <c r="A89" s="155"/>
      <c r="B89" s="155"/>
      <c r="C89" s="155"/>
      <c r="D89" s="155"/>
      <c r="E89" s="155"/>
      <c r="F89" s="155"/>
      <c r="G89" s="155"/>
      <c r="H89" s="155"/>
    </row>
    <row r="90" spans="1:8">
      <c r="A90" s="155"/>
      <c r="B90" s="155"/>
      <c r="C90" s="155"/>
      <c r="D90" s="155"/>
      <c r="E90" s="155"/>
      <c r="F90" s="155"/>
      <c r="G90" s="155"/>
      <c r="H90" s="155"/>
    </row>
    <row r="91" spans="1:8">
      <c r="A91" s="155"/>
      <c r="B91" s="155"/>
      <c r="C91" s="155"/>
      <c r="D91" s="155"/>
      <c r="E91" s="155"/>
      <c r="F91" s="155"/>
      <c r="G91" s="155"/>
      <c r="H91" s="155"/>
    </row>
    <row r="92" spans="1:8">
      <c r="A92" s="155"/>
      <c r="B92" s="155"/>
      <c r="C92" s="155"/>
      <c r="D92" s="155"/>
      <c r="E92" s="155"/>
      <c r="F92" s="155"/>
      <c r="G92" s="155"/>
      <c r="H92" s="155"/>
    </row>
    <row r="93" spans="1:8">
      <c r="A93" s="155"/>
      <c r="B93" s="155"/>
      <c r="C93" s="155"/>
      <c r="D93" s="155"/>
      <c r="E93" s="155"/>
      <c r="F93" s="155"/>
      <c r="G93" s="155"/>
      <c r="H93" s="155"/>
    </row>
    <row r="94" spans="1:8">
      <c r="A94" s="155"/>
      <c r="B94" s="155"/>
      <c r="C94" s="155"/>
      <c r="D94" s="155"/>
      <c r="E94" s="155"/>
      <c r="F94" s="155"/>
      <c r="G94" s="155"/>
      <c r="H94" s="155"/>
    </row>
    <row r="95" spans="1:8">
      <c r="A95" s="155"/>
      <c r="B95" s="155"/>
      <c r="C95" s="155"/>
      <c r="D95" s="155"/>
      <c r="E95" s="155"/>
      <c r="F95" s="155"/>
      <c r="G95" s="155"/>
      <c r="H95" s="155"/>
    </row>
    <row r="96" spans="1:8">
      <c r="A96" s="155"/>
      <c r="B96" s="155"/>
      <c r="C96" s="155"/>
      <c r="D96" s="155"/>
      <c r="E96" s="155"/>
      <c r="F96" s="155"/>
      <c r="G96" s="155"/>
      <c r="H96" s="155"/>
    </row>
    <row r="97" spans="1:8">
      <c r="A97" s="155"/>
      <c r="B97" s="155"/>
      <c r="C97" s="155"/>
      <c r="D97" s="155"/>
      <c r="E97" s="155"/>
      <c r="F97" s="155"/>
      <c r="G97" s="155"/>
      <c r="H97" s="155"/>
    </row>
    <row r="98" spans="1:8">
      <c r="A98" s="155"/>
      <c r="B98" s="155"/>
      <c r="C98" s="155"/>
      <c r="D98" s="155"/>
      <c r="E98" s="155"/>
      <c r="F98" s="155"/>
      <c r="G98" s="155"/>
      <c r="H98" s="155"/>
    </row>
    <row r="99" spans="1:8">
      <c r="A99" s="155"/>
      <c r="B99" s="155"/>
      <c r="C99" s="155"/>
      <c r="D99" s="155"/>
      <c r="E99" s="155"/>
      <c r="F99" s="155"/>
      <c r="G99" s="155"/>
      <c r="H99" s="155"/>
    </row>
    <row r="100" spans="1:8">
      <c r="A100" s="155"/>
      <c r="B100" s="155"/>
      <c r="C100" s="155"/>
      <c r="D100" s="155"/>
      <c r="E100" s="155"/>
      <c r="F100" s="155"/>
      <c r="G100" s="155"/>
      <c r="H100" s="155"/>
    </row>
    <row r="101" spans="1:8">
      <c r="A101" s="155"/>
      <c r="B101" s="155"/>
      <c r="C101" s="155"/>
      <c r="D101" s="155"/>
      <c r="E101" s="155"/>
      <c r="F101" s="155"/>
      <c r="G101" s="155"/>
      <c r="H101" s="155"/>
    </row>
    <row r="102" spans="1:8">
      <c r="A102" s="155"/>
      <c r="B102" s="155"/>
      <c r="C102" s="155"/>
      <c r="D102" s="155"/>
      <c r="E102" s="155"/>
      <c r="F102" s="155"/>
      <c r="G102" s="155"/>
      <c r="H102" s="155"/>
    </row>
    <row r="103" spans="1:8">
      <c r="A103" s="155"/>
      <c r="B103" s="155"/>
      <c r="C103" s="155"/>
      <c r="D103" s="155"/>
      <c r="E103" s="155"/>
      <c r="F103" s="155"/>
      <c r="G103" s="155"/>
      <c r="H103" s="155"/>
    </row>
    <row r="104" spans="1:8">
      <c r="A104" s="155"/>
      <c r="B104" s="155"/>
      <c r="C104" s="155"/>
      <c r="D104" s="155"/>
      <c r="E104" s="155"/>
      <c r="F104" s="155"/>
      <c r="G104" s="155"/>
      <c r="H104" s="155"/>
    </row>
    <row r="105" spans="1:8">
      <c r="A105" s="155"/>
      <c r="B105" s="155"/>
      <c r="C105" s="155"/>
      <c r="D105" s="155"/>
      <c r="E105" s="155"/>
      <c r="F105" s="155"/>
      <c r="G105" s="155"/>
      <c r="H105" s="155"/>
    </row>
    <row r="106" spans="1:8">
      <c r="A106" s="155"/>
      <c r="B106" s="155"/>
      <c r="C106" s="155"/>
      <c r="D106" s="155"/>
      <c r="E106" s="155"/>
      <c r="F106" s="155"/>
      <c r="G106" s="155"/>
      <c r="H106" s="155"/>
    </row>
    <row r="107" spans="1:8">
      <c r="A107" s="155"/>
      <c r="B107" s="155"/>
      <c r="C107" s="155"/>
      <c r="D107" s="155"/>
      <c r="E107" s="155"/>
      <c r="F107" s="155"/>
      <c r="G107" s="155"/>
      <c r="H107" s="155"/>
    </row>
    <row r="108" spans="1:8">
      <c r="A108" s="155"/>
      <c r="B108" s="155"/>
      <c r="C108" s="155"/>
      <c r="D108" s="155"/>
      <c r="E108" s="155"/>
      <c r="F108" s="155"/>
      <c r="G108" s="155"/>
      <c r="H108" s="155"/>
    </row>
    <row r="109" spans="1:8">
      <c r="A109" s="155"/>
      <c r="B109" s="155"/>
      <c r="C109" s="155"/>
      <c r="D109" s="155"/>
      <c r="E109" s="155"/>
      <c r="F109" s="155"/>
      <c r="G109" s="155"/>
      <c r="H109" s="155"/>
    </row>
    <row r="110" spans="1:8">
      <c r="A110" s="155"/>
      <c r="B110" s="155"/>
      <c r="C110" s="155"/>
      <c r="D110" s="155"/>
      <c r="E110" s="155"/>
      <c r="F110" s="155"/>
      <c r="G110" s="155"/>
      <c r="H110" s="155"/>
    </row>
    <row r="111" spans="1:8">
      <c r="A111" s="155"/>
      <c r="B111" s="155"/>
      <c r="C111" s="155"/>
      <c r="D111" s="155"/>
      <c r="E111" s="155"/>
      <c r="F111" s="155"/>
      <c r="G111" s="155"/>
      <c r="H111" s="155"/>
    </row>
    <row r="112" spans="1:8">
      <c r="A112" s="155"/>
      <c r="B112" s="155"/>
      <c r="C112" s="155"/>
      <c r="D112" s="155"/>
      <c r="E112" s="155"/>
      <c r="F112" s="155"/>
      <c r="G112" s="155"/>
      <c r="H112" s="155"/>
    </row>
    <row r="113" spans="1:8">
      <c r="A113" s="155"/>
      <c r="B113" s="155"/>
      <c r="C113" s="155"/>
      <c r="D113" s="155"/>
      <c r="E113" s="155"/>
      <c r="F113" s="155"/>
      <c r="G113" s="155"/>
      <c r="H113" s="155"/>
    </row>
    <row r="114" spans="1:8">
      <c r="A114" s="155"/>
      <c r="B114" s="155"/>
      <c r="C114" s="155"/>
      <c r="D114" s="155"/>
      <c r="E114" s="155"/>
      <c r="F114" s="155"/>
      <c r="G114" s="155"/>
      <c r="H114" s="155"/>
    </row>
    <row r="115" spans="1:8">
      <c r="A115" s="155"/>
      <c r="B115" s="155"/>
      <c r="C115" s="155"/>
      <c r="D115" s="155"/>
      <c r="E115" s="155"/>
      <c r="F115" s="155"/>
      <c r="G115" s="155"/>
      <c r="H115" s="155"/>
    </row>
    <row r="116" spans="1:8">
      <c r="A116" s="155"/>
      <c r="B116" s="155"/>
      <c r="C116" s="155"/>
      <c r="D116" s="155"/>
      <c r="E116" s="155"/>
      <c r="F116" s="155"/>
      <c r="G116" s="155"/>
      <c r="H116" s="155"/>
    </row>
    <row r="117" spans="1:8">
      <c r="A117" s="155"/>
      <c r="B117" s="155"/>
      <c r="C117" s="155"/>
      <c r="D117" s="155"/>
      <c r="E117" s="155"/>
      <c r="F117" s="155"/>
      <c r="G117" s="155"/>
      <c r="H117" s="155"/>
    </row>
    <row r="118" spans="1:8">
      <c r="A118" s="155"/>
      <c r="B118" s="155"/>
      <c r="C118" s="155"/>
      <c r="D118" s="155"/>
      <c r="E118" s="155"/>
      <c r="F118" s="155"/>
      <c r="G118" s="155"/>
      <c r="H118" s="155"/>
    </row>
    <row r="119" spans="1:8">
      <c r="A119" s="155"/>
      <c r="B119" s="155"/>
      <c r="C119" s="155"/>
      <c r="D119" s="155"/>
      <c r="E119" s="155"/>
      <c r="F119" s="155"/>
      <c r="G119" s="155"/>
      <c r="H119" s="155"/>
    </row>
    <row r="120" spans="1:8">
      <c r="A120" s="155"/>
      <c r="B120" s="155"/>
      <c r="C120" s="155"/>
      <c r="D120" s="155"/>
      <c r="E120" s="155"/>
      <c r="F120" s="155"/>
      <c r="G120" s="155"/>
      <c r="H120" s="155"/>
    </row>
    <row r="121" spans="1:8">
      <c r="A121" s="155"/>
      <c r="B121" s="155"/>
      <c r="C121" s="155"/>
      <c r="D121" s="155"/>
      <c r="E121" s="155"/>
      <c r="F121" s="155"/>
      <c r="G121" s="155"/>
      <c r="H121" s="155"/>
    </row>
    <row r="122" spans="1:8">
      <c r="A122" s="155"/>
      <c r="B122" s="155"/>
      <c r="C122" s="155"/>
      <c r="D122" s="155"/>
      <c r="E122" s="155"/>
      <c r="F122" s="155"/>
      <c r="G122" s="155"/>
      <c r="H122" s="155"/>
    </row>
    <row r="123" spans="1:8">
      <c r="A123" s="155"/>
      <c r="B123" s="155"/>
      <c r="C123" s="155"/>
      <c r="D123" s="155"/>
      <c r="E123" s="155"/>
      <c r="F123" s="155"/>
      <c r="G123" s="155"/>
      <c r="H123" s="155"/>
    </row>
    <row r="124" spans="1:8">
      <c r="A124" s="155"/>
      <c r="B124" s="155"/>
      <c r="C124" s="155"/>
      <c r="D124" s="155"/>
      <c r="E124" s="155"/>
      <c r="F124" s="155"/>
      <c r="G124" s="155"/>
      <c r="H124" s="155"/>
    </row>
    <row r="125" spans="1:8">
      <c r="A125" s="155"/>
      <c r="B125" s="155"/>
      <c r="C125" s="155"/>
      <c r="D125" s="155"/>
      <c r="E125" s="155"/>
      <c r="F125" s="155"/>
      <c r="G125" s="155"/>
      <c r="H125" s="155"/>
    </row>
    <row r="126" spans="1:8">
      <c r="A126" s="155"/>
      <c r="B126" s="155"/>
      <c r="C126" s="155"/>
      <c r="D126" s="155"/>
      <c r="E126" s="155"/>
      <c r="F126" s="155"/>
      <c r="G126" s="155"/>
      <c r="H126" s="155"/>
    </row>
    <row r="127" spans="1:8">
      <c r="A127" s="155"/>
      <c r="B127" s="155"/>
      <c r="C127" s="155"/>
      <c r="D127" s="155"/>
      <c r="E127" s="155"/>
      <c r="F127" s="155"/>
      <c r="G127" s="155"/>
      <c r="H127" s="155"/>
    </row>
    <row r="128" spans="1:8">
      <c r="A128" s="155"/>
      <c r="B128" s="155"/>
      <c r="C128" s="155"/>
      <c r="D128" s="155"/>
      <c r="E128" s="155"/>
      <c r="F128" s="155"/>
      <c r="G128" s="155"/>
      <c r="H128" s="155"/>
    </row>
    <row r="129" spans="1:8">
      <c r="A129" s="155"/>
      <c r="B129" s="155"/>
      <c r="C129" s="155"/>
      <c r="D129" s="155"/>
      <c r="E129" s="155"/>
      <c r="F129" s="155"/>
      <c r="G129" s="155"/>
      <c r="H129" s="155"/>
    </row>
    <row r="130" spans="1:8">
      <c r="A130" s="155"/>
      <c r="B130" s="155"/>
      <c r="C130" s="155"/>
      <c r="D130" s="155"/>
      <c r="E130" s="155"/>
      <c r="F130" s="155"/>
      <c r="G130" s="155"/>
      <c r="H130" s="155"/>
    </row>
  </sheetData>
  <mergeCells count="8">
    <mergeCell ref="A55:H55"/>
    <mergeCell ref="A3:G3"/>
    <mergeCell ref="A1:B2"/>
    <mergeCell ref="A4:G4"/>
    <mergeCell ref="C1:G1"/>
    <mergeCell ref="C2:G2"/>
    <mergeCell ref="A5:B5"/>
    <mergeCell ref="A13:G13"/>
  </mergeCells>
  <pageMargins left="0.7" right="0.7" top="0.75" bottom="0.75" header="0.3" footer="0.3"/>
  <pageSetup scale="87"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zoomScaleNormal="100" workbookViewId="0">
      <selection sqref="A1:B2"/>
    </sheetView>
  </sheetViews>
  <sheetFormatPr defaultRowHeight="15"/>
  <cols>
    <col min="1" max="1" width="2.88671875" customWidth="1"/>
    <col min="2" max="2" width="30.5546875" bestFit="1" customWidth="1"/>
    <col min="3" max="3" width="11.77734375" customWidth="1"/>
    <col min="4" max="4" width="13.6640625" customWidth="1"/>
    <col min="5" max="5" width="12" customWidth="1"/>
    <col min="6" max="6" width="10.88671875" customWidth="1"/>
    <col min="7" max="7" width="10.88671875" bestFit="1" customWidth="1"/>
  </cols>
  <sheetData>
    <row r="1" spans="1:8" ht="52.5" customHeight="1">
      <c r="A1" s="668" t="s">
        <v>472</v>
      </c>
      <c r="B1" s="668"/>
      <c r="C1" s="669" t="s">
        <v>686</v>
      </c>
      <c r="D1" s="670"/>
      <c r="E1" s="670"/>
    </row>
    <row r="2" spans="1:8" ht="40.5" customHeight="1">
      <c r="A2" s="668"/>
      <c r="B2" s="668"/>
      <c r="C2" s="671" t="s">
        <v>818</v>
      </c>
      <c r="D2" s="670"/>
      <c r="E2" s="670"/>
    </row>
    <row r="3" spans="1:8" ht="12.75" customHeight="1">
      <c r="A3" s="670" t="s">
        <v>473</v>
      </c>
      <c r="B3" s="670"/>
      <c r="C3" s="670"/>
      <c r="D3" s="670"/>
      <c r="E3" s="670"/>
    </row>
    <row r="4" spans="1:8" ht="12.75" customHeight="1">
      <c r="A4" s="672" t="s">
        <v>474</v>
      </c>
      <c r="B4" s="672"/>
      <c r="C4" s="672"/>
      <c r="D4" s="672"/>
      <c r="E4" s="672"/>
    </row>
    <row r="5" spans="1:8" ht="33" customHeight="1">
      <c r="A5" s="666" t="s">
        <v>475</v>
      </c>
      <c r="B5" s="666"/>
      <c r="C5" s="163" t="s">
        <v>476</v>
      </c>
      <c r="D5" s="163" t="s">
        <v>477</v>
      </c>
      <c r="E5" s="163" t="s">
        <v>478</v>
      </c>
      <c r="F5" s="464" t="s">
        <v>745</v>
      </c>
    </row>
    <row r="6" spans="1:8" ht="12.75" customHeight="1">
      <c r="A6" s="667" t="s">
        <v>630</v>
      </c>
      <c r="B6" s="667"/>
      <c r="C6" s="667"/>
      <c r="D6" s="667"/>
      <c r="E6" s="667"/>
      <c r="F6" s="469"/>
    </row>
    <row r="7" spans="1:8" ht="12.75" customHeight="1">
      <c r="A7" s="169">
        <v>1</v>
      </c>
      <c r="B7" s="170" t="s">
        <v>479</v>
      </c>
      <c r="C7" s="171">
        <v>560</v>
      </c>
      <c r="D7" s="193"/>
      <c r="E7" s="193"/>
      <c r="F7" s="469"/>
      <c r="H7" t="s">
        <v>776</v>
      </c>
    </row>
    <row r="8" spans="1:8" ht="12.75" customHeight="1">
      <c r="A8" s="169">
        <v>2</v>
      </c>
      <c r="B8" s="170" t="s">
        <v>480</v>
      </c>
      <c r="C8" s="171">
        <v>561</v>
      </c>
      <c r="D8" s="193"/>
      <c r="E8" s="193"/>
      <c r="F8" s="469"/>
    </row>
    <row r="9" spans="1:8" ht="12.75" customHeight="1">
      <c r="A9" s="169">
        <v>3</v>
      </c>
      <c r="B9" s="170" t="s">
        <v>481</v>
      </c>
      <c r="C9" s="171">
        <v>562</v>
      </c>
      <c r="D9" s="193"/>
      <c r="E9" s="193">
        <v>76130.59</v>
      </c>
      <c r="F9" s="469"/>
    </row>
    <row r="10" spans="1:8" ht="12.75" customHeight="1">
      <c r="A10" s="169">
        <v>4</v>
      </c>
      <c r="B10" s="170" t="s">
        <v>482</v>
      </c>
      <c r="C10" s="171">
        <v>563</v>
      </c>
      <c r="D10" s="427">
        <v>13899.92</v>
      </c>
      <c r="E10" s="193"/>
      <c r="F10" s="469"/>
    </row>
    <row r="11" spans="1:8" ht="12.75" customHeight="1">
      <c r="A11" s="169">
        <v>5</v>
      </c>
      <c r="B11" s="170" t="s">
        <v>483</v>
      </c>
      <c r="C11" s="171">
        <v>564</v>
      </c>
      <c r="D11" s="193"/>
      <c r="E11" s="193"/>
      <c r="F11" s="469"/>
    </row>
    <row r="12" spans="1:8" ht="12.75" customHeight="1">
      <c r="A12" s="169">
        <v>6</v>
      </c>
      <c r="B12" s="170" t="s">
        <v>484</v>
      </c>
      <c r="C12" s="171">
        <v>566</v>
      </c>
      <c r="D12" s="193"/>
      <c r="E12" s="193"/>
      <c r="F12" s="469"/>
    </row>
    <row r="13" spans="1:8" ht="12.75" customHeight="1">
      <c r="A13" s="172">
        <v>7</v>
      </c>
      <c r="B13" s="172" t="s">
        <v>485</v>
      </c>
      <c r="C13" s="173"/>
      <c r="D13" s="177">
        <f>SUM(D7:D12)</f>
        <v>13899.92</v>
      </c>
      <c r="E13" s="177">
        <f>SUM(E7:E12)</f>
        <v>76130.59</v>
      </c>
      <c r="F13" s="469"/>
    </row>
    <row r="14" spans="1:8" ht="12.75" customHeight="1">
      <c r="A14" s="169">
        <v>8</v>
      </c>
      <c r="B14" s="170" t="s">
        <v>486</v>
      </c>
      <c r="C14" s="171">
        <v>565</v>
      </c>
      <c r="D14" s="193"/>
      <c r="E14" s="193"/>
      <c r="F14" s="469"/>
    </row>
    <row r="15" spans="1:8" ht="12.75" customHeight="1">
      <c r="A15" s="169">
        <v>9</v>
      </c>
      <c r="B15" s="170" t="s">
        <v>487</v>
      </c>
      <c r="C15" s="171">
        <v>567</v>
      </c>
      <c r="D15" s="193"/>
      <c r="E15" s="193"/>
      <c r="F15" s="469"/>
    </row>
    <row r="16" spans="1:8" ht="12.75" customHeight="1">
      <c r="A16" s="172">
        <v>10</v>
      </c>
      <c r="B16" s="172" t="s">
        <v>488</v>
      </c>
      <c r="C16" s="173"/>
      <c r="D16" s="177">
        <f>SUM(D13:D15)</f>
        <v>13899.92</v>
      </c>
      <c r="E16" s="177">
        <f>SUM(E13:E15)</f>
        <v>76130.59</v>
      </c>
      <c r="F16" s="469"/>
    </row>
    <row r="17" spans="1:6" ht="12.75" customHeight="1">
      <c r="A17" s="663" t="s">
        <v>489</v>
      </c>
      <c r="B17" s="664"/>
      <c r="C17" s="664"/>
      <c r="D17" s="664"/>
      <c r="E17" s="665"/>
      <c r="F17" s="469"/>
    </row>
    <row r="18" spans="1:6" ht="12.75" customHeight="1">
      <c r="A18" s="169">
        <v>11</v>
      </c>
      <c r="B18" s="170" t="s">
        <v>479</v>
      </c>
      <c r="C18" s="174">
        <v>568</v>
      </c>
      <c r="D18" s="193"/>
      <c r="E18" s="193"/>
      <c r="F18" s="469"/>
    </row>
    <row r="19" spans="1:6" ht="12.75" customHeight="1">
      <c r="A19" s="169">
        <v>12</v>
      </c>
      <c r="B19" s="170" t="s">
        <v>490</v>
      </c>
      <c r="C19" s="174">
        <v>569</v>
      </c>
      <c r="D19" s="193"/>
      <c r="E19" s="193"/>
      <c r="F19" s="469"/>
    </row>
    <row r="20" spans="1:6" ht="12.75" customHeight="1">
      <c r="A20" s="169">
        <v>13</v>
      </c>
      <c r="B20" s="170" t="s">
        <v>491</v>
      </c>
      <c r="C20" s="174">
        <v>570</v>
      </c>
      <c r="D20" s="193"/>
      <c r="E20" s="193">
        <v>166754.32</v>
      </c>
      <c r="F20" s="469"/>
    </row>
    <row r="21" spans="1:6" ht="12.75" customHeight="1">
      <c r="A21" s="169">
        <v>14</v>
      </c>
      <c r="B21" s="170" t="s">
        <v>492</v>
      </c>
      <c r="C21" s="174">
        <v>571</v>
      </c>
      <c r="D21" s="193">
        <v>76707.09</v>
      </c>
      <c r="E21" s="193"/>
      <c r="F21" s="469"/>
    </row>
    <row r="22" spans="1:6" ht="12.75" customHeight="1">
      <c r="A22" s="169">
        <v>15</v>
      </c>
      <c r="B22" s="170" t="s">
        <v>493</v>
      </c>
      <c r="C22" s="174">
        <v>572</v>
      </c>
      <c r="D22" s="193"/>
      <c r="E22" s="193"/>
      <c r="F22" s="469"/>
    </row>
    <row r="23" spans="1:6" ht="12.75" customHeight="1">
      <c r="A23" s="169">
        <v>16</v>
      </c>
      <c r="B23" s="170" t="s">
        <v>494</v>
      </c>
      <c r="C23" s="174">
        <v>573</v>
      </c>
      <c r="D23" s="193"/>
      <c r="E23" s="193"/>
      <c r="F23" s="469"/>
    </row>
    <row r="24" spans="1:6" ht="12.75" customHeight="1">
      <c r="A24" s="172">
        <v>17</v>
      </c>
      <c r="B24" s="172" t="s">
        <v>495</v>
      </c>
      <c r="C24" s="173"/>
      <c r="D24" s="177">
        <f>SUM(D18:D23)</f>
        <v>76707.09</v>
      </c>
      <c r="E24" s="177">
        <f>SUM(E18:E23)</f>
        <v>166754.32</v>
      </c>
      <c r="F24" s="469"/>
    </row>
    <row r="25" spans="1:6" ht="12.75" customHeight="1">
      <c r="A25" s="172">
        <v>18</v>
      </c>
      <c r="B25" s="172" t="s">
        <v>496</v>
      </c>
      <c r="C25" s="173"/>
      <c r="D25" s="177">
        <f>SUM(D16+D24)</f>
        <v>90607.01</v>
      </c>
      <c r="E25" s="177">
        <f>SUM(E16+E24)</f>
        <v>242884.91</v>
      </c>
      <c r="F25" s="469"/>
    </row>
    <row r="26" spans="1:6" ht="12.75" customHeight="1">
      <c r="A26" s="169">
        <v>19</v>
      </c>
      <c r="B26" s="170" t="s">
        <v>497</v>
      </c>
      <c r="C26" s="175" t="s">
        <v>640</v>
      </c>
      <c r="D26" s="193">
        <v>0</v>
      </c>
      <c r="E26" s="193">
        <v>0</v>
      </c>
      <c r="F26" s="469"/>
    </row>
    <row r="27" spans="1:6" ht="12.75" customHeight="1">
      <c r="A27" s="169">
        <v>20</v>
      </c>
      <c r="B27" s="170" t="s">
        <v>498</v>
      </c>
      <c r="C27" s="175" t="s">
        <v>641</v>
      </c>
      <c r="D27" s="193">
        <v>0</v>
      </c>
      <c r="E27" s="193">
        <v>0</v>
      </c>
      <c r="F27" s="469"/>
    </row>
    <row r="28" spans="1:6" ht="12.75" customHeight="1">
      <c r="A28" s="172">
        <v>21</v>
      </c>
      <c r="B28" s="172" t="s">
        <v>499</v>
      </c>
      <c r="C28" s="173"/>
      <c r="D28" s="177">
        <v>0</v>
      </c>
      <c r="E28" s="177">
        <v>0</v>
      </c>
      <c r="F28" s="469"/>
    </row>
    <row r="29" spans="1:6" ht="12.75" customHeight="1">
      <c r="A29" s="169">
        <v>22</v>
      </c>
      <c r="B29" s="170" t="s">
        <v>500</v>
      </c>
      <c r="C29" s="175" t="s">
        <v>642</v>
      </c>
      <c r="D29" s="193">
        <v>0</v>
      </c>
      <c r="E29" s="193">
        <v>0</v>
      </c>
      <c r="F29" s="469"/>
    </row>
    <row r="30" spans="1:6" ht="12.75" customHeight="1">
      <c r="A30" s="169">
        <v>23</v>
      </c>
      <c r="B30" s="170" t="s">
        <v>501</v>
      </c>
      <c r="C30" s="175" t="s">
        <v>643</v>
      </c>
      <c r="D30" s="193">
        <v>0</v>
      </c>
      <c r="E30" s="193">
        <v>0</v>
      </c>
      <c r="F30" s="469"/>
    </row>
    <row r="31" spans="1:6" ht="12.75" customHeight="1">
      <c r="A31" s="172">
        <v>24</v>
      </c>
      <c r="B31" s="172" t="s">
        <v>502</v>
      </c>
      <c r="C31" s="173"/>
      <c r="D31" s="177">
        <v>0</v>
      </c>
      <c r="E31" s="177">
        <v>0</v>
      </c>
      <c r="F31" s="469"/>
    </row>
    <row r="32" spans="1:6" ht="12.75" customHeight="1">
      <c r="A32" s="172">
        <v>25</v>
      </c>
      <c r="B32" s="172" t="s">
        <v>503</v>
      </c>
      <c r="C32" s="173"/>
      <c r="D32" s="177">
        <f>ROUND(D25+D28+D31,2)</f>
        <v>90607.01</v>
      </c>
      <c r="E32" s="177">
        <f>ROUND(E25+E28+E31,2)</f>
        <v>242884.91</v>
      </c>
      <c r="F32" s="469"/>
    </row>
    <row r="33" spans="1:6" ht="12.75" customHeight="1">
      <c r="A33" s="663" t="s">
        <v>504</v>
      </c>
      <c r="B33" s="664"/>
      <c r="C33" s="664"/>
      <c r="D33" s="664"/>
      <c r="E33" s="665"/>
      <c r="F33" s="469"/>
    </row>
    <row r="34" spans="1:6" ht="12.75" customHeight="1">
      <c r="A34" s="169">
        <v>26</v>
      </c>
      <c r="B34" s="170" t="s">
        <v>505</v>
      </c>
      <c r="C34" s="176">
        <v>403.5</v>
      </c>
      <c r="D34" s="193"/>
      <c r="E34" s="193"/>
      <c r="F34" s="177">
        <v>467405.76</v>
      </c>
    </row>
    <row r="35" spans="1:6" ht="12.75" customHeight="1">
      <c r="A35" s="169">
        <v>27</v>
      </c>
      <c r="B35" s="170" t="s">
        <v>506</v>
      </c>
      <c r="C35" s="176">
        <v>403.6</v>
      </c>
      <c r="D35" s="193">
        <v>0</v>
      </c>
      <c r="E35" s="193">
        <v>0</v>
      </c>
      <c r="F35" s="469"/>
    </row>
    <row r="36" spans="1:6" ht="12.75" customHeight="1">
      <c r="A36" s="169">
        <v>28</v>
      </c>
      <c r="B36" s="170" t="s">
        <v>507</v>
      </c>
      <c r="C36" s="174">
        <v>427</v>
      </c>
      <c r="D36" s="193">
        <v>0</v>
      </c>
      <c r="E36" s="193">
        <v>0</v>
      </c>
      <c r="F36" s="469"/>
    </row>
    <row r="37" spans="1:6" ht="12.75" customHeight="1">
      <c r="A37" s="169">
        <v>29</v>
      </c>
      <c r="B37" s="170" t="s">
        <v>508</v>
      </c>
      <c r="C37" s="174">
        <v>427</v>
      </c>
      <c r="D37" s="193">
        <v>0</v>
      </c>
      <c r="E37" s="193">
        <v>0</v>
      </c>
      <c r="F37" s="469"/>
    </row>
    <row r="38" spans="1:6" ht="12.75" customHeight="1">
      <c r="A38" s="172">
        <v>30</v>
      </c>
      <c r="B38" s="172" t="s">
        <v>509</v>
      </c>
      <c r="C38" s="165"/>
      <c r="D38" s="177">
        <f>SUM(D25+D34+D36)</f>
        <v>90607.01</v>
      </c>
      <c r="E38" s="177">
        <f>SUM(E25+E34+E36)</f>
        <v>242884.91</v>
      </c>
      <c r="F38" s="469"/>
    </row>
    <row r="39" spans="1:6" ht="12.75" customHeight="1">
      <c r="A39" s="172">
        <v>31</v>
      </c>
      <c r="B39" s="172" t="s">
        <v>510</v>
      </c>
      <c r="C39" s="165"/>
      <c r="D39" s="177">
        <v>0</v>
      </c>
      <c r="E39" s="177">
        <v>0</v>
      </c>
      <c r="F39" s="469"/>
    </row>
    <row r="40" spans="1:6" ht="12.75" customHeight="1">
      <c r="A40" s="172">
        <v>32</v>
      </c>
      <c r="B40" s="172" t="s">
        <v>511</v>
      </c>
      <c r="C40" s="165"/>
      <c r="D40" s="177"/>
      <c r="E40" s="177">
        <f>SUM(D38:E38)</f>
        <v>333491.92</v>
      </c>
      <c r="F40" s="469"/>
    </row>
  </sheetData>
  <mergeCells count="9">
    <mergeCell ref="A17:E17"/>
    <mergeCell ref="A33:E33"/>
    <mergeCell ref="A5:B5"/>
    <mergeCell ref="A6:E6"/>
    <mergeCell ref="A1:B2"/>
    <mergeCell ref="C1:E1"/>
    <mergeCell ref="C2:E2"/>
    <mergeCell ref="A3:E3"/>
    <mergeCell ref="A4:E4"/>
  </mergeCells>
  <pageMargins left="0.7" right="0.7" top="0.75" bottom="0.75" header="0.3" footer="0.3"/>
  <pageSetup scale="9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zoomScaleNormal="100" workbookViewId="0">
      <selection sqref="A1:E1"/>
    </sheetView>
  </sheetViews>
  <sheetFormatPr defaultRowHeight="15"/>
  <cols>
    <col min="1" max="1" width="12.44140625" customWidth="1"/>
  </cols>
  <sheetData>
    <row r="1" spans="1:5" ht="15.75">
      <c r="A1" s="673" t="s">
        <v>682</v>
      </c>
      <c r="B1" s="674"/>
      <c r="C1" s="674"/>
      <c r="D1" s="674"/>
      <c r="E1" s="674"/>
    </row>
    <row r="2" spans="1:5" ht="15.75">
      <c r="A2" s="675" t="s">
        <v>819</v>
      </c>
      <c r="B2" s="674"/>
      <c r="C2" s="674"/>
      <c r="D2" s="674"/>
      <c r="E2" s="674"/>
    </row>
    <row r="3" spans="1:5" ht="33.75">
      <c r="A3" s="346" t="s">
        <v>727</v>
      </c>
      <c r="B3" s="222"/>
      <c r="C3" s="222"/>
      <c r="D3" s="222"/>
      <c r="E3" s="222"/>
    </row>
    <row r="4" spans="1:5" ht="20.25">
      <c r="A4" s="220" t="s">
        <v>512</v>
      </c>
      <c r="B4" s="213"/>
      <c r="C4" s="213"/>
      <c r="D4" s="213"/>
      <c r="E4" s="213"/>
    </row>
    <row r="6" spans="1:5" ht="15.75">
      <c r="A6" s="217" t="s">
        <v>778</v>
      </c>
      <c r="B6" s="217"/>
      <c r="C6" s="217"/>
      <c r="D6" s="217"/>
      <c r="E6" s="213"/>
    </row>
    <row r="8" spans="1:5" ht="15.75">
      <c r="A8" s="213" t="s">
        <v>513</v>
      </c>
      <c r="B8" s="214">
        <v>0</v>
      </c>
      <c r="C8" s="213"/>
      <c r="D8" s="213"/>
      <c r="E8" s="213"/>
    </row>
    <row r="9" spans="1:5" ht="15.75">
      <c r="A9" s="213" t="s">
        <v>514</v>
      </c>
      <c r="B9" s="214">
        <v>0</v>
      </c>
      <c r="C9" s="213"/>
      <c r="D9" s="213"/>
      <c r="E9" s="213"/>
    </row>
    <row r="10" spans="1:5" ht="15.75">
      <c r="A10" s="213" t="s">
        <v>515</v>
      </c>
      <c r="B10" s="214">
        <v>0</v>
      </c>
      <c r="C10" s="213"/>
      <c r="D10" s="213"/>
      <c r="E10" s="213"/>
    </row>
    <row r="11" spans="1:5" ht="15.75">
      <c r="A11" s="213" t="s">
        <v>516</v>
      </c>
      <c r="B11" s="214">
        <v>0</v>
      </c>
      <c r="C11" s="213"/>
      <c r="D11" s="213"/>
      <c r="E11" s="213"/>
    </row>
    <row r="12" spans="1:5" ht="15.75">
      <c r="A12" s="213" t="s">
        <v>517</v>
      </c>
      <c r="B12" s="214">
        <v>0</v>
      </c>
      <c r="C12" s="213"/>
      <c r="D12" s="213"/>
      <c r="E12" s="213"/>
    </row>
    <row r="13" spans="1:5" ht="15.75">
      <c r="A13" s="213" t="s">
        <v>518</v>
      </c>
      <c r="B13" s="214">
        <v>0</v>
      </c>
      <c r="C13" s="213"/>
      <c r="D13" s="213"/>
      <c r="E13" s="213"/>
    </row>
    <row r="14" spans="1:5" ht="15.75">
      <c r="A14" s="213" t="s">
        <v>519</v>
      </c>
      <c r="B14" s="214">
        <v>0</v>
      </c>
      <c r="C14" s="213"/>
      <c r="D14" s="213"/>
      <c r="E14" s="213"/>
    </row>
    <row r="15" spans="1:5" ht="15.75">
      <c r="A15" s="213" t="s">
        <v>520</v>
      </c>
      <c r="B15" s="214">
        <v>0</v>
      </c>
      <c r="C15" s="213"/>
      <c r="D15" s="213"/>
      <c r="E15" s="213"/>
    </row>
    <row r="16" spans="1:5" ht="15.75">
      <c r="A16" s="213" t="s">
        <v>521</v>
      </c>
      <c r="B16" s="214">
        <v>0</v>
      </c>
      <c r="C16" s="213"/>
      <c r="D16" s="213"/>
      <c r="E16" s="213"/>
    </row>
    <row r="17" spans="1:15" ht="15.75">
      <c r="A17" s="213" t="s">
        <v>522</v>
      </c>
      <c r="B17" s="214">
        <v>0</v>
      </c>
      <c r="C17" s="213"/>
      <c r="D17" s="213"/>
      <c r="E17" s="213"/>
      <c r="F17" s="213"/>
      <c r="G17" s="213"/>
      <c r="H17" s="213"/>
      <c r="I17" s="213"/>
      <c r="J17" s="213"/>
      <c r="K17" s="213"/>
      <c r="L17" s="213"/>
      <c r="M17" s="213"/>
      <c r="N17" s="213"/>
      <c r="O17" s="213"/>
    </row>
    <row r="18" spans="1:15" ht="15.75">
      <c r="A18" s="213" t="s">
        <v>523</v>
      </c>
      <c r="B18" s="214">
        <v>0</v>
      </c>
      <c r="C18" s="213"/>
      <c r="D18" s="213"/>
      <c r="E18" s="213"/>
      <c r="F18" s="213"/>
      <c r="G18" s="213"/>
      <c r="H18" s="213"/>
      <c r="I18" s="213"/>
      <c r="J18" s="213"/>
      <c r="K18" s="213"/>
      <c r="L18" s="213"/>
      <c r="M18" s="213"/>
      <c r="N18" s="213"/>
      <c r="O18" s="213"/>
    </row>
    <row r="19" spans="1:15" ht="15.75">
      <c r="A19" s="213" t="s">
        <v>524</v>
      </c>
      <c r="B19" s="215">
        <v>0</v>
      </c>
      <c r="C19" s="213"/>
      <c r="D19" s="213"/>
      <c r="E19" s="213"/>
      <c r="F19" s="213"/>
      <c r="G19" s="213"/>
      <c r="H19" s="213"/>
      <c r="I19" s="213"/>
      <c r="J19" s="213"/>
      <c r="K19" s="213"/>
      <c r="L19" s="213"/>
      <c r="M19" s="213"/>
      <c r="N19" s="213"/>
      <c r="O19" s="213"/>
    </row>
    <row r="20" spans="1:15" ht="15.75">
      <c r="A20" s="216" t="s">
        <v>525</v>
      </c>
      <c r="B20" s="214">
        <v>0</v>
      </c>
      <c r="C20" s="213"/>
      <c r="D20" s="213"/>
      <c r="E20" s="213"/>
      <c r="F20" s="213"/>
      <c r="G20" s="213"/>
      <c r="H20" s="213"/>
      <c r="I20" s="213"/>
      <c r="J20" s="213"/>
      <c r="K20" s="213"/>
      <c r="L20" s="213"/>
      <c r="M20" s="213"/>
      <c r="N20" s="213"/>
      <c r="O20" s="213"/>
    </row>
    <row r="21" spans="1:15" ht="15.75">
      <c r="A21" s="213"/>
      <c r="B21" s="214"/>
      <c r="C21" s="213"/>
      <c r="D21" s="213"/>
      <c r="E21" s="213"/>
      <c r="F21" s="213"/>
      <c r="G21" s="213"/>
      <c r="H21" s="213"/>
      <c r="I21" s="213"/>
      <c r="J21" s="213"/>
      <c r="K21" s="213"/>
      <c r="L21" s="213"/>
      <c r="M21" s="213"/>
      <c r="N21" s="213"/>
      <c r="O21" s="213"/>
    </row>
    <row r="22" spans="1:15" ht="15.75">
      <c r="A22" s="213" t="s">
        <v>526</v>
      </c>
      <c r="B22" s="219">
        <v>0</v>
      </c>
      <c r="C22" s="213" t="s">
        <v>527</v>
      </c>
      <c r="D22" s="213"/>
      <c r="E22" s="213"/>
      <c r="F22" s="213"/>
      <c r="G22" s="213"/>
      <c r="H22" s="213"/>
      <c r="I22" s="213"/>
      <c r="J22" s="213"/>
      <c r="K22" s="213"/>
      <c r="L22" s="213"/>
      <c r="M22" s="213"/>
      <c r="N22" s="213"/>
      <c r="O22" s="213"/>
    </row>
    <row r="24" spans="1:15" ht="15.75">
      <c r="A24" s="213" t="s">
        <v>528</v>
      </c>
      <c r="B24" s="213"/>
      <c r="C24" s="213"/>
      <c r="D24" s="213"/>
      <c r="E24" s="213"/>
      <c r="F24" s="221"/>
      <c r="G24" s="213"/>
      <c r="H24" s="213"/>
      <c r="I24" s="213"/>
      <c r="J24" s="213"/>
      <c r="K24" s="213"/>
      <c r="L24" s="213"/>
      <c r="M24" s="213"/>
      <c r="N24" s="213"/>
      <c r="O24" s="213"/>
    </row>
    <row r="25" spans="1:15" ht="15.75">
      <c r="A25" s="213" t="s">
        <v>529</v>
      </c>
      <c r="B25" s="213"/>
      <c r="C25" s="213"/>
      <c r="D25" s="213"/>
      <c r="E25" s="213"/>
      <c r="F25" s="213"/>
      <c r="G25" s="213"/>
      <c r="H25" s="213"/>
      <c r="I25" s="213"/>
      <c r="J25" s="213"/>
      <c r="K25" s="213"/>
      <c r="L25" s="213"/>
      <c r="M25" s="213"/>
      <c r="N25" s="213"/>
      <c r="O25" s="213"/>
    </row>
    <row r="28" spans="1:15" ht="15.75">
      <c r="A28" s="213" t="s">
        <v>530</v>
      </c>
      <c r="B28" s="213"/>
      <c r="C28" s="213"/>
      <c r="D28" s="213"/>
      <c r="E28" s="213"/>
      <c r="F28" s="213"/>
      <c r="G28" s="213"/>
      <c r="H28" s="213"/>
      <c r="I28" s="213"/>
      <c r="J28" s="213"/>
      <c r="K28" s="213"/>
      <c r="L28" s="213"/>
      <c r="M28" s="213"/>
      <c r="N28" s="213"/>
      <c r="O28" s="213"/>
    </row>
    <row r="29" spans="1:15" ht="15.75">
      <c r="A29" s="213" t="s">
        <v>531</v>
      </c>
      <c r="B29" s="213"/>
      <c r="C29" s="213"/>
      <c r="D29" s="213"/>
      <c r="E29" s="213"/>
      <c r="F29" s="213"/>
      <c r="G29" s="213"/>
      <c r="H29" s="213"/>
      <c r="I29" s="213"/>
      <c r="J29" s="213"/>
      <c r="K29" s="213"/>
      <c r="L29" s="213"/>
      <c r="M29" s="213"/>
      <c r="N29" s="213"/>
      <c r="O29" s="213"/>
    </row>
    <row r="31" spans="1:15" ht="15.75">
      <c r="A31" s="213"/>
      <c r="B31" s="218" t="s">
        <v>513</v>
      </c>
      <c r="C31" s="218" t="s">
        <v>514</v>
      </c>
      <c r="D31" s="218" t="s">
        <v>515</v>
      </c>
      <c r="E31" s="218" t="s">
        <v>516</v>
      </c>
      <c r="F31" s="218" t="s">
        <v>517</v>
      </c>
      <c r="G31" s="218" t="s">
        <v>532</v>
      </c>
      <c r="H31" s="218" t="s">
        <v>519</v>
      </c>
      <c r="I31" s="218" t="s">
        <v>520</v>
      </c>
      <c r="J31" s="218" t="s">
        <v>521</v>
      </c>
      <c r="K31" s="218" t="s">
        <v>522</v>
      </c>
      <c r="L31" s="218" t="s">
        <v>523</v>
      </c>
      <c r="M31" s="218" t="s">
        <v>524</v>
      </c>
      <c r="N31" s="218" t="s">
        <v>6</v>
      </c>
      <c r="O31" s="218" t="s">
        <v>533</v>
      </c>
    </row>
    <row r="33" spans="1:15" ht="15.75">
      <c r="A33" s="213" t="s">
        <v>534</v>
      </c>
      <c r="B33" s="214"/>
      <c r="C33" s="214"/>
      <c r="D33" s="214"/>
      <c r="E33" s="214"/>
      <c r="F33" s="214"/>
      <c r="G33" s="214"/>
      <c r="H33" s="214"/>
      <c r="I33" s="214"/>
      <c r="J33" s="214"/>
      <c r="K33" s="214"/>
      <c r="L33" s="214"/>
      <c r="M33" s="214"/>
      <c r="N33" s="214"/>
      <c r="O33" s="214"/>
    </row>
    <row r="34" spans="1:15" ht="15.75">
      <c r="A34" s="216" t="s">
        <v>535</v>
      </c>
      <c r="B34" s="214"/>
      <c r="C34" s="214"/>
      <c r="D34" s="214"/>
      <c r="E34" s="214"/>
      <c r="F34" s="214"/>
      <c r="G34" s="214"/>
      <c r="H34" s="214"/>
      <c r="I34" s="214"/>
      <c r="J34" s="214"/>
      <c r="K34" s="214"/>
      <c r="L34" s="214"/>
      <c r="M34" s="214"/>
      <c r="N34" s="214">
        <v>0</v>
      </c>
      <c r="O34" s="214">
        <v>0</v>
      </c>
    </row>
    <row r="35" spans="1:15" ht="15.75">
      <c r="A35" s="216" t="s">
        <v>536</v>
      </c>
      <c r="B35" s="214"/>
      <c r="C35" s="214"/>
      <c r="D35" s="214"/>
      <c r="E35" s="214"/>
      <c r="F35" s="214"/>
      <c r="G35" s="214"/>
      <c r="H35" s="214"/>
      <c r="I35" s="214"/>
      <c r="J35" s="214"/>
      <c r="K35" s="214"/>
      <c r="L35" s="214"/>
      <c r="M35" s="214"/>
      <c r="N35" s="214">
        <v>0</v>
      </c>
      <c r="O35" s="214">
        <v>0</v>
      </c>
    </row>
    <row r="36" spans="1:15" ht="15.75">
      <c r="A36" s="213"/>
      <c r="B36" s="214"/>
      <c r="C36" s="214"/>
      <c r="D36" s="214"/>
      <c r="E36" s="214"/>
      <c r="F36" s="214"/>
      <c r="G36" s="214"/>
      <c r="H36" s="214"/>
      <c r="I36" s="214"/>
      <c r="J36" s="214"/>
      <c r="K36" s="214"/>
      <c r="L36" s="214"/>
      <c r="M36" s="214"/>
      <c r="N36" s="214"/>
      <c r="O36" s="214"/>
    </row>
    <row r="37" spans="1:15" ht="15.75">
      <c r="A37" s="213" t="s">
        <v>534</v>
      </c>
      <c r="B37" s="214"/>
      <c r="C37" s="214"/>
      <c r="D37" s="214"/>
      <c r="E37" s="214"/>
      <c r="F37" s="214"/>
      <c r="G37" s="214"/>
      <c r="H37" s="214"/>
      <c r="I37" s="214"/>
      <c r="J37" s="214"/>
      <c r="K37" s="214"/>
      <c r="L37" s="214"/>
      <c r="M37" s="214"/>
      <c r="N37" s="214"/>
      <c r="O37" s="214"/>
    </row>
    <row r="38" spans="1:15" ht="15.75">
      <c r="A38" s="216" t="s">
        <v>535</v>
      </c>
      <c r="B38" s="214"/>
      <c r="C38" s="214"/>
      <c r="D38" s="214"/>
      <c r="E38" s="214"/>
      <c r="F38" s="214"/>
      <c r="G38" s="214"/>
      <c r="H38" s="214"/>
      <c r="I38" s="214"/>
      <c r="J38" s="214"/>
      <c r="K38" s="214"/>
      <c r="L38" s="214"/>
      <c r="M38" s="214"/>
      <c r="N38" s="214">
        <v>0</v>
      </c>
      <c r="O38" s="214">
        <v>0</v>
      </c>
    </row>
    <row r="39" spans="1:15" ht="15.75">
      <c r="A39" s="216" t="s">
        <v>536</v>
      </c>
      <c r="B39" s="214"/>
      <c r="C39" s="214"/>
      <c r="D39" s="214"/>
      <c r="E39" s="214"/>
      <c r="F39" s="214"/>
      <c r="G39" s="214"/>
      <c r="H39" s="214"/>
      <c r="I39" s="214"/>
      <c r="J39" s="214"/>
      <c r="K39" s="214"/>
      <c r="L39" s="214"/>
      <c r="M39" s="214"/>
      <c r="N39" s="214">
        <v>0</v>
      </c>
      <c r="O39" s="214">
        <v>0</v>
      </c>
    </row>
    <row r="40" spans="1:15" ht="15.75">
      <c r="A40" s="213"/>
      <c r="B40" s="214"/>
      <c r="C40" s="214"/>
      <c r="D40" s="214"/>
      <c r="E40" s="214"/>
      <c r="F40" s="214"/>
      <c r="G40" s="214"/>
      <c r="H40" s="214"/>
      <c r="I40" s="214"/>
      <c r="J40" s="214"/>
      <c r="K40" s="214"/>
      <c r="L40" s="214"/>
      <c r="M40" s="214"/>
      <c r="N40" s="214"/>
      <c r="O40" s="214"/>
    </row>
    <row r="41" spans="1:15" ht="15.75">
      <c r="A41" s="213" t="s">
        <v>534</v>
      </c>
      <c r="B41" s="214"/>
      <c r="C41" s="214"/>
      <c r="D41" s="214"/>
      <c r="E41" s="214"/>
      <c r="F41" s="214"/>
      <c r="G41" s="214"/>
      <c r="H41" s="214"/>
      <c r="I41" s="214"/>
      <c r="J41" s="214"/>
      <c r="K41" s="214"/>
      <c r="L41" s="214"/>
      <c r="M41" s="214"/>
      <c r="N41" s="214"/>
      <c r="O41" s="214"/>
    </row>
    <row r="42" spans="1:15" ht="15.75">
      <c r="A42" s="216" t="s">
        <v>535</v>
      </c>
      <c r="B42" s="214"/>
      <c r="C42" s="214"/>
      <c r="D42" s="214"/>
      <c r="E42" s="214"/>
      <c r="F42" s="214"/>
      <c r="G42" s="214"/>
      <c r="H42" s="214"/>
      <c r="I42" s="214"/>
      <c r="J42" s="214"/>
      <c r="K42" s="214"/>
      <c r="L42" s="214"/>
      <c r="M42" s="214"/>
      <c r="N42" s="214">
        <v>0</v>
      </c>
      <c r="O42" s="214">
        <v>0</v>
      </c>
    </row>
    <row r="43" spans="1:15" ht="15.75">
      <c r="A43" s="216" t="s">
        <v>536</v>
      </c>
      <c r="B43" s="214"/>
      <c r="C43" s="214"/>
      <c r="D43" s="214"/>
      <c r="E43" s="214"/>
      <c r="F43" s="214"/>
      <c r="G43" s="214"/>
      <c r="H43" s="214"/>
      <c r="I43" s="214"/>
      <c r="J43" s="214"/>
      <c r="K43" s="214"/>
      <c r="L43" s="214"/>
      <c r="M43" s="214"/>
      <c r="N43" s="214">
        <v>0</v>
      </c>
      <c r="O43" s="214">
        <v>0</v>
      </c>
    </row>
    <row r="44" spans="1:15" ht="15.75">
      <c r="A44" s="213"/>
      <c r="B44" s="214"/>
      <c r="C44" s="214"/>
      <c r="D44" s="214"/>
      <c r="E44" s="214"/>
      <c r="F44" s="214"/>
      <c r="G44" s="214"/>
      <c r="H44" s="214"/>
      <c r="I44" s="214"/>
      <c r="J44" s="214"/>
      <c r="K44" s="214"/>
      <c r="L44" s="214"/>
      <c r="M44" s="214"/>
      <c r="N44" s="214"/>
      <c r="O44" s="214"/>
    </row>
  </sheetData>
  <mergeCells count="2">
    <mergeCell ref="A1:E1"/>
    <mergeCell ref="A2:E2"/>
  </mergeCells>
  <pageMargins left="0.7" right="0.7" top="0.75" bottom="0.75" header="0.3" footer="0.3"/>
  <pageSetup scale="56"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zoomScaleNormal="100" workbookViewId="0">
      <selection sqref="A1:C1"/>
    </sheetView>
  </sheetViews>
  <sheetFormatPr defaultRowHeight="15"/>
  <cols>
    <col min="1" max="1" width="15.33203125" customWidth="1"/>
  </cols>
  <sheetData>
    <row r="1" spans="1:10" ht="18.75">
      <c r="A1" s="676" t="str">
        <f>'6 - WP - Divisor'!A1</f>
        <v>Jasper-Newton Electric Cooperative</v>
      </c>
      <c r="B1" s="676"/>
      <c r="C1" s="676"/>
      <c r="D1" s="232"/>
      <c r="E1" s="232"/>
      <c r="F1" s="232"/>
      <c r="G1" s="232"/>
      <c r="H1" s="223"/>
      <c r="I1" s="223"/>
      <c r="J1" s="223"/>
    </row>
    <row r="2" spans="1:10" ht="18.75">
      <c r="A2" s="676" t="str">
        <f>'6 - WP - Divisor'!A2</f>
        <v>For the Year ended 12/31/2017</v>
      </c>
      <c r="B2" s="676"/>
      <c r="C2" s="676"/>
      <c r="D2" s="232"/>
      <c r="E2" s="232"/>
      <c r="F2" s="232"/>
      <c r="G2" s="232"/>
      <c r="H2" s="223"/>
      <c r="I2" s="223"/>
      <c r="J2" s="223"/>
    </row>
    <row r="3" spans="1:10" ht="33.75">
      <c r="A3" s="347" t="s">
        <v>728</v>
      </c>
      <c r="B3" s="232"/>
      <c r="C3" s="232"/>
      <c r="D3" s="232"/>
      <c r="E3" s="232"/>
      <c r="F3" s="232"/>
      <c r="G3" s="232"/>
      <c r="H3" s="223"/>
      <c r="I3" s="223"/>
      <c r="J3" s="223"/>
    </row>
    <row r="4" spans="1:10" ht="18.75">
      <c r="A4" s="231" t="s">
        <v>538</v>
      </c>
      <c r="B4" s="226"/>
      <c r="C4" s="226"/>
      <c r="D4" s="223"/>
      <c r="E4" s="223"/>
      <c r="F4" s="223"/>
      <c r="G4" s="223"/>
      <c r="H4" s="223"/>
      <c r="I4" s="223"/>
      <c r="J4" s="223"/>
    </row>
    <row r="7" spans="1:10" ht="15.75">
      <c r="A7" s="223"/>
      <c r="B7" s="226" t="s">
        <v>539</v>
      </c>
      <c r="C7" s="223"/>
      <c r="D7" s="223"/>
      <c r="E7" s="223"/>
      <c r="F7" s="223"/>
      <c r="G7" s="223"/>
      <c r="H7" s="223"/>
      <c r="I7" s="223"/>
      <c r="J7" s="223"/>
    </row>
    <row r="9" spans="1:10" ht="15.75">
      <c r="A9" s="223" t="s">
        <v>540</v>
      </c>
      <c r="B9" s="227">
        <v>0</v>
      </c>
      <c r="C9" s="223"/>
      <c r="D9" s="223"/>
      <c r="E9" s="223"/>
      <c r="F9" s="223"/>
      <c r="G9" s="223"/>
      <c r="H9" s="223"/>
      <c r="I9" s="223"/>
      <c r="J9" s="223"/>
    </row>
    <row r="10" spans="1:10" ht="15.75">
      <c r="A10" s="223" t="s">
        <v>44</v>
      </c>
      <c r="B10" s="230">
        <v>0</v>
      </c>
      <c r="C10" s="223"/>
      <c r="D10" s="223" t="s">
        <v>541</v>
      </c>
      <c r="E10" s="223"/>
      <c r="F10" s="223"/>
      <c r="G10" s="223"/>
      <c r="H10" s="223"/>
      <c r="I10" s="223"/>
      <c r="J10" s="223"/>
    </row>
    <row r="11" spans="1:10" ht="15.75">
      <c r="A11" s="223" t="s">
        <v>542</v>
      </c>
      <c r="B11" s="224">
        <v>0</v>
      </c>
      <c r="C11" s="223"/>
      <c r="D11" s="223"/>
      <c r="E11" s="223"/>
      <c r="F11" s="223"/>
      <c r="G11" s="223"/>
      <c r="H11" s="223"/>
      <c r="I11" s="223"/>
      <c r="J11" s="223"/>
    </row>
    <row r="12" spans="1:10" ht="18">
      <c r="A12" s="223" t="s">
        <v>543</v>
      </c>
      <c r="B12" s="229">
        <v>0</v>
      </c>
      <c r="C12" s="223"/>
      <c r="D12" s="223"/>
      <c r="E12" s="223"/>
      <c r="F12" s="223"/>
      <c r="G12" s="223"/>
      <c r="H12" s="223"/>
      <c r="I12" s="223"/>
      <c r="J12" s="223"/>
    </row>
    <row r="13" spans="1:10" ht="15.75">
      <c r="A13" s="223"/>
      <c r="B13" s="228">
        <v>0</v>
      </c>
      <c r="C13" s="223"/>
      <c r="D13" s="233" t="s">
        <v>544</v>
      </c>
      <c r="E13" s="233"/>
      <c r="F13" s="233"/>
      <c r="G13" s="233"/>
      <c r="H13" s="233"/>
      <c r="I13" s="233"/>
      <c r="J13" s="233"/>
    </row>
    <row r="14" spans="1:10" ht="15.75">
      <c r="A14" s="223"/>
      <c r="B14" s="223"/>
      <c r="C14" s="223"/>
      <c r="D14" s="233" t="s">
        <v>545</v>
      </c>
      <c r="E14" s="233"/>
      <c r="F14" s="233"/>
      <c r="G14" s="233"/>
      <c r="H14" s="233"/>
      <c r="I14" s="233"/>
      <c r="J14" s="233"/>
    </row>
    <row r="15" spans="1:10" ht="15.75">
      <c r="A15" s="223"/>
      <c r="B15" s="223"/>
      <c r="C15" s="223"/>
      <c r="D15" s="233"/>
      <c r="E15" s="233"/>
      <c r="F15" s="233"/>
      <c r="G15" s="233"/>
      <c r="H15" s="233"/>
      <c r="I15" s="233"/>
      <c r="J15" s="233"/>
    </row>
    <row r="18" spans="1:1" ht="18.75">
      <c r="A18" s="223" t="s">
        <v>546</v>
      </c>
    </row>
    <row r="19" spans="1:1" ht="15.75">
      <c r="A19" s="225"/>
    </row>
    <row r="20" spans="1:1" ht="15.75">
      <c r="A20" s="223" t="s">
        <v>547</v>
      </c>
    </row>
    <row r="21" spans="1:1" ht="15.75">
      <c r="A21" s="225" t="s">
        <v>548</v>
      </c>
    </row>
  </sheetData>
  <mergeCells count="2">
    <mergeCell ref="A1:C1"/>
    <mergeCell ref="A2:C2"/>
  </mergeCells>
  <pageMargins left="0.7" right="0.7" top="0.75" bottom="0.75" header="0.3" footer="0.3"/>
  <pageSetup scale="98"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9</vt:i4>
      </vt:variant>
    </vt:vector>
  </HeadingPairs>
  <TitlesOfParts>
    <vt:vector size="28" baseType="lpstr">
      <vt:lpstr>Protocol Notes</vt:lpstr>
      <vt:lpstr>0 - Jasper-Newton Attach O</vt:lpstr>
      <vt:lpstr>1 - 12a.A Statement of Oper</vt:lpstr>
      <vt:lpstr>2 - 12a.B Balance Sheet</vt:lpstr>
      <vt:lpstr>3 -12h.A&amp;B Util Plt &amp; Accum Dep</vt:lpstr>
      <vt:lpstr>4 - 12h.G&amp;J M&amp;S Inv &amp; Pay Stat</vt:lpstr>
      <vt:lpstr>5 - 12i.A Expenses and Costs</vt:lpstr>
      <vt:lpstr>6 - WP - Divisor</vt:lpstr>
      <vt:lpstr>7 - WP - Land for future use</vt:lpstr>
      <vt:lpstr>8 - WP - Materials and Supplies</vt:lpstr>
      <vt:lpstr>9 - WP - FERC Fees</vt:lpstr>
      <vt:lpstr>10 - WP - Attach O, pg 3, ln 5</vt:lpstr>
      <vt:lpstr>11WP - Taxes Other Than Inc Tax</vt:lpstr>
      <vt:lpstr>12 - WPTrans Plt Excl from ISO</vt:lpstr>
      <vt:lpstr>13 - WP Trans Plt Incl in Ancil</vt:lpstr>
      <vt:lpstr>14 - WP - Wages &amp; Salaries</vt:lpstr>
      <vt:lpstr>15 - WP - Trans Rev</vt:lpstr>
      <vt:lpstr>16 - WP - Other Elec Rev</vt:lpstr>
      <vt:lpstr>Sheet1</vt:lpstr>
      <vt:lpstr>'0 - Jasper-Newton Attach O'!Print_Area</vt:lpstr>
      <vt:lpstr>'10 - WP - Attach O, pg 3, ln 5'!Print_Area</vt:lpstr>
      <vt:lpstr>'12 - WPTrans Plt Excl from ISO'!Print_Area</vt:lpstr>
      <vt:lpstr>'13 - WP Trans Plt Incl in Ancil'!Print_Area</vt:lpstr>
      <vt:lpstr>'15 - WP - Trans Rev'!Print_Area</vt:lpstr>
      <vt:lpstr>'3 -12h.A&amp;B Util Plt &amp; Accum Dep'!Print_Area</vt:lpstr>
      <vt:lpstr>'4 - 12h.G&amp;J M&amp;S Inv &amp; Pay Stat'!Print_Area</vt:lpstr>
      <vt:lpstr>'5 - 12i.A Expenses and Costs'!Print_Area</vt:lpstr>
      <vt:lpstr>'8 - WP - Materials and Supplies'!Print_Area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Smith</dc:creator>
  <cp:lastModifiedBy>Daniel Burapavong</cp:lastModifiedBy>
  <cp:lastPrinted>2018-04-12T18:54:55Z</cp:lastPrinted>
  <dcterms:created xsi:type="dcterms:W3CDTF">2008-03-20T17:17:48Z</dcterms:created>
  <dcterms:modified xsi:type="dcterms:W3CDTF">2018-04-12T18:56:42Z</dcterms:modified>
</cp:coreProperties>
</file>