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48" yWindow="936" windowWidth="16608" windowHeight="8952" tabRatio="677" activeTab="2"/>
  </bookViews>
  <sheets>
    <sheet name="Explanatory Stmnts" sheetId="109" r:id="rId1"/>
    <sheet name="MISO Cover" sheetId="88" r:id="rId2"/>
    <sheet name="Appendix A" sheetId="75" r:id="rId3"/>
    <sheet name="App A Support" sheetId="101" r:id="rId4"/>
    <sheet name="WP01 True-Up" sheetId="78" r:id="rId5"/>
    <sheet name="WP01 TU Support" sheetId="105" r:id="rId6"/>
    <sheet name="WP02 Support" sheetId="77" r:id="rId7"/>
    <sheet name="WP03 W&amp;S" sheetId="61" r:id="rId8"/>
    <sheet name="WP04 PIS" sheetId="62" r:id="rId9"/>
    <sheet name="WP04 Support" sheetId="108" r:id="rId10"/>
    <sheet name="WP05 CapAds" sheetId="84" r:id="rId11"/>
    <sheet name="WP06 ADIT" sheetId="2" r:id="rId12"/>
    <sheet name="WP06 ADIT Support" sheetId="102" r:id="rId13"/>
    <sheet name="WP07 M&amp;S" sheetId="91" r:id="rId14"/>
    <sheet name="WP08 Prepay" sheetId="73" r:id="rId15"/>
    <sheet name="WP09 PHFU" sheetId="58" r:id="rId16"/>
    <sheet name="WP10 Storm" sheetId="93" r:id="rId17"/>
    <sheet name="WP11 Credits" sheetId="60" r:id="rId18"/>
    <sheet name="WP12 PBOP" sheetId="57" r:id="rId19"/>
    <sheet name="WP13 TOTI" sheetId="49" r:id="rId20"/>
    <sheet name="WP14 COC" sheetId="44" r:id="rId21"/>
    <sheet name="WP14 Support" sheetId="107" r:id="rId22"/>
    <sheet name="WP15 Radials" sheetId="86" r:id="rId23"/>
    <sheet name="WP16 Interconn" sheetId="85" r:id="rId24"/>
    <sheet name="WP17 Rev" sheetId="51" r:id="rId25"/>
    <sheet name="WP17 Rev Support" sheetId="100" r:id="rId26"/>
    <sheet name="WP18 Deprec" sheetId="66" r:id="rId27"/>
    <sheet name="WP 18 Depr Support " sheetId="111" r:id="rId28"/>
    <sheet name="WP19 Load" sheetId="67" r:id="rId29"/>
    <sheet name="WP20 Reserves" sheetId="74" r:id="rId30"/>
    <sheet name="WP21 Pension" sheetId="103" r:id="rId31"/>
    <sheet name="WP22 IT Adj" sheetId="104" r:id="rId32"/>
    <sheet name="WP AJ1 MISO" sheetId="55" r:id="rId33"/>
    <sheet name="WP AJ2 ITC" sheetId="56" r:id="rId34"/>
    <sheet name="WP AJ3 HCM" sheetId="87" r:id="rId35"/>
    <sheet name="WP AJ4 LA Merger" sheetId="95" r:id="rId36"/>
    <sheet name="WP AJ5 Acadia PB2" sheetId="96" r:id="rId37"/>
    <sheet name="WP AJ6 GPRD" sheetId="98" r:id="rId38"/>
  </sheets>
  <externalReferences>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0">#N/A</definedName>
    <definedName name="\1" localSheetId="27">'[1]Header Data'!#REF!</definedName>
    <definedName name="\1">'[2]Header Data'!#REF!</definedName>
    <definedName name="\b">#N/A</definedName>
    <definedName name="\c">#N/A</definedName>
    <definedName name="\d">#N/A</definedName>
    <definedName name="\E" localSheetId="27">#REF!</definedName>
    <definedName name="\E">#REF!</definedName>
    <definedName name="\f">#N/A</definedName>
    <definedName name="\m">#N/A</definedName>
    <definedName name="\p" localSheetId="27">#REF!</definedName>
    <definedName name="\p">#REF!</definedName>
    <definedName name="__123Graph_A" localSheetId="27" hidden="1">'[3]AL2 151'!#REF!</definedName>
    <definedName name="__123Graph_A" localSheetId="8" hidden="1">'[4]AL2 151'!#REF!</definedName>
    <definedName name="__123Graph_A" localSheetId="10" hidden="1">'[4]AL2 151'!#REF!</definedName>
    <definedName name="__123Graph_A" localSheetId="24" hidden="1">'[4]AL2 151'!#REF!</definedName>
    <definedName name="__123Graph_A" hidden="1">'[4]AL2 151'!#REF!</definedName>
    <definedName name="__123Graph_B" localSheetId="27" hidden="1">'[3]AL2 151'!#REF!</definedName>
    <definedName name="__123Graph_B" localSheetId="10" hidden="1">'[4]AL2 151'!#REF!</definedName>
    <definedName name="__123Graph_B" localSheetId="24" hidden="1">'[4]AL2 151'!#REF!</definedName>
    <definedName name="__123Graph_B" localSheetId="28" hidden="1">#REF!</definedName>
    <definedName name="__123Graph_B" hidden="1">'[4]AL2 151'!#REF!</definedName>
    <definedName name="__123Graph_C" localSheetId="27" hidden="1">'[3]AL2 151'!#REF!</definedName>
    <definedName name="__123Graph_C" localSheetId="10" hidden="1">'[4]AL2 151'!#REF!</definedName>
    <definedName name="__123Graph_C" hidden="1">'[4]AL2 151'!#REF!</definedName>
    <definedName name="__123Graph_D" localSheetId="27" hidden="1">'[3]AL2 151'!#REF!</definedName>
    <definedName name="__123Graph_D" localSheetId="10" hidden="1">'[4]AL2 151'!#REF!</definedName>
    <definedName name="__123Graph_D" hidden="1">'[4]AL2 151'!#REF!</definedName>
    <definedName name="__123Graph_E" localSheetId="27" hidden="1">'[3]AL2 151'!#REF!</definedName>
    <definedName name="__123Graph_E" localSheetId="10" hidden="1">'[4]AL2 151'!#REF!</definedName>
    <definedName name="__123Graph_E" hidden="1">'[4]AL2 151'!#REF!</definedName>
    <definedName name="__123Graph_F" localSheetId="27" hidden="1">'[3]AL2 151'!#REF!</definedName>
    <definedName name="__123Graph_F" localSheetId="10" hidden="1">'[4]AL2 151'!#REF!</definedName>
    <definedName name="__123Graph_F" hidden="1">'[4]AL2 151'!#REF!</definedName>
    <definedName name="__123Graph_X" localSheetId="27" hidden="1">'[3]AL2 151'!#REF!</definedName>
    <definedName name="__123Graph_X" localSheetId="10" hidden="1">'[4]AL2 151'!#REF!</definedName>
    <definedName name="__123Graph_X" hidden="1">'[4]AL2 151'!#REF!</definedName>
    <definedName name="__CPK1" localSheetId="27">#REF!</definedName>
    <definedName name="__CPK1">#REF!</definedName>
    <definedName name="__CPK2" localSheetId="27">#REF!</definedName>
    <definedName name="__CPK2">#REF!</definedName>
    <definedName name="__CPK3" localSheetId="27">#REF!</definedName>
    <definedName name="__CPK3">#REF!</definedName>
    <definedName name="__EGR1">#N/A</definedName>
    <definedName name="__EGR2">#N/A</definedName>
    <definedName name="__EGR3">#N/A</definedName>
    <definedName name="__tet12" localSheetId="1" hidden="1">{"assumptions",#N/A,FALSE,"Scenario 1";"valuation",#N/A,FALSE,"Scenario 1"}</definedName>
    <definedName name="__tet12" localSheetId="27" hidden="1">{"assumptions",#N/A,FALSE,"Scenario 1";"valuation",#N/A,FALSE,"Scenario 1"}</definedName>
    <definedName name="__tet12" localSheetId="8" hidden="1">{"assumptions",#N/A,FALSE,"Scenario 1";"valuation",#N/A,FALSE,"Scenario 1"}</definedName>
    <definedName name="__tet12" localSheetId="15" hidden="1">{"assumptions",#N/A,FALSE,"Scenario 1";"valuation",#N/A,FALSE,"Scenario 1"}</definedName>
    <definedName name="__tet12" localSheetId="28" hidden="1">{"assumptions",#N/A,FALSE,"Scenario 1";"valuation",#N/A,FALSE,"Scenario 1"}</definedName>
    <definedName name="__tet12" hidden="1">{"assumptions",#N/A,FALSE,"Scenario 1";"valuation",#N/A,FALSE,"Scenario 1"}</definedName>
    <definedName name="__tet5" localSheetId="1" hidden="1">{"assumptions",#N/A,FALSE,"Scenario 1";"valuation",#N/A,FALSE,"Scenario 1"}</definedName>
    <definedName name="__tet5" localSheetId="27" hidden="1">{"assumptions",#N/A,FALSE,"Scenario 1";"valuation",#N/A,FALSE,"Scenario 1"}</definedName>
    <definedName name="__tet5" localSheetId="8" hidden="1">{"assumptions",#N/A,FALSE,"Scenario 1";"valuation",#N/A,FALSE,"Scenario 1"}</definedName>
    <definedName name="__tet5" localSheetId="15" hidden="1">{"assumptions",#N/A,FALSE,"Scenario 1";"valuation",#N/A,FALSE,"Scenario 1"}</definedName>
    <definedName name="__tet5" localSheetId="28" hidden="1">{"assumptions",#N/A,FALSE,"Scenario 1";"valuation",#N/A,FALSE,"Scenario 1"}</definedName>
    <definedName name="__tet5" hidden="1">{"assumptions",#N/A,FALSE,"Scenario 1";"valuation",#N/A,FALSE,"Scenario 1"}</definedName>
    <definedName name="_123Graph_B.1" localSheetId="1" hidden="1">#REF!</definedName>
    <definedName name="_123Graph_B.1" localSheetId="27" hidden="1">#REF!</definedName>
    <definedName name="_123Graph_B.1" localSheetId="10" hidden="1">#REF!</definedName>
    <definedName name="_123Graph_B.1" hidden="1">#REF!</definedName>
    <definedName name="_CPK1" localSheetId="27">#REF!</definedName>
    <definedName name="_CPK1">#REF!</definedName>
    <definedName name="_CPK2" localSheetId="27">#REF!</definedName>
    <definedName name="_CPK2">#REF!</definedName>
    <definedName name="_CPK3" localSheetId="27">#REF!</definedName>
    <definedName name="_CPK3">#REF!</definedName>
    <definedName name="_Dist_Bin" localSheetId="1" hidden="1">#REF!</definedName>
    <definedName name="_Dist_Bin" localSheetId="27" hidden="1">#REF!</definedName>
    <definedName name="_Dist_Bin" localSheetId="10" hidden="1">#REF!</definedName>
    <definedName name="_Dist_Bin" localSheetId="28" hidden="1">#REF!</definedName>
    <definedName name="_Dist_Bin" hidden="1">#REF!</definedName>
    <definedName name="_Dist_Values" localSheetId="1" hidden="1">#REF!</definedName>
    <definedName name="_Dist_Values" localSheetId="27" hidden="1">#REF!</definedName>
    <definedName name="_Dist_Values" localSheetId="10" hidden="1">#REF!</definedName>
    <definedName name="_Dist_Values" localSheetId="28" hidden="1">#REF!</definedName>
    <definedName name="_Dist_Values" hidden="1">#REF!</definedName>
    <definedName name="_EGR1">#N/A</definedName>
    <definedName name="_EGR2">#N/A</definedName>
    <definedName name="_EGR3">#N/A</definedName>
    <definedName name="_Fill" localSheetId="1" hidden="1">#REF!</definedName>
    <definedName name="_Fill" localSheetId="27" hidden="1">#REF!</definedName>
    <definedName name="_Fill" localSheetId="8" hidden="1">#REF!</definedName>
    <definedName name="_Fill" localSheetId="10" hidden="1">#REF!</definedName>
    <definedName name="_Fill" localSheetId="19" hidden="1">#REF!</definedName>
    <definedName name="_Fill" localSheetId="24" hidden="1">#REF!</definedName>
    <definedName name="_Fill" localSheetId="28" hidden="1">#REF!</definedName>
    <definedName name="_Fill" hidden="1">#REF!</definedName>
    <definedName name="_Fill.1" localSheetId="1" hidden="1">#REF!</definedName>
    <definedName name="_Fill.1" localSheetId="27" hidden="1">#REF!</definedName>
    <definedName name="_Fill.1" localSheetId="8" hidden="1">#REF!</definedName>
    <definedName name="_Fill.1" localSheetId="10" hidden="1">#REF!</definedName>
    <definedName name="_Fill.1" hidden="1">#REF!</definedName>
    <definedName name="_Key.1" localSheetId="1" hidden="1">#REF!</definedName>
    <definedName name="_Key.1" localSheetId="27" hidden="1">#REF!</definedName>
    <definedName name="_Key.1" localSheetId="8" hidden="1">#REF!</definedName>
    <definedName name="_Key.1" localSheetId="10" hidden="1">#REF!</definedName>
    <definedName name="_Key.1" hidden="1">#REF!</definedName>
    <definedName name="_Key1" localSheetId="1" hidden="1">#REF!</definedName>
    <definedName name="_Key1" localSheetId="27" hidden="1">#REF!</definedName>
    <definedName name="_Key1" localSheetId="4" hidden="1">#REF!</definedName>
    <definedName name="_Key1" localSheetId="10" hidden="1">#REF!</definedName>
    <definedName name="_Key1" localSheetId="19" hidden="1">#REF!</definedName>
    <definedName name="_Key1" localSheetId="24" hidden="1">#REF!</definedName>
    <definedName name="_Key1" localSheetId="28" hidden="1">#REF!</definedName>
    <definedName name="_Key1" hidden="1">#REF!</definedName>
    <definedName name="_MatInverse_In" localSheetId="1" hidden="1">#REF!</definedName>
    <definedName name="_MatInverse_In" localSheetId="27" hidden="1">#REF!</definedName>
    <definedName name="_MatInverse_In" localSheetId="10" hidden="1">#REF!</definedName>
    <definedName name="_MatInverse_In" localSheetId="28" hidden="1">#REF!</definedName>
    <definedName name="_MatInverse_In" hidden="1">#REF!</definedName>
    <definedName name="_MatInverse_Out" localSheetId="1" hidden="1">#REF!</definedName>
    <definedName name="_MatInverse_Out" localSheetId="27" hidden="1">#REF!</definedName>
    <definedName name="_MatInverse_Out" localSheetId="10" hidden="1">#REF!</definedName>
    <definedName name="_MatInverse_Out" localSheetId="28" hidden="1">#REF!</definedName>
    <definedName name="_MatInverse_Out" hidden="1">#REF!</definedName>
    <definedName name="_MatMult_A" localSheetId="1" hidden="1">#REF!</definedName>
    <definedName name="_MatMult_A" localSheetId="27" hidden="1">#REF!</definedName>
    <definedName name="_MatMult_A" localSheetId="10" hidden="1">#REF!</definedName>
    <definedName name="_MatMult_A" localSheetId="28" hidden="1">#REF!</definedName>
    <definedName name="_MatMult_A" hidden="1">#REF!</definedName>
    <definedName name="_MatMult_AxB" localSheetId="1" hidden="1">#REF!</definedName>
    <definedName name="_MatMult_AxB" localSheetId="27" hidden="1">#REF!</definedName>
    <definedName name="_MatMult_AxB" localSheetId="10" hidden="1">#REF!</definedName>
    <definedName name="_MatMult_AxB" localSheetId="28" hidden="1">#REF!</definedName>
    <definedName name="_MatMult_AxB" hidden="1">#REF!</definedName>
    <definedName name="_MatMult_B" localSheetId="1" hidden="1">#REF!</definedName>
    <definedName name="_MatMult_B" localSheetId="27" hidden="1">#REF!</definedName>
    <definedName name="_MatMult_B" localSheetId="10" hidden="1">#REF!</definedName>
    <definedName name="_MatMult_B" localSheetId="28" hidden="1">#REF!</definedName>
    <definedName name="_MatMult_B" hidden="1">#REF!</definedName>
    <definedName name="_Order.1" hidden="1">255</definedName>
    <definedName name="_Order1" localSheetId="4" hidden="1">255</definedName>
    <definedName name="_Order1" localSheetId="10" hidden="1">255</definedName>
    <definedName name="_Order1" localSheetId="28" hidden="1">255</definedName>
    <definedName name="_Order1" hidden="1">0</definedName>
    <definedName name="_Order2" hidden="1">255</definedName>
    <definedName name="_Parse_In" localSheetId="1" hidden="1">#REF!</definedName>
    <definedName name="_Parse_In" localSheetId="27" hidden="1">#REF!</definedName>
    <definedName name="_Parse_In" localSheetId="10" hidden="1">#REF!</definedName>
    <definedName name="_Parse_In" localSheetId="28" hidden="1">#REF!</definedName>
    <definedName name="_Parse_In" hidden="1">#REF!</definedName>
    <definedName name="_Parse_Out" localSheetId="1" hidden="1">#REF!</definedName>
    <definedName name="_Parse_Out" localSheetId="27" hidden="1">#REF!</definedName>
    <definedName name="_Parse_Out" localSheetId="10" hidden="1">#REF!</definedName>
    <definedName name="_Parse_Out" localSheetId="28" hidden="1">#REF!</definedName>
    <definedName name="_Parse_Out" hidden="1">#REF!</definedName>
    <definedName name="_Regression_Out" localSheetId="1" hidden="1">#REF!</definedName>
    <definedName name="_Regression_Out" localSheetId="27" hidden="1">#REF!</definedName>
    <definedName name="_Regression_Out" localSheetId="10" hidden="1">#REF!</definedName>
    <definedName name="_Regression_Out" localSheetId="28" hidden="1">#REF!</definedName>
    <definedName name="_Regression_Out" hidden="1">#REF!</definedName>
    <definedName name="_Regression_X" localSheetId="1" hidden="1">#REF!</definedName>
    <definedName name="_Regression_X" localSheetId="27" hidden="1">#REF!</definedName>
    <definedName name="_Regression_X" localSheetId="10" hidden="1">#REF!</definedName>
    <definedName name="_Regression_X" localSheetId="28" hidden="1">#REF!</definedName>
    <definedName name="_Regression_X" hidden="1">#REF!</definedName>
    <definedName name="_Regression_Y" localSheetId="1" hidden="1">#REF!</definedName>
    <definedName name="_Regression_Y" localSheetId="27" hidden="1">#REF!</definedName>
    <definedName name="_Regression_Y" localSheetId="10" hidden="1">#REF!</definedName>
    <definedName name="_Regression_Y" localSheetId="28" hidden="1">#REF!</definedName>
    <definedName name="_Regression_Y" hidden="1">#REF!</definedName>
    <definedName name="_Sort" localSheetId="1" hidden="1">#REF!</definedName>
    <definedName name="_Sort" localSheetId="27" hidden="1">#REF!</definedName>
    <definedName name="_Sort" localSheetId="4" hidden="1">#REF!</definedName>
    <definedName name="_Sort" localSheetId="10" hidden="1">#REF!</definedName>
    <definedName name="_Sort" localSheetId="19" hidden="1">#REF!</definedName>
    <definedName name="_Sort" localSheetId="24" hidden="1">#REF!</definedName>
    <definedName name="_Sort" localSheetId="28" hidden="1">#REF!</definedName>
    <definedName name="_Sort" hidden="1">#REF!</definedName>
    <definedName name="_Sort.1" localSheetId="1" hidden="1">#REF!</definedName>
    <definedName name="_Sort.1" localSheetId="27" hidden="1">#REF!</definedName>
    <definedName name="_Sort.1" localSheetId="10" hidden="1">#REF!</definedName>
    <definedName name="_Sort.1" hidden="1">#REF!</definedName>
    <definedName name="_Table1_Out" localSheetId="1" hidden="1">#REF!</definedName>
    <definedName name="_Table1_Out" localSheetId="27" hidden="1">#REF!</definedName>
    <definedName name="_Table1_Out" localSheetId="10" hidden="1">#REF!</definedName>
    <definedName name="_Table1_Out" localSheetId="28" hidden="1">#REF!</definedName>
    <definedName name="_Table1_Out" hidden="1">#REF!</definedName>
    <definedName name="_tet12" localSheetId="1" hidden="1">{"assumptions",#N/A,FALSE,"Scenario 1";"valuation",#N/A,FALSE,"Scenario 1"}</definedName>
    <definedName name="_tet12" localSheetId="27" hidden="1">{"assumptions",#N/A,FALSE,"Scenario 1";"valuation",#N/A,FALSE,"Scenario 1"}</definedName>
    <definedName name="_tet12" localSheetId="8" hidden="1">{"assumptions",#N/A,FALSE,"Scenario 1";"valuation",#N/A,FALSE,"Scenario 1"}</definedName>
    <definedName name="_tet12" localSheetId="15" hidden="1">{"assumptions",#N/A,FALSE,"Scenario 1";"valuation",#N/A,FALSE,"Scenario 1"}</definedName>
    <definedName name="_tet12" localSheetId="28" hidden="1">{"assumptions",#N/A,FALSE,"Scenario 1";"valuation",#N/A,FALSE,"Scenario 1"}</definedName>
    <definedName name="_tet12" hidden="1">{"assumptions",#N/A,FALSE,"Scenario 1";"valuation",#N/A,FALSE,"Scenario 1"}</definedName>
    <definedName name="_tet5" localSheetId="1" hidden="1">{"assumptions",#N/A,FALSE,"Scenario 1";"valuation",#N/A,FALSE,"Scenario 1"}</definedName>
    <definedName name="_tet5" localSheetId="27" hidden="1">{"assumptions",#N/A,FALSE,"Scenario 1";"valuation",#N/A,FALSE,"Scenario 1"}</definedName>
    <definedName name="_tet5" localSheetId="8" hidden="1">{"assumptions",#N/A,FALSE,"Scenario 1";"valuation",#N/A,FALSE,"Scenario 1"}</definedName>
    <definedName name="_tet5" localSheetId="15" hidden="1">{"assumptions",#N/A,FALSE,"Scenario 1";"valuation",#N/A,FALSE,"Scenario 1"}</definedName>
    <definedName name="_tet5" localSheetId="28" hidden="1">{"assumptions",#N/A,FALSE,"Scenario 1";"valuation",#N/A,FALSE,"Scenario 1"}</definedName>
    <definedName name="_tet5" hidden="1">{"assumptions",#N/A,FALSE,"Scenario 1";"valuation",#N/A,FALSE,"Scenario 1"}</definedName>
    <definedName name="A" localSheetId="27">#REF!</definedName>
    <definedName name="a" localSheetId="28" hidden="1">{"LBO Summary",#N/A,FALSE,"Summary"}</definedName>
    <definedName name="A">#REF!</definedName>
    <definedName name="a.1" localSheetId="1" hidden="1">{"LBO Summary",#N/A,FALSE,"Summary"}</definedName>
    <definedName name="a.1" localSheetId="27" hidden="1">{"LBO Summary",#N/A,FALSE,"Summary"}</definedName>
    <definedName name="a.1" localSheetId="8" hidden="1">{"LBO Summary",#N/A,FALSE,"Summary"}</definedName>
    <definedName name="a.1" localSheetId="15" hidden="1">{"LBO Summary",#N/A,FALSE,"Summary"}</definedName>
    <definedName name="a.1" hidden="1">{"LBO Summary",#N/A,FALSE,"Summary"}</definedName>
    <definedName name="above">OFFSET(!A1,-1,0)</definedName>
    <definedName name="ACCTTextLen" localSheetId="27">#REF!</definedName>
    <definedName name="ACCTTextLen">#REF!</definedName>
    <definedName name="ACTTextLen" localSheetId="27">#REF!</definedName>
    <definedName name="ACTTextLen">#REF!</definedName>
    <definedName name="ADIT_TST">'[5]A.2 PTP'!$P$55</definedName>
    <definedName name="ADTL">'[5]C. Input'!$F$144</definedName>
    <definedName name="AG_TST">'[5]A.2 PTP'!$P$111</definedName>
    <definedName name="AGXP">'[5]C. Input'!$F$201</definedName>
    <definedName name="Allocator.gross.plant" localSheetId="1">'[6]Appendix A'!$H$30</definedName>
    <definedName name="Allocator.gross.plant" localSheetId="27">'[7]Appendix A'!$H$30</definedName>
    <definedName name="Allocator.gross.plant">'[6]Appendix A'!$H$30</definedName>
    <definedName name="Allocator.net.plant" localSheetId="1">'[6]Appendix A'!$H$33</definedName>
    <definedName name="Allocator.net.plant" localSheetId="27">'[7]Appendix A'!$H$33</definedName>
    <definedName name="Allocator.net.plant">'[6]Appendix A'!$H$33</definedName>
    <definedName name="Allocator.wages.salary" localSheetId="1">'[6]Appendix A'!$H$18</definedName>
    <definedName name="Allocator.wages.salary" localSheetId="27">'[7]Appendix A'!$H$18</definedName>
    <definedName name="Allocator.wages.salary">'[6]Appendix A'!$H$18</definedName>
    <definedName name="ALOC" localSheetId="1">#REF!</definedName>
    <definedName name="ALOC" localSheetId="27">#REF!</definedName>
    <definedName name="ALOC" localSheetId="8">#REF!</definedName>
    <definedName name="ALOC" localSheetId="10">#REF!</definedName>
    <definedName name="ALOC" localSheetId="19">#REF!</definedName>
    <definedName name="ALOC">#REF!</definedName>
    <definedName name="ALOC_2" localSheetId="1">#REF!</definedName>
    <definedName name="ALOC_2" localSheetId="27">#REF!</definedName>
    <definedName name="ALOC_2" localSheetId="8">#REF!</definedName>
    <definedName name="ALOC_2" localSheetId="10">#REF!</definedName>
    <definedName name="ALOC_2">#REF!</definedName>
    <definedName name="Amort_04" localSheetId="1">'[8]D.16.1.2 Table B 2004'!$A$24:$U$35</definedName>
    <definedName name="Amort_04" localSheetId="27">'[5]D.16.1.2 Table B 2004'!$A$24:$U$35</definedName>
    <definedName name="Amort_04" localSheetId="8">'[8]D.16.1.2 Table B 2004'!$A$24:$U$35</definedName>
    <definedName name="Amort_04" localSheetId="28">'[8]D.16.1.2 Table B 2004'!$A$24:$U$35</definedName>
    <definedName name="Amort_04">'[8]D.16.1.2 Table B 2004'!$A$24:$U$35</definedName>
    <definedName name="Amort_05" localSheetId="1">'[8]D.16.1.3 Table B 2005'!$A$24:$U$36</definedName>
    <definedName name="Amort_05" localSheetId="27">'[5]D.16.1.3 Table B 2005'!$A$24:$U$36</definedName>
    <definedName name="Amort_05" localSheetId="8">'[8]D.16.1.3 Table B 2005'!$A$24:$U$36</definedName>
    <definedName name="Amort_05" localSheetId="28">'[8]D.16.1.3 Table B 2005'!$A$24:$U$36</definedName>
    <definedName name="Amort_05">'[8]D.16.1.3 Table B 2005'!$A$24:$U$36</definedName>
    <definedName name="Amort_06" localSheetId="1">'[8]D.16.1.4 Table B 2006'!$A$24:$U$37</definedName>
    <definedName name="Amort_06" localSheetId="27">'[5]D.16.1.4 Table B 2006'!$A$24:$U$37</definedName>
    <definedName name="Amort_06" localSheetId="8">'[8]D.16.1.4 Table B 2006'!$A$24:$U$37</definedName>
    <definedName name="Amort_06" localSheetId="28">'[8]D.16.1.4 Table B 2006'!$A$24:$U$37</definedName>
    <definedName name="Amort_06">'[8]D.16.1.4 Table B 2006'!$A$24:$U$37</definedName>
    <definedName name="Amort_07" localSheetId="1">'[8]D.16.1.5 Table B 2007'!$A$24:$U$38</definedName>
    <definedName name="Amort_07" localSheetId="27">'[5]D.16.1.5 Table B 2007'!$A$24:$U$38</definedName>
    <definedName name="Amort_07" localSheetId="8">'[8]D.16.1.5 Table B 2007'!$A$24:$U$38</definedName>
    <definedName name="Amort_07" localSheetId="28">'[8]D.16.1.5 Table B 2007'!$A$24:$U$38</definedName>
    <definedName name="Amort_07">'[8]D.16.1.5 Table B 2007'!$A$24:$U$38</definedName>
    <definedName name="Amort_08" localSheetId="1">'[8]D.16.1.6 Table B 2008'!$A$24:$U$39</definedName>
    <definedName name="Amort_08" localSheetId="27">'[5]D.16.1.6 Table B 2008'!$A$24:$U$39</definedName>
    <definedName name="Amort_08" localSheetId="8">'[8]D.16.1.6 Table B 2008'!$A$24:$U$39</definedName>
    <definedName name="Amort_08" localSheetId="28">'[8]D.16.1.6 Table B 2008'!$A$24:$U$39</definedName>
    <definedName name="Amort_08">'[8]D.16.1.6 Table B 2008'!$A$24:$U$39</definedName>
    <definedName name="Amort_09" localSheetId="1">'[8]D.16.1.7 Table B 2009'!$A$24:$U$39</definedName>
    <definedName name="Amort_09" localSheetId="27">'[5]D.16.1.7 Table B 2009'!$A$24:$U$39</definedName>
    <definedName name="Amort_09" localSheetId="8">'[8]D.16.1.7 Table B 2009'!$A$24:$U$39</definedName>
    <definedName name="Amort_09" localSheetId="28">'[8]D.16.1.7 Table B 2009'!$A$24:$U$39</definedName>
    <definedName name="Amort_09">'[8]D.16.1.7 Table B 2009'!$A$24:$U$39</definedName>
    <definedName name="Amort_10" localSheetId="1">'[8]D.16.1.8 Table B 2010'!$A$24:$U$39</definedName>
    <definedName name="Amort_10" localSheetId="27">'[5]D.16.1.8 Table B 2010'!$A$24:$U$39</definedName>
    <definedName name="Amort_10" localSheetId="8">'[8]D.16.1.8 Table B 2010'!$A$24:$U$39</definedName>
    <definedName name="Amort_10" localSheetId="28">'[8]D.16.1.8 Table B 2010'!$A$24:$U$39</definedName>
    <definedName name="Amort_10">'[8]D.16.1.8 Table B 2010'!$A$24:$U$39</definedName>
    <definedName name="Amort_11" localSheetId="1">'[8]D.16.1.9 Table B 2011'!$A$24:$U$39</definedName>
    <definedName name="Amort_11" localSheetId="27">'[5]D.16.1.9 Table B 2011'!$A$24:$U$39</definedName>
    <definedName name="Amort_11" localSheetId="8">'[8]D.16.1.9 Table B 2011'!$A$24:$U$39</definedName>
    <definedName name="Amort_11" localSheetId="28">'[8]D.16.1.9 Table B 2011'!$A$24:$U$39</definedName>
    <definedName name="Amort_11">'[8]D.16.1.9 Table B 2011'!$A$24:$U$39</definedName>
    <definedName name="Amort_12" localSheetId="1">'[8]D.16.1.10 Table B 2012'!$A$24:$U$39</definedName>
    <definedName name="Amort_12" localSheetId="27">'[5]D.16.1.10 Table B 2012'!$A$24:$U$39</definedName>
    <definedName name="Amort_12" localSheetId="8">'[8]D.16.1.10 Table B 2012'!$A$24:$U$39</definedName>
    <definedName name="Amort_12" localSheetId="28">'[8]D.16.1.10 Table B 2012'!$A$24:$U$39</definedName>
    <definedName name="Amort_12">'[8]D.16.1.10 Table B 2012'!$A$24:$U$39</definedName>
    <definedName name="AMOUNT" localSheetId="27">#REF!</definedName>
    <definedName name="AMOUNT">#REF!</definedName>
    <definedName name="APR">#N/A</definedName>
    <definedName name="ARB_04" localSheetId="1">'[8]D.16.1.2 Table B 2004'!$A$39:$U$50</definedName>
    <definedName name="ARB_04" localSheetId="27">'[5]D.16.1.2 Table B 2004'!$A$39:$U$50</definedName>
    <definedName name="ARB_04" localSheetId="8">'[8]D.16.1.2 Table B 2004'!$A$39:$U$50</definedName>
    <definedName name="ARB_04" localSheetId="28">'[8]D.16.1.2 Table B 2004'!$A$39:$U$50</definedName>
    <definedName name="ARB_04">'[8]D.16.1.2 Table B 2004'!$A$39:$U$50</definedName>
    <definedName name="ARB_05" localSheetId="1">'[8]D.16.1.3 Table B 2005'!$A$40:$U$52</definedName>
    <definedName name="ARB_05" localSheetId="27">'[5]D.16.1.3 Table B 2005'!$A$40:$U$52</definedName>
    <definedName name="ARB_05" localSheetId="8">'[8]D.16.1.3 Table B 2005'!$A$40:$U$52</definedName>
    <definedName name="ARB_05" localSheetId="28">'[8]D.16.1.3 Table B 2005'!$A$40:$U$52</definedName>
    <definedName name="ARB_05">'[8]D.16.1.3 Table B 2005'!$A$40:$U$52</definedName>
    <definedName name="ARB_06" localSheetId="1">'[8]D.16.1.4 Table B 2006'!$A$41:$U$54</definedName>
    <definedName name="ARB_06" localSheetId="27">'[5]D.16.1.4 Table B 2006'!$A$41:$U$54</definedName>
    <definedName name="ARB_06" localSheetId="8">'[8]D.16.1.4 Table B 2006'!$A$41:$U$54</definedName>
    <definedName name="ARB_06" localSheetId="28">'[8]D.16.1.4 Table B 2006'!$A$41:$U$54</definedName>
    <definedName name="ARB_06">'[8]D.16.1.4 Table B 2006'!$A$41:$U$54</definedName>
    <definedName name="ARB_07" localSheetId="1">'[8]D.16.1.5 Table B 2007'!$A$42:$U$56</definedName>
    <definedName name="ARB_07" localSheetId="27">'[5]D.16.1.5 Table B 2007'!$A$42:$U$56</definedName>
    <definedName name="ARB_07" localSheetId="8">'[8]D.16.1.5 Table B 2007'!$A$42:$U$56</definedName>
    <definedName name="ARB_07" localSheetId="28">'[8]D.16.1.5 Table B 2007'!$A$42:$U$56</definedName>
    <definedName name="ARB_07">'[8]D.16.1.5 Table B 2007'!$A$42:$U$56</definedName>
    <definedName name="ARB_08" localSheetId="1">'[8]D.16.1.6 Table B 2008'!$A$43:$U$58</definedName>
    <definedName name="ARB_08" localSheetId="27">'[5]D.16.1.6 Table B 2008'!$A$43:$U$58</definedName>
    <definedName name="ARB_08" localSheetId="8">'[8]D.16.1.6 Table B 2008'!$A$43:$U$58</definedName>
    <definedName name="ARB_08" localSheetId="28">'[8]D.16.1.6 Table B 2008'!$A$43:$U$58</definedName>
    <definedName name="ARB_08">'[8]D.16.1.6 Table B 2008'!$A$43:$U$58</definedName>
    <definedName name="ARB_09" localSheetId="1">'[8]D.16.1.7 Table B 2009'!$A$43:$U$58</definedName>
    <definedName name="ARB_09" localSheetId="27">'[5]D.16.1.7 Table B 2009'!$A$43:$U$58</definedName>
    <definedName name="ARB_09" localSheetId="8">'[8]D.16.1.7 Table B 2009'!$A$43:$U$58</definedName>
    <definedName name="ARB_09" localSheetId="28">'[8]D.16.1.7 Table B 2009'!$A$43:$U$58</definedName>
    <definedName name="ARB_09">'[8]D.16.1.7 Table B 2009'!$A$43:$U$58</definedName>
    <definedName name="ARB_10" localSheetId="1">'[8]D.16.1.8 Table B 2010'!$A$43:$U$58</definedName>
    <definedName name="ARB_10" localSheetId="27">'[5]D.16.1.8 Table B 2010'!$A$43:$U$58</definedName>
    <definedName name="ARB_10" localSheetId="8">'[8]D.16.1.8 Table B 2010'!$A$43:$U$58</definedName>
    <definedName name="ARB_10" localSheetId="28">'[8]D.16.1.8 Table B 2010'!$A$43:$U$58</definedName>
    <definedName name="ARB_10">'[8]D.16.1.8 Table B 2010'!$A$43:$U$58</definedName>
    <definedName name="ARB_11" localSheetId="1">'[8]D.16.1.9 Table B 2011'!$A$43:$U$58</definedName>
    <definedName name="ARB_11" localSheetId="27">'[5]D.16.1.9 Table B 2011'!$A$43:$U$58</definedName>
    <definedName name="ARB_11" localSheetId="8">'[8]D.16.1.9 Table B 2011'!$A$43:$U$58</definedName>
    <definedName name="ARB_11" localSheetId="28">'[8]D.16.1.9 Table B 2011'!$A$43:$U$58</definedName>
    <definedName name="ARB_11">'[8]D.16.1.9 Table B 2011'!$A$43:$U$58</definedName>
    <definedName name="AREA">#N/A</definedName>
    <definedName name="AS2DocOpenMode" hidden="1">"AS2DocumentEdit"</definedName>
    <definedName name="ASD_LEXTERNAL" localSheetId="27">#REF!</definedName>
    <definedName name="ASD_LEXTERNAL">#REF!</definedName>
    <definedName name="AUG">#N/A</definedName>
    <definedName name="AVG">#N/A</definedName>
    <definedName name="B" localSheetId="27">#REF!</definedName>
    <definedName name="B">#REF!</definedName>
    <definedName name="BadErrMsg" localSheetId="27">#REF!</definedName>
    <definedName name="BadErrMsg">#REF!</definedName>
    <definedName name="BalanceSheet" localSheetId="27">#REF!</definedName>
    <definedName name="BalanceSheet">#REF!</definedName>
    <definedName name="below">OFFSET(!A1,1,0)</definedName>
    <definedName name="Bio_Flora" localSheetId="1">#REF!</definedName>
    <definedName name="Bio_Flora" localSheetId="27">#REF!</definedName>
    <definedName name="Bio_Flora" localSheetId="10">#REF!</definedName>
    <definedName name="Bio_Flora" localSheetId="19">#REF!</definedName>
    <definedName name="Bio_Flora">#REF!</definedName>
    <definedName name="BLANK_ACCOUNT" localSheetId="1">#REF!</definedName>
    <definedName name="BLANK_ACCOUNT" localSheetId="27">#REF!</definedName>
    <definedName name="BLANK_ACCOUNT" localSheetId="10">#REF!</definedName>
    <definedName name="BLANK_ACCOUNT" localSheetId="28">#REF!</definedName>
    <definedName name="BLANK_ACCOUNT">#REF!</definedName>
    <definedName name="C_" localSheetId="27">'[9]RR 8 2'!#REF!</definedName>
    <definedName name="C_" localSheetId="8">'[9]RR 8 2'!#REF!</definedName>
    <definedName name="C_" localSheetId="10">'[9]RR 8 2'!#REF!</definedName>
    <definedName name="C_">'[9]RR 8 2'!#REF!</definedName>
    <definedName name="CALC_C03" localSheetId="1">#REF!</definedName>
    <definedName name="CALC_C03" localSheetId="27">#REF!</definedName>
    <definedName name="CALC_C03" localSheetId="8">#REF!</definedName>
    <definedName name="CALC_C03" localSheetId="10">#REF!</definedName>
    <definedName name="CALC_C03" localSheetId="19">#REF!</definedName>
    <definedName name="CALC_C03" localSheetId="24">#REF!</definedName>
    <definedName name="CALC_C03">#REF!</definedName>
    <definedName name="CALC_C04" localSheetId="1">#REF!</definedName>
    <definedName name="CALC_C04" localSheetId="27">#REF!</definedName>
    <definedName name="CALC_C04" localSheetId="8">#REF!</definedName>
    <definedName name="CALC_C04" localSheetId="10">#REF!</definedName>
    <definedName name="CALC_C04">#REF!</definedName>
    <definedName name="CALC_C09" localSheetId="27">#REF!</definedName>
    <definedName name="CALC_C09">#REF!</definedName>
    <definedName name="CALC_LRG" localSheetId="27">#REF!</definedName>
    <definedName name="CALC_LRG">#REF!</definedName>
    <definedName name="CALC_XLG" localSheetId="27">#REF!</definedName>
    <definedName name="CALC_XLG">#REF!</definedName>
    <definedName name="CASCADE" localSheetId="27">#REF!</definedName>
    <definedName name="CASCADE">#REF!</definedName>
    <definedName name="CC_TST" localSheetId="1">'[8]A.2 PTP'!$P$33</definedName>
    <definedName name="CC_TST" localSheetId="27">'[5]A.2 PTP'!$P$33</definedName>
    <definedName name="CC_TST" localSheetId="8">'[8]A.2 PTP'!$P$33</definedName>
    <definedName name="CC_TST" localSheetId="28">'[8]A.2 PTP'!$P$33</definedName>
    <definedName name="CC_TST">'[8]A.2 PTP'!$P$33</definedName>
    <definedName name="CE" localSheetId="1">'MISO Cover'!$K$205</definedName>
    <definedName name="CE" localSheetId="27">'[5]C. Input'!$F$37</definedName>
    <definedName name="CE" localSheetId="8">'[8]C. Input'!$F$37</definedName>
    <definedName name="CE" localSheetId="28">'[8]C. Input'!$F$37</definedName>
    <definedName name="CE">'[8]C. Input'!$F$37</definedName>
    <definedName name="CE_EAI" localSheetId="1">'[8]C. Input'!$I$37</definedName>
    <definedName name="CE_EAI" localSheetId="27">'[5]C. Input'!$I$37</definedName>
    <definedName name="CE_EAI" localSheetId="8">'[8]C. Input'!$I$37</definedName>
    <definedName name="CE_EAI" localSheetId="28">'[8]C. Input'!$I$37</definedName>
    <definedName name="CE_EAI">'[8]C. Input'!$I$37</definedName>
    <definedName name="CE_EGSI" localSheetId="1">'[8]C. Input'!$L$37</definedName>
    <definedName name="CE_EGSI" localSheetId="27">'[5]C. Input'!$L$37</definedName>
    <definedName name="CE_EGSI" localSheetId="8">'[8]C. Input'!$L$37</definedName>
    <definedName name="CE_EGSI" localSheetId="28">'[8]C. Input'!$L$37</definedName>
    <definedName name="CE_EGSI">'[8]C. Input'!$L$37</definedName>
    <definedName name="CE_ELI" localSheetId="1">'[8]C. Input'!$O$37</definedName>
    <definedName name="CE_ELI" localSheetId="27">'[5]C. Input'!$O$37</definedName>
    <definedName name="CE_ELI" localSheetId="8">'[8]C. Input'!$O$37</definedName>
    <definedName name="CE_ELI" localSheetId="28">'[8]C. Input'!$O$37</definedName>
    <definedName name="CE_ELI">'[8]C. Input'!$O$37</definedName>
    <definedName name="CE_EMI" localSheetId="1">'[8]C. Input'!$R$37</definedName>
    <definedName name="CE_EMI" localSheetId="27">'[5]C. Input'!$R$37</definedName>
    <definedName name="CE_EMI" localSheetId="8">'[8]C. Input'!$R$37</definedName>
    <definedName name="CE_EMI" localSheetId="28">'[8]C. Input'!$R$37</definedName>
    <definedName name="CE_EMI">'[8]C. Input'!$R$37</definedName>
    <definedName name="CE_ENOI" localSheetId="1">'[8]C. Input'!$X$37</definedName>
    <definedName name="CE_ENOI" localSheetId="27">'[5]C. Input'!$X$37</definedName>
    <definedName name="CE_ENOI" localSheetId="8">'[8]C. Input'!$X$37</definedName>
    <definedName name="CE_ENOI" localSheetId="28">'[8]C. Input'!$X$37</definedName>
    <definedName name="CE_ENOI">'[8]C. Input'!$X$37</definedName>
    <definedName name="CELL">#N/A</definedName>
    <definedName name="cell.above">!A1048576</definedName>
    <definedName name="cell.below">!A2</definedName>
    <definedName name="cell.left">!XFD1</definedName>
    <definedName name="cell.right">!B1</definedName>
    <definedName name="CHECK_BAL" localSheetId="27">#REF!</definedName>
    <definedName name="CHECK_BAL">#REF!</definedName>
    <definedName name="CHECK_BLANK" localSheetId="27">#REF!</definedName>
    <definedName name="CHECK_BLANK">#REF!</definedName>
    <definedName name="CHECK_CELLS" localSheetId="27">#REF!</definedName>
    <definedName name="CHECK_CELLS">#REF!</definedName>
    <definedName name="CLASSES">#N/A</definedName>
    <definedName name="CompanyTextLen" localSheetId="27">#REF!</definedName>
    <definedName name="CompanyTextLen">#REF!</definedName>
    <definedName name="CP">#N/A</definedName>
    <definedName name="CP_1">#N/A</definedName>
    <definedName name="CP_PG1B" localSheetId="27">#REF!</definedName>
    <definedName name="CP_PG1B">#REF!</definedName>
    <definedName name="cp_pg2" localSheetId="27">#REF!</definedName>
    <definedName name="cp_pg2">#REF!</definedName>
    <definedName name="cp_pg2b" localSheetId="27">#REF!</definedName>
    <definedName name="cp_pg2b">#REF!</definedName>
    <definedName name="CP_PG3B" localSheetId="27">#REF!</definedName>
    <definedName name="CP_PG3B">#REF!</definedName>
    <definedName name="CPK1X" localSheetId="27">#REF!</definedName>
    <definedName name="CPK1X">#REF!</definedName>
    <definedName name="CPK2X" localSheetId="27">#REF!</definedName>
    <definedName name="CPK2X">#REF!</definedName>
    <definedName name="CPUC_Cashflow_Summary_Table" localSheetId="27">#REF!</definedName>
    <definedName name="CPUC_Cashflow_Summary_Table">#REF!</definedName>
    <definedName name="CR" localSheetId="1">'[8]C. Input'!$F$27</definedName>
    <definedName name="CR" localSheetId="27">'[5]C. Input'!$F$27</definedName>
    <definedName name="CR" localSheetId="8">'[8]C. Input'!$F$27</definedName>
    <definedName name="CR" localSheetId="28">'[8]C. Input'!$F$27</definedName>
    <definedName name="CR">'[8]C. Input'!$F$27</definedName>
    <definedName name="CREDITS" localSheetId="1">#REF!</definedName>
    <definedName name="CREDITS" localSheetId="27">#REF!</definedName>
    <definedName name="CREDITS" localSheetId="8">#REF!</definedName>
    <definedName name="CREDITS" localSheetId="10">#REF!</definedName>
    <definedName name="CREDITS" localSheetId="19">#REF!</definedName>
    <definedName name="CREDITS">#REF!</definedName>
    <definedName name="CSTextLen" localSheetId="1">#REF!</definedName>
    <definedName name="CSTextLen" localSheetId="27">#REF!</definedName>
    <definedName name="CSTextLen" localSheetId="8">#REF!</definedName>
    <definedName name="CSTextLen" localSheetId="10">#REF!</definedName>
    <definedName name="CSTextLen" localSheetId="19">#REF!</definedName>
    <definedName name="CSTextLen">#REF!</definedName>
    <definedName name="CTY_ANNUAL" localSheetId="1">#REF!</definedName>
    <definedName name="CTY_ANNUAL" localSheetId="27">#REF!</definedName>
    <definedName name="CTY_ANNUAL" localSheetId="8">#REF!</definedName>
    <definedName name="CTY_ANNUAL" localSheetId="10">#REF!</definedName>
    <definedName name="CTY_ANNUAL" localSheetId="28">#REF!</definedName>
    <definedName name="CTY_ANNUAL">#REF!</definedName>
    <definedName name="cty_peak_sum" localSheetId="1">#REF!</definedName>
    <definedName name="cty_peak_sum" localSheetId="27">#REF!</definedName>
    <definedName name="cty_peak_sum" localSheetId="10">#REF!</definedName>
    <definedName name="cty_peak_sum" localSheetId="28">#REF!</definedName>
    <definedName name="cty_peak_sum">#REF!</definedName>
    <definedName name="CUST">#N/A</definedName>
    <definedName name="CUST1">#N/A</definedName>
    <definedName name="CUSTOM1" localSheetId="1">#REF!</definedName>
    <definedName name="CUSTOM1" localSheetId="27">#REF!</definedName>
    <definedName name="CUSTOM1" localSheetId="8">#REF!</definedName>
    <definedName name="CUSTOM1" localSheetId="10">#REF!</definedName>
    <definedName name="CUSTOM1" localSheetId="19">#REF!</definedName>
    <definedName name="CUSTOM1" localSheetId="24">#REF!</definedName>
    <definedName name="CUSTOM1">#REF!</definedName>
    <definedName name="CUSTOM2" localSheetId="1">#REF!</definedName>
    <definedName name="CUSTOM2" localSheetId="27">#REF!</definedName>
    <definedName name="CUSTOM2" localSheetId="8">#REF!</definedName>
    <definedName name="CUSTOM2" localSheetId="10">#REF!</definedName>
    <definedName name="CUSTOM2" localSheetId="19">#REF!</definedName>
    <definedName name="CUSTOM2" localSheetId="24">#REF!</definedName>
    <definedName name="CUSTOM2">#REF!</definedName>
    <definedName name="D" localSheetId="1">'[8]C. Input'!$F$33</definedName>
    <definedName name="D" localSheetId="27">'[5]C. Input'!$F$33</definedName>
    <definedName name="D" localSheetId="8">'[8]C. Input'!$F$33</definedName>
    <definedName name="D" localSheetId="28">'[8]C. Input'!$F$33</definedName>
    <definedName name="D">'[8]C. Input'!$F$33</definedName>
    <definedName name="D_EAI" localSheetId="1">'[8]C. Input'!$I$33</definedName>
    <definedName name="D_EAI" localSheetId="27">'[5]C. Input'!$I$33</definedName>
    <definedName name="D_EAI" localSheetId="8">'[8]C. Input'!$I$33</definedName>
    <definedName name="D_EAI" localSheetId="28">'[8]C. Input'!$I$33</definedName>
    <definedName name="D_EAI">'[8]C. Input'!$I$33</definedName>
    <definedName name="D_EGSI" localSheetId="1">'[8]C. Input'!$L$33</definedName>
    <definedName name="D_EGSI" localSheetId="27">'[5]C. Input'!$L$33</definedName>
    <definedName name="D_EGSI" localSheetId="8">'[8]C. Input'!$L$33</definedName>
    <definedName name="D_EGSI" localSheetId="28">'[8]C. Input'!$L$33</definedName>
    <definedName name="D_EGSI">'[8]C. Input'!$L$33</definedName>
    <definedName name="D_EMI" localSheetId="1">'[8]C. Input'!$R$33</definedName>
    <definedName name="D_EMI" localSheetId="27">'[5]C. Input'!$R$33</definedName>
    <definedName name="D_EMI" localSheetId="8">'[8]C. Input'!$R$33</definedName>
    <definedName name="D_EMI" localSheetId="28">'[8]C. Input'!$R$33</definedName>
    <definedName name="D_EMI">'[8]C. Input'!$R$33</definedName>
    <definedName name="D_ENOI" localSheetId="1">'[8]C. Input'!$X$33</definedName>
    <definedName name="D_ENOI" localSheetId="27">'[5]C. Input'!$X$33</definedName>
    <definedName name="D_ENOI" localSheetId="8">'[8]C. Input'!$X$33</definedName>
    <definedName name="D_ENOI" localSheetId="28">'[8]C. Input'!$X$33</definedName>
    <definedName name="D_ENOI">'[8]C. Input'!$X$33</definedName>
    <definedName name="data_year" localSheetId="1">'[6]Appendix A'!$H$6</definedName>
    <definedName name="data_year" localSheetId="27">'[7]Appendix A'!$H$6</definedName>
    <definedName name="data_year">'[6]Appendix A'!$H$6</definedName>
    <definedName name="_xlnm.Database" localSheetId="27">#REF!</definedName>
    <definedName name="_xlnm.Database">#REF!</definedName>
    <definedName name="DATALINE" localSheetId="27">'[1]Header Data'!#REF!</definedName>
    <definedName name="DATALINE">'[2]Header Data'!#REF!</definedName>
    <definedName name="DB_CPK">#N/A</definedName>
    <definedName name="DB_CPK1">[10]FERCFACT!#REF!</definedName>
    <definedName name="DB_CPK2" localSheetId="27">#REF!</definedName>
    <definedName name="DB_CPK2">#REF!</definedName>
    <definedName name="DB_CPK3" localSheetId="27">#REF!</definedName>
    <definedName name="DB_CPK3">#REF!</definedName>
    <definedName name="DB_CUST">#N/A</definedName>
    <definedName name="DB_EGR">#N/A</definedName>
    <definedName name="DB_EGR1">[10]FERCFACT!#REF!</definedName>
    <definedName name="DB_EGR2" localSheetId="27">#REF!</definedName>
    <definedName name="DB_EGR2">#REF!</definedName>
    <definedName name="DB_IMAX">#N/A</definedName>
    <definedName name="DB_NCPK">#N/A</definedName>
    <definedName name="DB_NCPK1" localSheetId="27">#REF!</definedName>
    <definedName name="DB_NCPK1">#REF!</definedName>
    <definedName name="DB_NCPK2" localSheetId="27">#REF!</definedName>
    <definedName name="DB_NCPK2">#REF!</definedName>
    <definedName name="DB_NCPK3" localSheetId="27">#REF!</definedName>
    <definedName name="DB_NCPK3">#REF!</definedName>
    <definedName name="DB_NCPK4" localSheetId="27">#REF!</definedName>
    <definedName name="DB_NCPK4">#REF!</definedName>
    <definedName name="DD." localSheetId="1">[11]Input!$F$33</definedName>
    <definedName name="DD." localSheetId="27">[12]Input!$F$33</definedName>
    <definedName name="DD." localSheetId="8">[11]Input!$F$33</definedName>
    <definedName name="DD." localSheetId="28">[11]Input!$F$33</definedName>
    <definedName name="DD.">[11]Input!$F$33</definedName>
    <definedName name="DEBITS" localSheetId="1">#REF!</definedName>
    <definedName name="DEBITS" localSheetId="27">#REF!</definedName>
    <definedName name="DEBITS" localSheetId="8">#REF!</definedName>
    <definedName name="DEBITS" localSheetId="10">#REF!</definedName>
    <definedName name="DEBITS" localSheetId="19">#REF!</definedName>
    <definedName name="DEBITS">#REF!</definedName>
    <definedName name="DEC">#N/A</definedName>
    <definedName name="DecCP" localSheetId="1">#REF!</definedName>
    <definedName name="DecCP" localSheetId="27">#REF!</definedName>
    <definedName name="DecCP" localSheetId="8">#REF!</definedName>
    <definedName name="DecCP" localSheetId="10">#REF!</definedName>
    <definedName name="DecCP" localSheetId="19">#REF!</definedName>
    <definedName name="DecCP" localSheetId="24">#REF!</definedName>
    <definedName name="DecCP">#REF!</definedName>
    <definedName name="DFTSR" localSheetId="1">'[8]A.2 PTP'!$P$288</definedName>
    <definedName name="DFTSR" localSheetId="27">'[5]A.2 PTP'!$P$288</definedName>
    <definedName name="DFTSR" localSheetId="8">'[8]A.2 PTP'!$P$288</definedName>
    <definedName name="DFTSR" localSheetId="28">'[8]A.2 PTP'!$P$288</definedName>
    <definedName name="DFTSR">'[8]A.2 PTP'!$P$288</definedName>
    <definedName name="DISPLAY">#N/A</definedName>
    <definedName name="DOFTSR" localSheetId="1">'[8]A.2 PTP'!$P$294</definedName>
    <definedName name="DOFTSR" localSheetId="27">'[5]A.2 PTP'!$P$294</definedName>
    <definedName name="DOFTSR" localSheetId="8">'[8]A.2 PTP'!$P$294</definedName>
    <definedName name="DOFTSR" localSheetId="28">'[8]A.2 PTP'!$P$294</definedName>
    <definedName name="DOFTSR">'[8]A.2 PTP'!$P$294</definedName>
    <definedName name="don" localSheetId="1" hidden="1">{"assumptions",#N/A,FALSE,"Scenario 1";"valuation",#N/A,FALSE,"Scenario 1"}</definedName>
    <definedName name="don" localSheetId="27" hidden="1">{"assumptions",#N/A,FALSE,"Scenario 1";"valuation",#N/A,FALSE,"Scenario 1"}</definedName>
    <definedName name="don" hidden="1">{"assumptions",#N/A,FALSE,"Scenario 1";"valuation",#N/A,FALSE,"Scenario 1"}</definedName>
    <definedName name="Don_1" localSheetId="1" hidden="1">{"assumptions",#N/A,FALSE,"Scenario 1";"valuation",#N/A,FALSE,"Scenario 1"}</definedName>
    <definedName name="Don_1" localSheetId="27" hidden="1">{"assumptions",#N/A,FALSE,"Scenario 1";"valuation",#N/A,FALSE,"Scenario 1"}</definedName>
    <definedName name="Don_1" hidden="1">{"assumptions",#N/A,FALSE,"Scenario 1";"valuation",#N/A,FALSE,"Scenario 1"}</definedName>
    <definedName name="Don_10" localSheetId="1" hidden="1">#REF!</definedName>
    <definedName name="Don_10" localSheetId="27" hidden="1">#REF!</definedName>
    <definedName name="Don_10" localSheetId="10" hidden="1">#REF!</definedName>
    <definedName name="Don_10" hidden="1">#REF!</definedName>
    <definedName name="Don_11" hidden="1">255</definedName>
    <definedName name="Don_12" localSheetId="1" hidden="1">#REF!</definedName>
    <definedName name="Don_12" localSheetId="27" hidden="1">#REF!</definedName>
    <definedName name="Don_12" localSheetId="10" hidden="1">#REF!</definedName>
    <definedName name="Don_12" hidden="1">#REF!</definedName>
    <definedName name="Don_13" localSheetId="1" hidden="1">#REF!</definedName>
    <definedName name="Don_13" localSheetId="27" hidden="1">#REF!</definedName>
    <definedName name="Don_13" localSheetId="10" hidden="1">#REF!</definedName>
    <definedName name="Don_13" hidden="1">#REF!</definedName>
    <definedName name="Don_14" localSheetId="1" hidden="1">#REF!</definedName>
    <definedName name="Don_14" localSheetId="27" hidden="1">#REF!</definedName>
    <definedName name="Don_14" localSheetId="10" hidden="1">#REF!</definedName>
    <definedName name="Don_14" hidden="1">#REF!</definedName>
    <definedName name="don_2" localSheetId="1" hidden="1">#REF!</definedName>
    <definedName name="don_2" localSheetId="27" hidden="1">#REF!</definedName>
    <definedName name="don_2" localSheetId="10" hidden="1">#REF!</definedName>
    <definedName name="don_2" hidden="1">#REF!</definedName>
    <definedName name="Don_3" localSheetId="1" hidden="1">#REF!</definedName>
    <definedName name="Don_3" localSheetId="27" hidden="1">#REF!</definedName>
    <definedName name="Don_3" localSheetId="10" hidden="1">#REF!</definedName>
    <definedName name="Don_3" hidden="1">#REF!</definedName>
    <definedName name="Don_4" localSheetId="1" hidden="1">#REF!</definedName>
    <definedName name="Don_4" localSheetId="27" hidden="1">#REF!</definedName>
    <definedName name="Don_4" localSheetId="10" hidden="1">#REF!</definedName>
    <definedName name="Don_4" hidden="1">#REF!</definedName>
    <definedName name="Don_5" localSheetId="1" hidden="1">#REF!</definedName>
    <definedName name="Don_5" localSheetId="27" hidden="1">#REF!</definedName>
    <definedName name="Don_5" localSheetId="10" hidden="1">#REF!</definedName>
    <definedName name="Don_5" hidden="1">#REF!</definedName>
    <definedName name="Don_6" localSheetId="1" hidden="1">#REF!</definedName>
    <definedName name="Don_6" localSheetId="27" hidden="1">#REF!</definedName>
    <definedName name="Don_6" localSheetId="10" hidden="1">#REF!</definedName>
    <definedName name="Don_6" hidden="1">#REF!</definedName>
    <definedName name="Don_7" localSheetId="1" hidden="1">#REF!</definedName>
    <definedName name="Don_7" localSheetId="27" hidden="1">#REF!</definedName>
    <definedName name="Don_7" localSheetId="10" hidden="1">#REF!</definedName>
    <definedName name="Don_7" hidden="1">#REF!</definedName>
    <definedName name="Don_8" localSheetId="1" hidden="1">#REF!</definedName>
    <definedName name="Don_8" localSheetId="27" hidden="1">#REF!</definedName>
    <definedName name="Don_8" localSheetId="10" hidden="1">#REF!</definedName>
    <definedName name="Don_8" hidden="1">#REF!</definedName>
    <definedName name="Don_9" localSheetId="1" hidden="1">#REF!</definedName>
    <definedName name="Don_9" localSheetId="27" hidden="1">#REF!</definedName>
    <definedName name="Don_9" localSheetId="10" hidden="1">#REF!</definedName>
    <definedName name="Don_9" hidden="1">#REF!</definedName>
    <definedName name="DPLT" localSheetId="1">'[8]C. Input'!$F$166</definedName>
    <definedName name="DPLT" localSheetId="27">'[5]C. Input'!$F$166</definedName>
    <definedName name="DPLT" localSheetId="8">'[8]C. Input'!$F$166</definedName>
    <definedName name="DPLT" localSheetId="28">'[8]C. Input'!$F$166</definedName>
    <definedName name="DPLT">'[8]C. Input'!$F$166</definedName>
    <definedName name="DR" localSheetId="1">'[8]C. Input'!$F$23</definedName>
    <definedName name="DR" localSheetId="27">'[5]C. Input'!$F$23</definedName>
    <definedName name="DR" localSheetId="8">'[8]C. Input'!$F$23</definedName>
    <definedName name="DR" localSheetId="28">'[8]C. Input'!$F$23</definedName>
    <definedName name="DR">'[8]C. Input'!$F$23</definedName>
    <definedName name="DR_1">#N/A</definedName>
    <definedName name="ED8_BIOFLORA_Print" localSheetId="1">#REF!</definedName>
    <definedName name="ED8_BIOFLORA_Print" localSheetId="27">#REF!</definedName>
    <definedName name="ED8_BIOFLORA_Print" localSheetId="8">#REF!</definedName>
    <definedName name="ED8_BIOFLORA_Print" localSheetId="10">#REF!</definedName>
    <definedName name="ED8_BIOFLORA_Print" localSheetId="19">#REF!</definedName>
    <definedName name="ED8_BIOFLORA_Print" localSheetId="24">#REF!</definedName>
    <definedName name="ED8_BIOFLORA_Print">#REF!</definedName>
    <definedName name="EEI" localSheetId="1">'[8]C. Input'!$F$205</definedName>
    <definedName name="EEI" localSheetId="27">'[5]C. Input'!$F$205</definedName>
    <definedName name="EEI" localSheetId="8">'[8]C. Input'!$F$205</definedName>
    <definedName name="EEI" localSheetId="28">'[8]C. Input'!$F$205</definedName>
    <definedName name="EEI">'[8]C. Input'!$F$205</definedName>
    <definedName name="EFF_DATE" localSheetId="27">'[1]Header Data'!#REF!</definedName>
    <definedName name="EFF_DATE" localSheetId="8">'[13]Header Data'!#REF!</definedName>
    <definedName name="EFF_DATE" localSheetId="10">'[13]Header Data'!#REF!</definedName>
    <definedName name="EFF_DATE">'[13]Header Data'!#REF!</definedName>
    <definedName name="EGR">#N/A</definedName>
    <definedName name="EGR1X" localSheetId="1">#REF!</definedName>
    <definedName name="EGR1X" localSheetId="27">#REF!</definedName>
    <definedName name="EGR1X" localSheetId="8">#REF!</definedName>
    <definedName name="EGR1X" localSheetId="10">#REF!</definedName>
    <definedName name="EGR1X" localSheetId="19">#REF!</definedName>
    <definedName name="EGR1X" localSheetId="24">#REF!</definedName>
    <definedName name="EGR1X">#REF!</definedName>
    <definedName name="EIGHT">#N/A</definedName>
    <definedName name="ELEVEN">#N/A</definedName>
    <definedName name="END" localSheetId="27">#REF!</definedName>
    <definedName name="END">#REF!</definedName>
    <definedName name="ENERGY" localSheetId="27">#REF!</definedName>
    <definedName name="ENERGY">#REF!</definedName>
    <definedName name="ENERGY_SUP">[10]FERCFACT!#REF!</definedName>
    <definedName name="ENERGY1">#N/A</definedName>
    <definedName name="ENVIRONMENTAL" localSheetId="27">#REF!</definedName>
    <definedName name="ENVIRONMENTAL">#REF!</definedName>
    <definedName name="EPRI" localSheetId="1">'[8]C. Input'!$F$203</definedName>
    <definedName name="EPRI" localSheetId="27">'[5]C. Input'!$F$203</definedName>
    <definedName name="EPRI" localSheetId="8">'[8]C. Input'!$F$203</definedName>
    <definedName name="EPRI" localSheetId="28">'[8]C. Input'!$F$203</definedName>
    <definedName name="EPRI">'[8]C. Input'!$F$203</definedName>
    <definedName name="EST_BY_ACCT" localSheetId="1">#REF!</definedName>
    <definedName name="EST_BY_ACCT" localSheetId="27">#REF!</definedName>
    <definedName name="EST_BY_ACCT" localSheetId="8">#REF!</definedName>
    <definedName name="EST_BY_ACCT" localSheetId="10">#REF!</definedName>
    <definedName name="EST_BY_ACCT" localSheetId="19">#REF!</definedName>
    <definedName name="EST_BY_ACCT" localSheetId="24">#REF!</definedName>
    <definedName name="EST_BY_ACCT">#REF!</definedName>
    <definedName name="F" localSheetId="1">'[8]C. Input'!$F$72</definedName>
    <definedName name="F" localSheetId="27">'[5]C. Input'!$F$72</definedName>
    <definedName name="F" localSheetId="8">'[8]C. Input'!$F$72</definedName>
    <definedName name="F" localSheetId="28">'[8]C. Input'!$F$72</definedName>
    <definedName name="F">'[8]C. Input'!$F$72</definedName>
    <definedName name="FACE" localSheetId="27">#REF!</definedName>
    <definedName name="FACE">#REF!</definedName>
    <definedName name="FACTORS" localSheetId="27">#REF!</definedName>
    <definedName name="FACTORS">#REF!</definedName>
    <definedName name="FACTRS" localSheetId="27">#REF!</definedName>
    <definedName name="FACTRS">#REF!</definedName>
    <definedName name="FF1_INPUT" localSheetId="1">'[6]FERC Form 1 data'!$B$7:$L$89</definedName>
    <definedName name="FF1_INPUT" localSheetId="27">'[7]FERC Form 1 data'!$B$7:$L$89</definedName>
    <definedName name="FF1_INPUT">'[6]FERC Form 1 data'!$B$7:$L$89</definedName>
    <definedName name="FF1_INPUT_columns" localSheetId="1">'[6]FERC Form 1 data'!$B$6:$L$6</definedName>
    <definedName name="FF1_INPUT_columns" localSheetId="27">'[7]FERC Form 1 data'!$B$6:$L$6</definedName>
    <definedName name="FF1_INPUT_columns">'[6]FERC Form 1 data'!$B$6:$L$6</definedName>
    <definedName name="FIVE">#N/A</definedName>
    <definedName name="FOUR">#N/A</definedName>
    <definedName name="FREV" localSheetId="1">'[8]C. Input'!$F$295</definedName>
    <definedName name="FREV" localSheetId="27">'[5]C. Input'!$F$295</definedName>
    <definedName name="FREV" localSheetId="8">'[8]C. Input'!$F$295</definedName>
    <definedName name="FREV" localSheetId="28">'[8]C. Input'!$F$295</definedName>
    <definedName name="FREV">'[8]C. Input'!$F$295</definedName>
    <definedName name="GDR" localSheetId="1">'[8]C. Input'!$F$237</definedName>
    <definedName name="GDR" localSheetId="27">'[5]C. Input'!$F$237</definedName>
    <definedName name="GDR" localSheetId="8">'[8]C. Input'!$F$237</definedName>
    <definedName name="GDR" localSheetId="28">'[8]C. Input'!$F$237</definedName>
    <definedName name="GDR">'[8]C. Input'!$F$237</definedName>
    <definedName name="GDX" localSheetId="1">'[8]C. Input'!$F$309</definedName>
    <definedName name="GDX" localSheetId="27">'[5]C. Input'!$F$309</definedName>
    <definedName name="GDX" localSheetId="8">'[8]C. Input'!$F$309</definedName>
    <definedName name="GDX" localSheetId="28">'[8]C. Input'!$F$309</definedName>
    <definedName name="GDX">'[8]C. Input'!$F$309</definedName>
    <definedName name="GDX_TD">'[5]C. Input'!#REF!</definedName>
    <definedName name="gIsBlank" localSheetId="1" hidden="1">ISBLANK(gIsRef)</definedName>
    <definedName name="gIsBlank" localSheetId="27" hidden="1">ISBLANK(gIsRef)</definedName>
    <definedName name="gIsBlank" localSheetId="8" hidden="1">ISBLANK(gIsRef)</definedName>
    <definedName name="gIsBlank" localSheetId="15" hidden="1">ISBLANK(gIsRef)</definedName>
    <definedName name="gIsBlank" localSheetId="28" hidden="1">ISBLANK(gIsRef)</definedName>
    <definedName name="gIsBlank" hidden="1">ISBLANK(gIsRef)</definedName>
    <definedName name="gIsError" localSheetId="1" hidden="1">ISERROR(gIsRef)</definedName>
    <definedName name="gIsError" localSheetId="27" hidden="1">ISERROR(gIsRef)</definedName>
    <definedName name="gIsError" localSheetId="8" hidden="1">ISERROR(gIsRef)</definedName>
    <definedName name="gIsError" localSheetId="15" hidden="1">ISERROR(gIsRef)</definedName>
    <definedName name="gIsError" localSheetId="28" hidden="1">ISERROR(gIsRef)</definedName>
    <definedName name="gIsError" hidden="1">ISERROR(gIsRef)</definedName>
    <definedName name="gIsInPrintArea" localSheetId="1" hidden="1">NOT(ISERROR(gIsRef !Print_Area))</definedName>
    <definedName name="gIsInPrintArea" localSheetId="27" hidden="1">NOT(ISERROR(gIsRef !Print_Area))</definedName>
    <definedName name="gIsInPrintArea" localSheetId="8" hidden="1">NOT(ISERROR(gIsRef !Print_Area))</definedName>
    <definedName name="gIsInPrintArea" localSheetId="10" hidden="1">NOT(ISERROR([0]!gIsRef !Print_Area))</definedName>
    <definedName name="gIsInPrintArea" localSheetId="15" hidden="1">NOT(ISERROR(gIsRef !Print_Area))</definedName>
    <definedName name="gIsInPrintArea" localSheetId="28" hidden="1">NOT(ISERROR(gIsRef !Print_Area))</definedName>
    <definedName name="gIsInPrintArea" hidden="1">NOT(ISERROR(gIsRef !Print_Area))</definedName>
    <definedName name="gIsInPrintTitles" localSheetId="1" hidden="1">NOT(ISERROR(gIsRef !Print_Titles))</definedName>
    <definedName name="gIsInPrintTitles" localSheetId="27" hidden="1">NOT(ISERROR(gIsRef !Print_Titles))</definedName>
    <definedName name="gIsInPrintTitles" localSheetId="8" hidden="1">NOT(ISERROR(gIsRef !Print_Titles))</definedName>
    <definedName name="gIsInPrintTitles" localSheetId="10" hidden="1">NOT(ISERROR([0]!gIsRef !Print_Titles))</definedName>
    <definedName name="gIsInPrintTitles" localSheetId="15" hidden="1">NOT(ISERROR(gIsRef !Print_Titles))</definedName>
    <definedName name="gIsInPrintTitles" localSheetId="28" hidden="1">NOT(ISERROR(gIsRef !Print_Titles))</definedName>
    <definedName name="gIsInPrintTitles" hidden="1">NOT(ISERROR(gIsRef !Print_Titles))</definedName>
    <definedName name="gIsNumber" localSheetId="1" hidden="1">ISNUMBER(gIsRef)</definedName>
    <definedName name="gIsNumber" localSheetId="27" hidden="1">ISNUMBER(gIsRef)</definedName>
    <definedName name="gIsNumber" localSheetId="8" hidden="1">ISNUMBER(gIsRef)</definedName>
    <definedName name="gIsNumber" localSheetId="15" hidden="1">ISNUMBER(gIsRef)</definedName>
    <definedName name="gIsNumber" localSheetId="28" hidden="1">ISNUMBER(gIsRef)</definedName>
    <definedName name="gIsNumber" hidden="1">ISNUMBER(gIsRef)</definedName>
    <definedName name="gIsPreviousSheet" localSheetId="1" hidden="1">PrevShtCellValue(gIsRef)&lt;&gt;gIsRef</definedName>
    <definedName name="gIsPreviousSheet" localSheetId="27" hidden="1">PrevShtCellValue(gIsRef)&lt;&gt;gIsRef</definedName>
    <definedName name="gIsPreviousSheet" localSheetId="8" hidden="1">PrevShtCellValue(gIsRef)&lt;&gt;gIsRef</definedName>
    <definedName name="gIsPreviousSheet" localSheetId="10" hidden="1">PrevShtCellValue([0]!gIsRef)&lt;&gt;[0]!gIsRef</definedName>
    <definedName name="gIsPreviousSheet" localSheetId="15" hidden="1">PrevShtCellValue(gIsRef)&lt;&gt;gIsRef</definedName>
    <definedName name="gIsPreviousSheet" localSheetId="28" hidden="1">PrevShtCellValue(gIsRef)&lt;&gt;gIsRef</definedName>
    <definedName name="gIsPreviousSheet" hidden="1">PrevShtCellValue(gIsRef)&lt;&gt;gIsRef</definedName>
    <definedName name="gIsRef" hidden="1">INDIRECT("rc",FALSE)</definedName>
    <definedName name="gIsText" localSheetId="1" hidden="1">ISTEXT(gIsRef)</definedName>
    <definedName name="gIsText" localSheetId="27" hidden="1">ISTEXT(gIsRef)</definedName>
    <definedName name="gIsText" localSheetId="8" hidden="1">ISTEXT(gIsRef)</definedName>
    <definedName name="gIsText" localSheetId="15" hidden="1">ISTEXT(gIsRef)</definedName>
    <definedName name="gIsText" localSheetId="28" hidden="1">ISTEXT(gIsRef)</definedName>
    <definedName name="gIsText" hidden="1">ISTEXT(gIsRef)</definedName>
    <definedName name="GJC_03" localSheetId="27">#REF!</definedName>
    <definedName name="GJC_03">#REF!</definedName>
    <definedName name="GJC_04" localSheetId="27">#REF!</definedName>
    <definedName name="GJC_04">#REF!</definedName>
    <definedName name="GJC_09" localSheetId="27">#REF!</definedName>
    <definedName name="GJC_09">#REF!</definedName>
    <definedName name="GP">'MISO Cover'!$G$72</definedName>
    <definedName name="GPLT" localSheetId="1">'[8]C. Input'!$F$168</definedName>
    <definedName name="GPLT" localSheetId="27">'[5]C. Input'!$F$168</definedName>
    <definedName name="GPLT" localSheetId="8">'[8]C. Input'!$F$168</definedName>
    <definedName name="GPLT" localSheetId="28">'[8]C. Input'!$F$168</definedName>
    <definedName name="GPLT">'[8]C. Input'!$F$168</definedName>
    <definedName name="HCTextLen" localSheetId="1">#REF!</definedName>
    <definedName name="HCTextLen" localSheetId="27">#REF!</definedName>
    <definedName name="HCTextLen" localSheetId="8">#REF!</definedName>
    <definedName name="HCTextLen" localSheetId="10">#REF!</definedName>
    <definedName name="HCTextLen" localSheetId="19">#REF!</definedName>
    <definedName name="HCTextLen">#REF!</definedName>
    <definedName name="head" localSheetId="1">#REF!</definedName>
    <definedName name="head" localSheetId="27">#REF!</definedName>
    <definedName name="head" localSheetId="8">#REF!</definedName>
    <definedName name="head" localSheetId="10">#REF!</definedName>
    <definedName name="head" localSheetId="19">#REF!</definedName>
    <definedName name="head">#REF!</definedName>
    <definedName name="HONTSR" localSheetId="1">'[8]A.2 PTP'!$P$333</definedName>
    <definedName name="HONTSR" localSheetId="27">'[5]A.2 PTP'!$P$333</definedName>
    <definedName name="HONTSR" localSheetId="8">'[8]A.2 PTP'!$P$333</definedName>
    <definedName name="HONTSR" localSheetId="28">'[8]A.2 PTP'!$P$333</definedName>
    <definedName name="HONTSR">'[8]A.2 PTP'!$P$333</definedName>
    <definedName name="HPNTSR" localSheetId="1">'[8]A.2 PTP'!$P$332</definedName>
    <definedName name="HPNTSR" localSheetId="27">'[5]A.2 PTP'!$P$332</definedName>
    <definedName name="HPNTSR" localSheetId="8">'[8]A.2 PTP'!$P$332</definedName>
    <definedName name="HPNTSR" localSheetId="28">'[8]A.2 PTP'!$P$332</definedName>
    <definedName name="HPNTSR">'[8]A.2 PTP'!$P$332</definedName>
    <definedName name="IMAX1" localSheetId="27">#REF!</definedName>
    <definedName name="IMAX1">#REF!</definedName>
    <definedName name="IMAX2" localSheetId="27">#REF!</definedName>
    <definedName name="IMAX2">#REF!</definedName>
    <definedName name="IMAX3" localSheetId="27">#REF!</definedName>
    <definedName name="IMAX3">#REF!</definedName>
    <definedName name="IncomeStatement" localSheetId="27">#REF!</definedName>
    <definedName name="IncomeStatement">#REF!</definedName>
    <definedName name="IND.MAX">#N/A</definedName>
    <definedName name="IND.MAX1">#N/A</definedName>
    <definedName name="INPUT">#N/A</definedName>
    <definedName name="INPUT_AREA" localSheetId="27">#REF!</definedName>
    <definedName name="INPUT_AREA">#REF!</definedName>
    <definedName name="INPUT_DATA" localSheetId="27">#REF!</definedName>
    <definedName name="INPUT_DATA">#REF!</definedName>
    <definedName name="Input_Range" localSheetId="1">'[14]Nonlevelized-IOU'!$K$7,'[14]Nonlevelized-IOU'!$D$10,'[14]Nonlevelized-IOU'!$I$26,'[14]Nonlevelized-IOU'!$D$89:$D$92,'[14]Nonlevelized-IOU'!$D$97:$D$100,'[14]Nonlevelized-IOU'!$D$113:$D$116,'[14]Nonlevelized-IOU'!$D$124:$D$125,'[14]Nonlevelized-IOU'!$D$162,'[14]Nonlevelized-IOU'!$D$164:$D$165,'[14]Nonlevelized-IOU'!$D$167,'[14]Nonlevelized-IOU'!$D$174:$D$175,'[14]Nonlevelized-IOU'!$D$181,'[14]Nonlevelized-IOU'!$D$184,'[14]Nonlevelized-IOU'!$I$233:$I$234,'[14]Nonlevelized-IOU'!$D$250:$D$253,'[14]Nonlevelized-IOU'!$D$257:$D$259,'[14]Nonlevelized-IOU'!$I$263,'[14]Nonlevelized-IOU'!$I$265,'[14]Nonlevelized-IOU'!$I$268,'[14]Nonlevelized-IOU'!$D$274:$D$275,'[14]Nonlevelized-IOU'!$I$289,'[14]Nonlevelized-IOU'!$D$325:$D$327</definedName>
    <definedName name="Input_Range" localSheetId="27">'[15]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_Range" localSheetId="8">'[14]Nonlevelized-IOU'!$K$7,'[14]Nonlevelized-IOU'!$D$10,'[14]Nonlevelized-IOU'!$I$26,'[14]Nonlevelized-IOU'!$D$89:$D$92,'[14]Nonlevelized-IOU'!$D$97:$D$100,'[14]Nonlevelized-IOU'!$D$113:$D$116,'[14]Nonlevelized-IOU'!$D$124:$D$125,'[14]Nonlevelized-IOU'!$D$162,'[14]Nonlevelized-IOU'!$D$164:$D$165,'[14]Nonlevelized-IOU'!$D$167,'[14]Nonlevelized-IOU'!$D$174:$D$175,'[14]Nonlevelized-IOU'!$D$181,'[14]Nonlevelized-IOU'!$D$184,'[14]Nonlevelized-IOU'!$I$233:$I$234,'[14]Nonlevelized-IOU'!$D$250:$D$253,'[14]Nonlevelized-IOU'!$D$257:$D$259,'[14]Nonlevelized-IOU'!$I$263,'[14]Nonlevelized-IOU'!$I$265,'[14]Nonlevelized-IOU'!$I$268,'[14]Nonlevelized-IOU'!$D$274:$D$275,'[14]Nonlevelized-IOU'!$I$289,'[14]Nonlevelized-IOU'!$D$325:$D$327</definedName>
    <definedName name="Input_Range" localSheetId="28">'[14]Nonlevelized-IOU'!$K$7,'[14]Nonlevelized-IOU'!$D$10,'[14]Nonlevelized-IOU'!$I$26,'[14]Nonlevelized-IOU'!$D$89:$D$92,'[14]Nonlevelized-IOU'!$D$97:$D$100,'[14]Nonlevelized-IOU'!$D$113:$D$116,'[14]Nonlevelized-IOU'!$D$124:$D$125,'[14]Nonlevelized-IOU'!$D$162,'[14]Nonlevelized-IOU'!$D$164:$D$165,'[14]Nonlevelized-IOU'!$D$167,'[14]Nonlevelized-IOU'!$D$174:$D$175,'[14]Nonlevelized-IOU'!$D$181,'[14]Nonlevelized-IOU'!$D$184,'[14]Nonlevelized-IOU'!$I$233:$I$234,'[14]Nonlevelized-IOU'!$D$250:$D$253,'[14]Nonlevelized-IOU'!$D$257:$D$259,'[14]Nonlevelized-IOU'!$I$263,'[14]Nonlevelized-IOU'!$I$265,'[14]Nonlevelized-IOU'!$I$268,'[14]Nonlevelized-IOU'!$D$274:$D$275,'[14]Nonlevelized-IOU'!$I$289,'[14]Nonlevelized-IOU'!$D$325:$D$327</definedName>
    <definedName name="Input_Range">'[14]Nonlevelized-IOU'!$K$7,'[14]Nonlevelized-IOU'!$D$10,'[14]Nonlevelized-IOU'!$I$26,'[14]Nonlevelized-IOU'!$D$89:$D$92,'[14]Nonlevelized-IOU'!$D$97:$D$100,'[14]Nonlevelized-IOU'!$D$113:$D$116,'[14]Nonlevelized-IOU'!$D$124:$D$125,'[14]Nonlevelized-IOU'!$D$162,'[14]Nonlevelized-IOU'!$D$164:$D$165,'[14]Nonlevelized-IOU'!$D$167,'[14]Nonlevelized-IOU'!$D$174:$D$175,'[14]Nonlevelized-IOU'!$D$181,'[14]Nonlevelized-IOU'!$D$184,'[14]Nonlevelized-IOU'!$I$233:$I$234,'[14]Nonlevelized-IOU'!$D$250:$D$253,'[14]Nonlevelized-IOU'!$D$257:$D$259,'[14]Nonlevelized-IOU'!$I$263,'[14]Nonlevelized-IOU'!$I$265,'[14]Nonlevelized-IOU'!$I$268,'[14]Nonlevelized-IOU'!$D$274:$D$275,'[14]Nonlevelized-IOU'!$I$289,'[14]Nonlevelized-IOU'!$D$325:$D$327</definedName>
    <definedName name="Inputs_EndYrBal" localSheetId="1">[6]Inputs!$E$16:$E$73</definedName>
    <definedName name="Inputs_EndYrBal" localSheetId="27">[7]Inputs!$E$16:$E$73</definedName>
    <definedName name="Inputs_EndYrBal">[6]Inputs!$E$16:$E$73</definedName>
    <definedName name="Inputs_EndYrBal_prior" localSheetId="1">[6]Inputs!$D$16:$D$73</definedName>
    <definedName name="Inputs_EndYrBal_prior" localSheetId="27">[7]Inputs!$D$16:$D$73</definedName>
    <definedName name="Inputs_EndYrBal_prior">[6]Inputs!$D$16:$D$73</definedName>
    <definedName name="Inputs_FF1_Map" localSheetId="1">[6]Inputs!$F$16:$F$73</definedName>
    <definedName name="Inputs_FF1_Map" localSheetId="27">[7]Inputs!$F$16:$F$73</definedName>
    <definedName name="Inputs_FF1_Map">[6]Inputs!$F$16:$F$73</definedName>
    <definedName name="IPP" localSheetId="1">'[8]C. Input'!#REF!</definedName>
    <definedName name="IPP" localSheetId="27">'[5]C. Input'!#REF!</definedName>
    <definedName name="IPP" localSheetId="8">'[8]C. Input'!#REF!</definedName>
    <definedName name="IPP" localSheetId="10">'[8]C. Input'!#REF!</definedName>
    <definedName name="IPP" localSheetId="15">'[8]C. Input'!#REF!</definedName>
    <definedName name="IPP" localSheetId="28">'[8]C. Input'!#REF!</definedName>
    <definedName name="IPP">'[8]C. Input'!#REF!</definedName>
    <definedName name="IPPINT" localSheetId="1">'[8]C. Input'!#REF!</definedName>
    <definedName name="IPPINT" localSheetId="27">'[5]C. Input'!#REF!</definedName>
    <definedName name="IPPINT" localSheetId="8">'[8]C. Input'!#REF!</definedName>
    <definedName name="IPPINT" localSheetId="10">'[8]C. Input'!#REF!</definedName>
    <definedName name="IPPINT" localSheetId="15">'[8]C. Input'!#REF!</definedName>
    <definedName name="IPPINT" localSheetId="28">'[8]C. Input'!#REF!</definedName>
    <definedName name="IPPINT">'[8]C. Input'!#REF!</definedName>
    <definedName name="IPPIRB" localSheetId="1">'[8]C. Input'!#REF!</definedName>
    <definedName name="IPPIRB" localSheetId="27">'[5]C. Input'!#REF!</definedName>
    <definedName name="IPPIRB" localSheetId="8">'[8]C. Input'!#REF!</definedName>
    <definedName name="IPPIRB" localSheetId="10">'[8]C. Input'!#REF!</definedName>
    <definedName name="IPPIRB" localSheetId="15">'[8]C. Input'!#REF!</definedName>
    <definedName name="IPPIRB" localSheetId="28">'[8]C. Input'!#REF!</definedName>
    <definedName name="IPPIRB">'[8]C. Input'!#REF!</definedName>
    <definedName name="IPPRB" localSheetId="1">'[8]C. Input'!#REF!</definedName>
    <definedName name="IPPRB" localSheetId="8">'[8]C. Input'!#REF!</definedName>
    <definedName name="IPPRB" localSheetId="10">'[8]C. Input'!#REF!</definedName>
    <definedName name="IPPRB">'[5]C. Input'!#REF!</definedName>
    <definedName name="ITC" localSheetId="1">'[8]C. Input'!$F$146</definedName>
    <definedName name="ITC" localSheetId="27">'[5]C. Input'!$F$146</definedName>
    <definedName name="ITC" localSheetId="8">'[8]C. Input'!$F$146</definedName>
    <definedName name="ITC" localSheetId="28">'[8]C. Input'!$F$146</definedName>
    <definedName name="ITC">'[8]C. Input'!$F$146</definedName>
    <definedName name="ITCWO" localSheetId="1">'[8]C. Input'!$F$325</definedName>
    <definedName name="ITCWO" localSheetId="27">'[5]C. Input'!$F$325</definedName>
    <definedName name="ITCWO" localSheetId="8">'[8]C. Input'!$F$325</definedName>
    <definedName name="ITCWO" localSheetId="28">'[8]C. Input'!$F$325</definedName>
    <definedName name="ITCWO">'[8]C. Input'!$F$325</definedName>
    <definedName name="JanCP" localSheetId="27">#REF!</definedName>
    <definedName name="JanCP">#REF!</definedName>
    <definedName name="jor" localSheetId="27">#REF!</definedName>
    <definedName name="jor">#REF!</definedName>
    <definedName name="JOUR_ENTRY" localSheetId="27">#REF!</definedName>
    <definedName name="JOUR_ENTRY">#REF!</definedName>
    <definedName name="JUL">#N/A</definedName>
    <definedName name="JUN">#N/A</definedName>
    <definedName name="Keep" localSheetId="1" hidden="1">{"PRINT",#N/A,TRUE,"APPA";"PRINT",#N/A,TRUE,"APS";"PRINT",#N/A,TRUE,"BHPL";"PRINT",#N/A,TRUE,"BHPL2";"PRINT",#N/A,TRUE,"CDWR";"PRINT",#N/A,TRUE,"EWEB";"PRINT",#N/A,TRUE,"LADWP";"PRINT",#N/A,TRUE,"NEVBASE"}</definedName>
    <definedName name="Keep" localSheetId="27"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7"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FTSR" localSheetId="1">'[8]A.2 PTP'!$P$230</definedName>
    <definedName name="LFTSR" localSheetId="27">'[5]A.2 PTP'!$P$230</definedName>
    <definedName name="LFTSR" localSheetId="8">'[8]A.2 PTP'!$P$230</definedName>
    <definedName name="LFTSR" localSheetId="28">'[8]A.2 PTP'!$P$230</definedName>
    <definedName name="LFTSR">'[8]A.2 PTP'!$P$230</definedName>
    <definedName name="LOCATE3">#N/A</definedName>
    <definedName name="LOCTABLE" localSheetId="1">#REF!</definedName>
    <definedName name="LOCTABLE" localSheetId="27">#REF!</definedName>
    <definedName name="LOCTABLE" localSheetId="8">#REF!</definedName>
    <definedName name="LOCTABLE" localSheetId="10">#REF!</definedName>
    <definedName name="LOCTABLE" localSheetId="19">#REF!</definedName>
    <definedName name="LOCTABLE">#REF!</definedName>
    <definedName name="LOCTextLen" localSheetId="27">#REF!</definedName>
    <definedName name="LOCTextLen">#REF!</definedName>
    <definedName name="losses" localSheetId="27">#REF!</definedName>
    <definedName name="losses">#REF!</definedName>
    <definedName name="LRG_GE" localSheetId="27">#REF!</definedName>
    <definedName name="LRG_GE">#REF!</definedName>
    <definedName name="LRG_GJ" localSheetId="27">#REF!</definedName>
    <definedName name="LRG_GJ">#REF!</definedName>
    <definedName name="LYN" localSheetId="27">#REF!</definedName>
    <definedName name="LYN">#REF!</definedName>
    <definedName name="M">[10]FERCFACT!#REF!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 localSheetId="1">'[8]A.2 PTP'!$P$276</definedName>
    <definedName name="MFTSR" localSheetId="27">'[5]A.2 PTP'!$P$276</definedName>
    <definedName name="MFTSR" localSheetId="8">'[8]A.2 PTP'!$P$276</definedName>
    <definedName name="MFTSR" localSheetId="28">'[8]A.2 PTP'!$P$276</definedName>
    <definedName name="MFTSR">'[8]A.2 PTP'!$P$276</definedName>
    <definedName name="Mo_roll" localSheetId="1">#REF!</definedName>
    <definedName name="Mo_roll" localSheetId="27">#REF!</definedName>
    <definedName name="Mo_roll" localSheetId="10">#REF!</definedName>
    <definedName name="Mo_roll" localSheetId="28">#REF!</definedName>
    <definedName name="Mo_roll">#REF!</definedName>
    <definedName name="MONTHS">#N/A</definedName>
    <definedName name="MOVE">#N/A</definedName>
    <definedName name="MREV" localSheetId="1">'[8]C. Input'!$F$295</definedName>
    <definedName name="MREV" localSheetId="27">'[5]C. Input'!$F$295</definedName>
    <definedName name="MREV" localSheetId="8">'[8]C. Input'!$F$295</definedName>
    <definedName name="MREV" localSheetId="28">'[8]C. Input'!$F$295</definedName>
    <definedName name="MREV">'[8]C. Input'!$F$295</definedName>
    <definedName name="MS" localSheetId="1">'[8]C. Input'!$F$242</definedName>
    <definedName name="MS" localSheetId="27">'[5]C. Input'!$F$242</definedName>
    <definedName name="MS" localSheetId="8">'[8]C. Input'!$F$242</definedName>
    <definedName name="MS" localSheetId="28">'[8]C. Input'!$F$242</definedName>
    <definedName name="MS">'[8]C. Input'!$F$242</definedName>
    <definedName name="MTH">#N/A</definedName>
    <definedName name="N_A" localSheetId="1">'[8]C. Input'!#REF!</definedName>
    <definedName name="N_A" localSheetId="27">'[5]C. Input'!#REF!</definedName>
    <definedName name="N_A" localSheetId="8">'[8]C. Input'!#REF!</definedName>
    <definedName name="N_A" localSheetId="10">'[8]C. Input'!#REF!</definedName>
    <definedName name="N_A" localSheetId="28">'[8]C. Input'!#REF!</definedName>
    <definedName name="N_A">'[8]C. Input'!#REF!</definedName>
    <definedName name="NCP">#N/A</definedName>
    <definedName name="NCP_1">#N/A</definedName>
    <definedName name="NCPK1">#N/A</definedName>
    <definedName name="NCPK1X" localSheetId="1">#REF!</definedName>
    <definedName name="NCPK1X" localSheetId="27">#REF!</definedName>
    <definedName name="NCPK1X" localSheetId="8">#REF!</definedName>
    <definedName name="NCPK1X" localSheetId="10">#REF!</definedName>
    <definedName name="NCPK1X" localSheetId="19">#REF!</definedName>
    <definedName name="NCPK1X" localSheetId="24">#REF!</definedName>
    <definedName name="NCPK1X">#REF!</definedName>
    <definedName name="NCPK2" localSheetId="1">#REF!</definedName>
    <definedName name="NCPK2" localSheetId="27">#REF!</definedName>
    <definedName name="NCPK2" localSheetId="8">#REF!</definedName>
    <definedName name="NCPK2" localSheetId="10">#REF!</definedName>
    <definedName name="NCPK2" localSheetId="19">#REF!</definedName>
    <definedName name="NCPK2" localSheetId="24">#REF!</definedName>
    <definedName name="NCPK2">#REF!</definedName>
    <definedName name="NCPK2X" localSheetId="1">#REF!</definedName>
    <definedName name="NCPK2X" localSheetId="27">#REF!</definedName>
    <definedName name="NCPK2X">#REF!</definedName>
    <definedName name="NCPK3" localSheetId="27">#REF!</definedName>
    <definedName name="NCPK3">#REF!</definedName>
    <definedName name="NET_TO_ZERO" localSheetId="27">#REF!</definedName>
    <definedName name="NET_TO_ZERO">#REF!</definedName>
    <definedName name="NETWK_TRANS_PK_RPT_Print_Area" localSheetId="27">#REF!</definedName>
    <definedName name="NETWK_TRANS_PK_RPT_Print_Area">#REF!</definedName>
    <definedName name="NINE">#N/A</definedName>
    <definedName name="NoErrMsg" localSheetId="27">#REF!</definedName>
    <definedName name="NoErrMsg">#REF!</definedName>
    <definedName name="NormErrMsg" localSheetId="27">#REF!</definedName>
    <definedName name="NormErrMsg">#REF!</definedName>
    <definedName name="NOTE" localSheetId="27">#REF!</definedName>
    <definedName name="NOTE">#REF!</definedName>
    <definedName name="NOTE_A" localSheetId="27">#REF!</definedName>
    <definedName name="NOTE_A">#REF!</definedName>
    <definedName name="NOTE_B" localSheetId="27">#REF!</definedName>
    <definedName name="NOTE_B">#REF!</definedName>
    <definedName name="NOTE2" localSheetId="27">#REF!</definedName>
    <definedName name="NOTE2">#REF!</definedName>
    <definedName name="NOV">#N/A</definedName>
    <definedName name="NP">'MISO Cover'!$G$90</definedName>
    <definedName name="NTDR" localSheetId="1">'[8]C. Input'!$F$234</definedName>
    <definedName name="NTDR" localSheetId="27">'[5]C. Input'!$F$234</definedName>
    <definedName name="NTDR" localSheetId="8">'[8]C. Input'!$F$234</definedName>
    <definedName name="NTDR" localSheetId="28">'[8]C. Input'!$F$234</definedName>
    <definedName name="NTDR">'[8]C. Input'!$F$234</definedName>
    <definedName name="NTPLT" localSheetId="1">'[8]C. Input'!$F$164</definedName>
    <definedName name="NTPLT" localSheetId="27">'[5]C. Input'!$F$164</definedName>
    <definedName name="NTPLT" localSheetId="8">'[8]C. Input'!$F$164</definedName>
    <definedName name="NTPLT" localSheetId="28">'[8]C. Input'!$F$164</definedName>
    <definedName name="NTPLT">'[8]C. Input'!$F$164</definedName>
    <definedName name="NTSRR" localSheetId="1">'[8]B.2 NITS '!$P$220</definedName>
    <definedName name="NTSRR" localSheetId="27">'[5]B.2 NITS '!$P$220</definedName>
    <definedName name="NTSRR" localSheetId="8">'[8]B.2 NITS '!$P$220</definedName>
    <definedName name="NTSRR" localSheetId="28">'[8]B.2 NITS '!$P$220</definedName>
    <definedName name="NTSRR">'[8]B.2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OCT">#N/A</definedName>
    <definedName name="ONE">#N/A</definedName>
    <definedName name="OTR_TST" localSheetId="1">'[8]A.2 PTP'!$P$129</definedName>
    <definedName name="OTR_TST" localSheetId="27">'[5]A.2 PTP'!$P$129</definedName>
    <definedName name="OTR_TST" localSheetId="8">'[8]A.2 PTP'!$P$129</definedName>
    <definedName name="OTR_TST" localSheetId="28">'[8]A.2 PTP'!$P$129</definedName>
    <definedName name="OTR_TST">'[8]A.2 PTP'!$P$129</definedName>
    <definedName name="P_TYPE">#N/A</definedName>
    <definedName name="PAGE.1" localSheetId="1">#REF!</definedName>
    <definedName name="PAGE.1" localSheetId="27">#REF!</definedName>
    <definedName name="PAGE.1" localSheetId="10">#REF!</definedName>
    <definedName name="PAGE.1">#REF!</definedName>
    <definedName name="PAGE.2" localSheetId="1">#REF!</definedName>
    <definedName name="PAGE.2" localSheetId="27">#REF!</definedName>
    <definedName name="PAGE.2" localSheetId="10">#REF!</definedName>
    <definedName name="PAGE.2">#REF!</definedName>
    <definedName name="PAGE.4" localSheetId="1">#REF!</definedName>
    <definedName name="PAGE.4" localSheetId="27">#REF!</definedName>
    <definedName name="PAGE.4" localSheetId="10">#REF!</definedName>
    <definedName name="PAGE.4">#REF!</definedName>
    <definedName name="PAGE.5" localSheetId="27">#REF!</definedName>
    <definedName name="PAGE.5">#REF!</definedName>
    <definedName name="PAGE.6" localSheetId="27">#REF!</definedName>
    <definedName name="PAGE.6">#REF!</definedName>
    <definedName name="PAGE.7" localSheetId="27">#REF!</definedName>
    <definedName name="PAGE.7">#REF!</definedName>
    <definedName name="PAGE_2A" localSheetId="27">#REF!</definedName>
    <definedName name="PAGE_2A">#REF!</definedName>
    <definedName name="PAGE_3B" localSheetId="27">#REF!</definedName>
    <definedName name="PAGE_3B">#REF!</definedName>
    <definedName name="PAGE1">[10]FERCFACT!#REF!</definedName>
    <definedName name="page10" localSheetId="27">'[16]W&amp;S by group'!#REF!</definedName>
    <definedName name="page10">'[17]W&amp;S by group'!#REF!</definedName>
    <definedName name="page11" localSheetId="27">'[16]W&amp;S by group'!#REF!</definedName>
    <definedName name="page11">'[17]W&amp;S by group'!#REF!</definedName>
    <definedName name="page12" localSheetId="27">'[16]W&amp;S by group'!#REF!</definedName>
    <definedName name="page12">'[17]W&amp;S by group'!#REF!</definedName>
    <definedName name="page13" localSheetId="27">'[16]W&amp;S by group'!#REF!</definedName>
    <definedName name="page13">'[17]W&amp;S by group'!#REF!</definedName>
    <definedName name="page14" localSheetId="27">'[16]W&amp;S by group'!#REF!</definedName>
    <definedName name="page14">'[17]W&amp;S by group'!#REF!</definedName>
    <definedName name="page15" localSheetId="27">'[16]W&amp;S by group'!#REF!</definedName>
    <definedName name="page15">'[17]W&amp;S by group'!#REF!</definedName>
    <definedName name="page16" localSheetId="27">'[16]W&amp;S by group'!#REF!</definedName>
    <definedName name="page16">'[17]W&amp;S by group'!#REF!</definedName>
    <definedName name="PAGE1A" localSheetId="27">#REF!</definedName>
    <definedName name="PAGE1A">#REF!</definedName>
    <definedName name="PAGE2" localSheetId="27">#REF!</definedName>
    <definedName name="PAGE2">#REF!</definedName>
    <definedName name="PAGE3">[10]FERCFACT!#REF!</definedName>
    <definedName name="PAGE3A" localSheetId="27">#REF!</definedName>
    <definedName name="PAGE3A">#REF!</definedName>
    <definedName name="PAGE4" localSheetId="27">#REF!</definedName>
    <definedName name="PAGE4">#REF!</definedName>
    <definedName name="PAGE4A" localSheetId="27">#REF!</definedName>
    <definedName name="PAGE4A">#REF!</definedName>
    <definedName name="PAGE5" localSheetId="27">#REF!</definedName>
    <definedName name="PAGE5">#REF!</definedName>
    <definedName name="PAGE6" localSheetId="27">#REF!</definedName>
    <definedName name="PAGE6">#REF!</definedName>
    <definedName name="PAGE7" localSheetId="27">#REF!</definedName>
    <definedName name="PAGE7">#REF!</definedName>
    <definedName name="PAGE8" localSheetId="27">#REF!</definedName>
    <definedName name="PAGE8">#REF!</definedName>
    <definedName name="PAGE9" localSheetId="27">#REF!</definedName>
    <definedName name="PAGE9">#REF!</definedName>
    <definedName name="PageA" localSheetId="27">#REF!</definedName>
    <definedName name="PageA">#REF!</definedName>
    <definedName name="PageB" localSheetId="27">#REF!</definedName>
    <definedName name="PageB">#REF!</definedName>
    <definedName name="PageC" localSheetId="27">#REF!</definedName>
    <definedName name="PageC">#REF!</definedName>
    <definedName name="PEAK">#N/A</definedName>
    <definedName name="PF" localSheetId="1">'[8]C. Input'!$F$35</definedName>
    <definedName name="PF" localSheetId="27">'[5]C. Input'!$F$35</definedName>
    <definedName name="PF" localSheetId="8">'[8]C. Input'!$F$35</definedName>
    <definedName name="PF" localSheetId="28">'[8]C. Input'!$F$35</definedName>
    <definedName name="PF">'[8]C. Input'!$F$35</definedName>
    <definedName name="PF_EAI" localSheetId="1">'[8]C. Input'!$I$35</definedName>
    <definedName name="PF_EAI" localSheetId="27">'[5]C. Input'!$I$35</definedName>
    <definedName name="PF_EAI" localSheetId="8">'[8]C. Input'!$I$35</definedName>
    <definedName name="PF_EAI" localSheetId="28">'[8]C. Input'!$I$35</definedName>
    <definedName name="PF_EAI">'[8]C. Input'!$I$35</definedName>
    <definedName name="PF_EGSI" localSheetId="1">'[8]C. Input'!$L$35</definedName>
    <definedName name="PF_EGSI" localSheetId="27">'[5]C. Input'!$L$35</definedName>
    <definedName name="PF_EGSI" localSheetId="8">'[8]C. Input'!$L$35</definedName>
    <definedName name="PF_EGSI" localSheetId="28">'[8]C. Input'!$L$35</definedName>
    <definedName name="PF_EGSI">'[8]C. Input'!$L$35</definedName>
    <definedName name="PF_ELI" localSheetId="1">'[8]C. Input'!$O$35</definedName>
    <definedName name="PF_ELI" localSheetId="27">'[5]C. Input'!$O$35</definedName>
    <definedName name="PF_ELI" localSheetId="8">'[8]C. Input'!$O$35</definedName>
    <definedName name="PF_ELI" localSheetId="28">'[8]C. Input'!$O$35</definedName>
    <definedName name="PF_ELI">'[8]C. Input'!$O$35</definedName>
    <definedName name="PF_EMI" localSheetId="1">'[8]C. Input'!$R$35</definedName>
    <definedName name="PF_EMI" localSheetId="27">'[5]C. Input'!$R$35</definedName>
    <definedName name="PF_EMI" localSheetId="8">'[8]C. Input'!$R$35</definedName>
    <definedName name="PF_EMI" localSheetId="28">'[8]C. Input'!$R$35</definedName>
    <definedName name="PF_EMI">'[8]C. Input'!$R$35</definedName>
    <definedName name="PF_ENOI" localSheetId="1">'[8]C. Input'!$X$35</definedName>
    <definedName name="PF_ENOI" localSheetId="27">'[5]C. Input'!$X$35</definedName>
    <definedName name="PF_ENOI" localSheetId="8">'[8]C. Input'!$X$35</definedName>
    <definedName name="PF_ENOI" localSheetId="28">'[8]C. Input'!$X$35</definedName>
    <definedName name="PF_ENOI">'[8]C. Input'!$X$35</definedName>
    <definedName name="PK_1">#N/A</definedName>
    <definedName name="PPLT" localSheetId="1">'[8]C. Input'!$F$152</definedName>
    <definedName name="PPLT" localSheetId="27">'[5]C. Input'!$F$152</definedName>
    <definedName name="PPLT" localSheetId="8">'[8]C. Input'!$F$152</definedName>
    <definedName name="PPLT" localSheetId="28">'[8]C. Input'!$F$152</definedName>
    <definedName name="PPLT">'[8]C. Input'!$F$152</definedName>
    <definedName name="PPT" localSheetId="1">'[8]C. Input'!$F$244</definedName>
    <definedName name="PPT" localSheetId="27">'[5]C. Input'!$F$244</definedName>
    <definedName name="PPT" localSheetId="8">'[8]C. Input'!$F$244</definedName>
    <definedName name="PPT" localSheetId="28">'[8]C. Input'!$F$244</definedName>
    <definedName name="PPT">'[8]C. Input'!$F$244</definedName>
    <definedName name="PR" localSheetId="1">'[8]C. Input'!$F$25</definedName>
    <definedName name="PR" localSheetId="27">'[5]C. Input'!$F$25</definedName>
    <definedName name="PR" localSheetId="8">'[8]C. Input'!$F$25</definedName>
    <definedName name="PR" localSheetId="28">'[8]C. Input'!$F$25</definedName>
    <definedName name="PR">'[8]C. Input'!$F$25</definedName>
    <definedName name="_xlnm.Print_Area" localSheetId="3">'App A Support'!$A$1:$E$11</definedName>
    <definedName name="_xlnm.Print_Area" localSheetId="2">'Appendix A'!$A:$H</definedName>
    <definedName name="_xlnm.Print_Area" localSheetId="0">'Explanatory Stmnts'!$A$1:$B$37</definedName>
    <definedName name="_xlnm.Print_Area" localSheetId="1">'MISO Cover'!$A$1:$K$238</definedName>
    <definedName name="_xlnm.Print_Area" localSheetId="27">'WP 18 Depr Support '!$A$1:$G$36</definedName>
    <definedName name="_xlnm.Print_Area" localSheetId="32">'WP AJ1 MISO'!$A:$K</definedName>
    <definedName name="_xlnm.Print_Area" localSheetId="33">'WP AJ2 ITC'!$A$1:$F$71</definedName>
    <definedName name="_xlnm.Print_Area" localSheetId="34">'WP AJ3 HCM'!$A$1:$G$62</definedName>
    <definedName name="_xlnm.Print_Area" localSheetId="35">'WP AJ4 LA Merger'!$A$1:$G$66</definedName>
    <definedName name="_xlnm.Print_Area" localSheetId="36">'WP AJ5 Acadia PB2'!$A$1:$E$55</definedName>
    <definedName name="_xlnm.Print_Area" localSheetId="37">'WP AJ6 GPRD'!$A$1:$E$30</definedName>
    <definedName name="_xlnm.Print_Area" localSheetId="4">'WP01 True-Up'!$A:$I</definedName>
    <definedName name="_xlnm.Print_Area" localSheetId="5">'WP01 TU Support'!$A$1:$I$82</definedName>
    <definedName name="_xlnm.Print_Area" localSheetId="6">'WP02 Support'!$A:$I</definedName>
    <definedName name="_xlnm.Print_Area" localSheetId="7">'WP03 W&amp;S'!$A$1:$D$37</definedName>
    <definedName name="_xlnm.Print_Area" localSheetId="8">'WP04 PIS'!$A:$L</definedName>
    <definedName name="_xlnm.Print_Area" localSheetId="9">'WP04 Support'!$A$1:$L$27</definedName>
    <definedName name="_xlnm.Print_Area" localSheetId="10">'WP05 CapAds'!$A$1:$D$28</definedName>
    <definedName name="_xlnm.Print_Area" localSheetId="11">'WP06 ADIT'!$A$1:$N$314</definedName>
    <definedName name="_xlnm.Print_Area" localSheetId="12">'WP06 ADIT Support'!$A$1:$F$37</definedName>
    <definedName name="_xlnm.Print_Area" localSheetId="13">'WP07 M&amp;S'!$A$1:$Q$14</definedName>
    <definedName name="_xlnm.Print_Area" localSheetId="14">'WP08 Prepay'!$A$1:$Q$82</definedName>
    <definedName name="_xlnm.Print_Area" localSheetId="15">'WP09 PHFU'!$A$1:$P$19</definedName>
    <definedName name="_xlnm.Print_Area" localSheetId="16">'WP10 Storm'!$A$1:$E$68</definedName>
    <definedName name="_xlnm.Print_Area" localSheetId="17">'WP11 Credits'!$A$1:$E$16</definedName>
    <definedName name="_xlnm.Print_Area" localSheetId="18">'WP12 PBOP'!$A$1:$C$17</definedName>
    <definedName name="_xlnm.Print_Area" localSheetId="19">'WP13 TOTI'!$A$1:$H$51</definedName>
    <definedName name="_xlnm.Print_Area" localSheetId="20">'WP14 COC'!$A$1:$J$57,'WP14 COC'!$K$1:$Q$48</definedName>
    <definedName name="_xlnm.Print_Area" localSheetId="22">'WP15 Radials'!$A$1:$G$147</definedName>
    <definedName name="_xlnm.Print_Area" localSheetId="23">'WP16 Interconn'!$A$1:$P$32</definedName>
    <definedName name="_xlnm.Print_Area" localSheetId="24">'WP17 Rev'!$A$1:$I$74</definedName>
    <definedName name="_xlnm.Print_Area" localSheetId="25">'WP17 Rev Support'!$A$1:$E$30</definedName>
    <definedName name="_xlnm.Print_Area" localSheetId="26">'WP18 Deprec'!$A$1:$F$56</definedName>
    <definedName name="_xlnm.Print_Area" localSheetId="28">'WP19 Load'!$A$1:$O$68</definedName>
    <definedName name="_xlnm.Print_Area" localSheetId="29">'WP20 Reserves'!$A$1:$Q$30</definedName>
    <definedName name="_xlnm.Print_Area" localSheetId="30">'WP21 Pension'!$A$1:$K$30</definedName>
    <definedName name="_xlnm.Print_Area">'[4]BC 2 2005BC'!#REF!</definedName>
    <definedName name="PRINT_AREA_MI" localSheetId="1">'[4]BC 2 2005BC'!#REF!</definedName>
    <definedName name="PRINT_AREA_MI" localSheetId="27">'[3]BC 2 2005BC'!#REF!</definedName>
    <definedName name="PRINT_AREA_MI" localSheetId="8">'[4]BC 2 2005BC'!#REF!</definedName>
    <definedName name="PRINT_AREA_MI" localSheetId="10">'[4]BC 2 2005BC'!#REF!</definedName>
    <definedName name="PRINT_AREA_MI" localSheetId="24">'[4]BC 2 2005BC'!#REF!</definedName>
    <definedName name="Print_Area_MI" localSheetId="28">#REF!</definedName>
    <definedName name="PRINT_AREA_MI">'[4]BC 2 2005BC'!#REF!</definedName>
    <definedName name="Print_Area_MI.1" localSheetId="1">#REF!</definedName>
    <definedName name="Print_Area_MI.1" localSheetId="27">#REF!</definedName>
    <definedName name="Print_Area_MI.1" localSheetId="10">#REF!</definedName>
    <definedName name="Print_Area_MI.1">#REF!</definedName>
    <definedName name="_xlnm.Print_Titles" localSheetId="2">'Appendix A'!$1:$7</definedName>
    <definedName name="_xlnm.Print_Titles" localSheetId="32">'WP AJ1 MISO'!$1:$11</definedName>
    <definedName name="_xlnm.Print_Titles" localSheetId="33">'WP AJ2 ITC'!$B:$C,'WP AJ2 ITC'!$1:$7</definedName>
    <definedName name="_xlnm.Print_Titles" localSheetId="4">'WP01 True-Up'!$1:$7</definedName>
    <definedName name="_xlnm.Print_Titles" localSheetId="5">'WP01 TU Support'!$1:$7</definedName>
    <definedName name="_xlnm.Print_Titles" localSheetId="6">'WP02 Support'!$1:$6</definedName>
    <definedName name="_xlnm.Print_Titles" localSheetId="8">'WP04 PIS'!$1:$3</definedName>
    <definedName name="_xlnm.Print_Titles" localSheetId="11">'WP06 ADIT'!$1:$7</definedName>
    <definedName name="_xlnm.Print_Titles" localSheetId="14">'WP08 Prepay'!$1:$7</definedName>
    <definedName name="_xlnm.Print_Titles" localSheetId="20">'WP14 COC'!$A:$C,'WP14 COC'!$1:$6</definedName>
    <definedName name="_xlnm.Print_Titles" localSheetId="22">'WP15 Radials'!$1:$6</definedName>
    <definedName name="_xlnm.Print_Titles" localSheetId="29">'WP20 Reserves'!$B:$C</definedName>
    <definedName name="PRINTFILE" localSheetId="1">#REF!</definedName>
    <definedName name="PRINTFILE" localSheetId="27">#REF!</definedName>
    <definedName name="PRINTFILE" localSheetId="8">#REF!</definedName>
    <definedName name="PRINTFILE" localSheetId="10">#REF!</definedName>
    <definedName name="PRINTFILE" localSheetId="19">#REF!</definedName>
    <definedName name="PRINTFILE" localSheetId="24">#REF!</definedName>
    <definedName name="PRINTFILE">#REF!</definedName>
    <definedName name="PROJ_WOTextLen" localSheetId="1">#REF!</definedName>
    <definedName name="PROJ_WOTextLen" localSheetId="27">#REF!</definedName>
    <definedName name="PROJ_WOTextLen" localSheetId="8">#REF!</definedName>
    <definedName name="PROJ_WOTextLen" localSheetId="10">#REF!</definedName>
    <definedName name="PROJ_WOTextLen" localSheetId="19">#REF!</definedName>
    <definedName name="PROJ_WOTextLen" localSheetId="24">#REF!</definedName>
    <definedName name="PROJ_WOTextLen">#REF!</definedName>
    <definedName name="Projection" localSheetId="1">'[6]Appendix A'!$H$7</definedName>
    <definedName name="Projection" localSheetId="27">'[7]Appendix A'!$H$7</definedName>
    <definedName name="Projection">'[6]Appendix A'!$H$7</definedName>
    <definedName name="PSLJ8LG">#N/A</definedName>
    <definedName name="PSOKI6">#N/A</definedName>
    <definedName name="PXAG" localSheetId="1">'[8]C. Input'!$F$185</definedName>
    <definedName name="PXAG" localSheetId="27">'[5]C. Input'!$F$185</definedName>
    <definedName name="PXAG" localSheetId="8">'[8]C. Input'!$F$185</definedName>
    <definedName name="PXAG" localSheetId="28">'[8]C. Input'!$F$185</definedName>
    <definedName name="PXAG">'[8]C. Input'!$F$185</definedName>
    <definedName name="PXAG_561" localSheetId="1">'[8]C. Input'!#REF!</definedName>
    <definedName name="PXAG_561" localSheetId="27">'[5]C. Input'!#REF!</definedName>
    <definedName name="PXAG_561" localSheetId="8">'[8]C. Input'!#REF!</definedName>
    <definedName name="PXAG_561" localSheetId="10">'[8]C. Input'!#REF!</definedName>
    <definedName name="PXAG_561" localSheetId="28">'[8]C. Input'!#REF!</definedName>
    <definedName name="PXAG_561">'[8]C. Input'!#REF!</definedName>
    <definedName name="PXAG_EAI" localSheetId="1">'[8]C. Input'!#REF!</definedName>
    <definedName name="PXAG_EAI" localSheetId="27">'[5]C. Input'!#REF!</definedName>
    <definedName name="PXAG_EAI" localSheetId="8">'[8]C. Input'!#REF!</definedName>
    <definedName name="PXAG_EAI" localSheetId="10">'[8]C. Input'!#REF!</definedName>
    <definedName name="PXAG_EAI" localSheetId="28">'[8]C. Input'!#REF!</definedName>
    <definedName name="PXAG_EAI">'[8]C. Input'!#REF!</definedName>
    <definedName name="PXAG_EGSI" localSheetId="1">'[8]C. Input'!#REF!</definedName>
    <definedName name="PXAG_EGSI" localSheetId="27">'[5]C. Input'!#REF!</definedName>
    <definedName name="PXAG_EGSI" localSheetId="8">'[8]C. Input'!#REF!</definedName>
    <definedName name="PXAG_EGSI" localSheetId="10">'[8]C. Input'!#REF!</definedName>
    <definedName name="PXAG_EGSI" localSheetId="28">'[8]C. Input'!#REF!</definedName>
    <definedName name="PXAG_EGSI">'[8]C. Input'!#REF!</definedName>
    <definedName name="PXAG_ELI" localSheetId="1">'[8]C. Input'!#REF!</definedName>
    <definedName name="PXAG_ELI" localSheetId="8">'[8]C. Input'!#REF!</definedName>
    <definedName name="PXAG_ELI" localSheetId="10">'[8]C. Input'!#REF!</definedName>
    <definedName name="PXAG_ELI" localSheetId="28">'[8]C. Input'!#REF!</definedName>
    <definedName name="PXAG_ELI">'[5]C. Input'!#REF!</definedName>
    <definedName name="PXAG_EMI">'[5]C. Input'!#REF!</definedName>
    <definedName name="PXAG_ENOI">'[5]C. Input'!#REF!</definedName>
    <definedName name="PXAGBAD">'[5]C. Input'!#REF!</definedName>
    <definedName name="PYTX" localSheetId="1">'[8]C. Input'!$F$220</definedName>
    <definedName name="PYTX" localSheetId="27">'[5]C. Input'!$F$220</definedName>
    <definedName name="PYTX" localSheetId="8">'[8]C. Input'!$F$220</definedName>
    <definedName name="PYTX" localSheetId="28">'[8]C. Input'!$F$220</definedName>
    <definedName name="PYTX">'[8]C. Input'!$F$220</definedName>
    <definedName name="Q" localSheetId="1">#REF!</definedName>
    <definedName name="Q" localSheetId="27">#REF!</definedName>
    <definedName name="Q" localSheetId="8">#REF!</definedName>
    <definedName name="Q" localSheetId="10">#REF!</definedName>
    <definedName name="Q" localSheetId="19">#REF!</definedName>
    <definedName name="Q" localSheetId="24">#REF!</definedName>
    <definedName name="Q">#REF!</definedName>
    <definedName name="RA" localSheetId="1">'[8]C. Input'!$F$343</definedName>
    <definedName name="RA" localSheetId="27">'[5]C. Input'!$F$343</definedName>
    <definedName name="RA" localSheetId="8">'[8]C. Input'!$F$343</definedName>
    <definedName name="RA" localSheetId="28">'[8]C. Input'!$F$343</definedName>
    <definedName name="RA">'[8]C. Input'!$F$343</definedName>
    <definedName name="RECAP" localSheetId="27">#REF!</definedName>
    <definedName name="RECAP">#REF!</definedName>
    <definedName name="_xlnm.Recorder" localSheetId="27">#REF!</definedName>
    <definedName name="_xlnm.Recorder">#REF!</definedName>
    <definedName name="RES_CPB" localSheetId="27">#REF!</definedName>
    <definedName name="RES_CPB">#REF!</definedName>
    <definedName name="retail" localSheetId="1" hidden="1">{#N/A,#N/A,FALSE,"Loans";#N/A,#N/A,FALSE,"Program Costs";#N/A,#N/A,FALSE,"Measures";#N/A,#N/A,FALSE,"Net Lost Rev";#N/A,#N/A,FALSE,"Incentive"}</definedName>
    <definedName name="retail" localSheetId="27"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27"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27" hidden="1">{#N/A,#N/A,FALSE,"Loans";#N/A,#N/A,FALSE,"Program Costs";#N/A,#N/A,FALSE,"Measures";#N/A,#N/A,FALSE,"Net Lost Rev";#N/A,#N/A,FALSE,"Incentive"}</definedName>
    <definedName name="retail_CC1" hidden="1">{#N/A,#N/A,FALSE,"Loans";#N/A,#N/A,FALSE,"Program Costs";#N/A,#N/A,FALSE,"Measures";#N/A,#N/A,FALSE,"Net Lost Rev";#N/A,#N/A,FALSE,"Incentive"}</definedName>
    <definedName name="RID" localSheetId="27">#REF!</definedName>
    <definedName name="RID">#REF!</definedName>
    <definedName name="right">OFFSET(!A1,0,1)</definedName>
    <definedName name="RRE" localSheetId="1">'[8]C. Input'!$F$207</definedName>
    <definedName name="RRE" localSheetId="27">'[5]C. Input'!$F$207</definedName>
    <definedName name="RRE" localSheetId="8">'[8]C. Input'!$F$207</definedName>
    <definedName name="RRE" localSheetId="28">'[8]C. Input'!$F$207</definedName>
    <definedName name="RRE">'[8]C. Input'!$F$207</definedName>
    <definedName name="RTX" localSheetId="1">'[8]C. Input'!$F$222</definedName>
    <definedName name="RTX" localSheetId="27">'[5]C. Input'!$F$222</definedName>
    <definedName name="RTX" localSheetId="8">'[8]C. Input'!$F$222</definedName>
    <definedName name="RTX" localSheetId="28">'[8]C. Input'!$F$222</definedName>
    <definedName name="RTX">'[8]C. Input'!$F$222</definedName>
    <definedName name="S" localSheetId="1">'[8]C. Input'!$F$76</definedName>
    <definedName name="S" localSheetId="27">'[5]C. Input'!$F$76</definedName>
    <definedName name="S" localSheetId="8">'[8]C. Input'!$F$76</definedName>
    <definedName name="S" localSheetId="28">'[8]C. Input'!$F$76</definedName>
    <definedName name="S">'[8]C. Input'!$F$76</definedName>
    <definedName name="SAPBEXrevision" hidden="1">1</definedName>
    <definedName name="SAPBEXsysID" hidden="1">"BWP"</definedName>
    <definedName name="SAPBEXwbID" hidden="1">"45EQYSCWE9WJMGB34OOD1BOQZ"</definedName>
    <definedName name="SECUR_GI" localSheetId="1">'[8]C. Input'!$F$353</definedName>
    <definedName name="SECUR_GI" localSheetId="27">'[5]C. Input'!$F$353</definedName>
    <definedName name="SECUR_GI" localSheetId="8">'[8]C. Input'!$F$353</definedName>
    <definedName name="SECUR_GI" localSheetId="28">'[8]C. Input'!$F$353</definedName>
    <definedName name="SECUR_GI">'[8]C. Input'!$F$353</definedName>
    <definedName name="SECUR_IS" localSheetId="1">'[8]C. Input'!$F$357</definedName>
    <definedName name="SECUR_IS" localSheetId="27">'[5]C. Input'!$F$357</definedName>
    <definedName name="SECUR_IS" localSheetId="8">'[8]C. Input'!$F$357</definedName>
    <definedName name="SECUR_IS" localSheetId="28">'[8]C. Input'!$F$357</definedName>
    <definedName name="SECUR_IS">'[8]C. Input'!$F$357</definedName>
    <definedName name="SECUR_KR" localSheetId="1">'[8]C. Input'!$F$349</definedName>
    <definedName name="SECUR_KR" localSheetId="27">'[5]C. Input'!$F$349</definedName>
    <definedName name="SECUR_KR" localSheetId="8">'[8]C. Input'!$F$349</definedName>
    <definedName name="SECUR_KR" localSheetId="28">'[8]C. Input'!$F$349</definedName>
    <definedName name="SECUR_KR">'[8]C. Input'!$F$349</definedName>
    <definedName name="SELECT">#N/A</definedName>
    <definedName name="SEP">#N/A</definedName>
    <definedName name="SEVEN">#N/A</definedName>
    <definedName name="shit" localSheetId="1" hidden="1">{"PRINT",#N/A,TRUE,"APPA";"PRINT",#N/A,TRUE,"APS";"PRINT",#N/A,TRUE,"BHPL";"PRINT",#N/A,TRUE,"BHPL2";"PRINT",#N/A,TRUE,"CDWR";"PRINT",#N/A,TRUE,"EWEB";"PRINT",#N/A,TRUE,"LADWP";"PRINT",#N/A,TRUE,"NEVBASE"}</definedName>
    <definedName name="shit" localSheetId="27"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PACE">#N/A</definedName>
    <definedName name="Spot_Purchases_and_Tailgate" localSheetId="27">#REF!</definedName>
    <definedName name="Spot_Purchases_and_Tailgate">#REF!</definedName>
    <definedName name="SPOTE_04" localSheetId="27">#REF!</definedName>
    <definedName name="SPOTE_04">#REF!</definedName>
    <definedName name="START" localSheetId="27">#REF!</definedName>
    <definedName name="START">#REF!</definedName>
    <definedName name="STARTCR" localSheetId="27">#REF!</definedName>
    <definedName name="STARTCR">#REF!</definedName>
    <definedName name="STARTDR" localSheetId="27">#REF!</definedName>
    <definedName name="STARTDR">#REF!</definedName>
    <definedName name="SUBTITLE">#N/A</definedName>
    <definedName name="SUMMARY" localSheetId="27">#REF!</definedName>
    <definedName name="SUMMARY">#REF!</definedName>
    <definedName name="SUPPORTING_DATA_TO_UPLOAD" localSheetId="27">#REF!</definedName>
    <definedName name="SUPPORTING_DATA_TO_UPLOAD">#REF!</definedName>
    <definedName name="suz" localSheetId="27">'[3]BC 2 2005BC'!#REF!</definedName>
    <definedName name="suz">'[18]BC 2 2005BC'!#REF!</definedName>
    <definedName name="TABLE4_1" localSheetId="27">#REF!</definedName>
    <definedName name="TABLE4_1">#REF!</definedName>
    <definedName name="TABLE4_2" localSheetId="27">#REF!</definedName>
    <definedName name="TABLE4_2">#REF!</definedName>
    <definedName name="TDR_ITC">'[5]C. Input'!#REF!</definedName>
    <definedName name="TDR_TD">'[5]C. Input'!#REF!</definedName>
    <definedName name="TDRXS" localSheetId="1">'[8]C. Input'!$F$234</definedName>
    <definedName name="TDRXS" localSheetId="27">'[5]C. Input'!$F$234</definedName>
    <definedName name="TDRXS" localSheetId="8">'[8]C. Input'!$F$234</definedName>
    <definedName name="TDRXS" localSheetId="28">'[8]C. Input'!$F$234</definedName>
    <definedName name="TDRXS">'[8]C. Input'!$F$234</definedName>
    <definedName name="TDX" localSheetId="1">'[8]C. Input'!$F$304</definedName>
    <definedName name="TDX" localSheetId="27">'[5]C. Input'!$F$304</definedName>
    <definedName name="TDX" localSheetId="8">'[8]C. Input'!$F$304</definedName>
    <definedName name="TDX" localSheetId="28">'[8]C. Input'!$F$304</definedName>
    <definedName name="TDX">'[8]C. Input'!$F$304</definedName>
    <definedName name="TDX_TD" localSheetId="1">'[8]C. Input'!#REF!</definedName>
    <definedName name="TDX_TD" localSheetId="27">'[5]C. Input'!#REF!</definedName>
    <definedName name="TDX_TD" localSheetId="8">'[8]C. Input'!#REF!</definedName>
    <definedName name="TDX_TD" localSheetId="10">'[8]C. Input'!#REF!</definedName>
    <definedName name="TDX_TD" localSheetId="28">'[8]C. Input'!#REF!</definedName>
    <definedName name="TDX_TD">'[8]C. Input'!#REF!</definedName>
    <definedName name="TEN">#N/A</definedName>
    <definedName name="TEQ" localSheetId="1">'[8]C. Input'!$F$277</definedName>
    <definedName name="TEQ" localSheetId="27">'[5]C. Input'!$F$277</definedName>
    <definedName name="TEQ" localSheetId="8">'[8]C. Input'!$F$277</definedName>
    <definedName name="TEQ" localSheetId="28">'[8]C. Input'!$F$277</definedName>
    <definedName name="TEQ">'[8]C. Input'!$F$277</definedName>
    <definedName name="test" localSheetId="1" hidden="1">{"LBO Summary",#N/A,FALSE,"Summary"}</definedName>
    <definedName name="test" localSheetId="27" hidden="1">{"LBO Summary",#N/A,FALSE,"Summary"}</definedName>
    <definedName name="test" localSheetId="8" hidden="1">{"LBO Summary",#N/A,FALSE,"Summary"}</definedName>
    <definedName name="test" localSheetId="15" hidden="1">{"LBO Summary",#N/A,FALSE,"Summary"}</definedName>
    <definedName name="test" localSheetId="28" hidden="1">{"LBO Summary",#N/A,FALSE,"Summary"}</definedName>
    <definedName name="test" hidden="1">{"LBO Summary",#N/A,FALSE,"Summary"}</definedName>
    <definedName name="test1" localSheetId="1" hidden="1">{"LBO Summary",#N/A,FALSE,"Summary";"Income Statement",#N/A,FALSE,"Model";"Cash Flow",#N/A,FALSE,"Model";"Balance Sheet",#N/A,FALSE,"Model";"Working Capital",#N/A,FALSE,"Model";"Pro Forma Balance Sheets",#N/A,FALSE,"PFBS";"Debt Balances",#N/A,FALSE,"Model";"Fee Schedules",#N/A,FALSE,"Model"}</definedName>
    <definedName name="test1" localSheetId="27" hidden="1">{"LBO Summary",#N/A,FALSE,"Summary";"Income Statement",#N/A,FALSE,"Model";"Cash Flow",#N/A,FALSE,"Model";"Balance Sheet",#N/A,FALSE,"Model";"Working Capital",#N/A,FALSE,"Model";"Pro Forma Balance Sheets",#N/A,FALSE,"PFBS";"Debt Balances",#N/A,FALSE,"Model";"Fee Schedules",#N/A,FALSE,"Model"}</definedName>
    <definedName name="test1" localSheetId="8" hidden="1">{"LBO Summary",#N/A,FALSE,"Summary";"Income Statement",#N/A,FALSE,"Model";"Cash Flow",#N/A,FALSE,"Model";"Balance Sheet",#N/A,FALSE,"Model";"Working Capital",#N/A,FALSE,"Model";"Pro Forma Balance Sheets",#N/A,FALSE,"PFBS";"Debt Balances",#N/A,FALSE,"Model";"Fee Schedules",#N/A,FALSE,"Model"}</definedName>
    <definedName name="test1" localSheetId="15" hidden="1">{"LBO Summary",#N/A,FALSE,"Summary";"Income Statement",#N/A,FALSE,"Model";"Cash Flow",#N/A,FALSE,"Model";"Balance Sheet",#N/A,FALSE,"Model";"Working Capital",#N/A,FALSE,"Model";"Pro Forma Balance Sheets",#N/A,FALSE,"PFBS";"Debt Balances",#N/A,FALSE,"Model";"Fee Schedules",#N/A,FALSE,"Model"}</definedName>
    <definedName name="test1" localSheetId="28"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 hidden="1">{"LBO Summary",#N/A,FALSE,"Summary";"Income Statement",#N/A,FALSE,"Model";"Cash Flow",#N/A,FALSE,"Model";"Balance Sheet",#N/A,FALSE,"Model";"Working Capital",#N/A,FALSE,"Model";"Pro Forma Balance Sheets",#N/A,FALSE,"PFBS";"Debt Balances",#N/A,FALSE,"Model";"Fee Schedules",#N/A,FALSE,"Model"}</definedName>
    <definedName name="test10" localSheetId="27" hidden="1">{"LBO Summary",#N/A,FALSE,"Summary";"Income Statement",#N/A,FALSE,"Model";"Cash Flow",#N/A,FALSE,"Model";"Balance Sheet",#N/A,FALSE,"Model";"Working Capital",#N/A,FALSE,"Model";"Pro Forma Balance Sheets",#N/A,FALSE,"PFBS";"Debt Balances",#N/A,FALSE,"Model";"Fee Schedules",#N/A,FALSE,"Model"}</definedName>
    <definedName name="test10" localSheetId="8" hidden="1">{"LBO Summary",#N/A,FALSE,"Summary";"Income Statement",#N/A,FALSE,"Model";"Cash Flow",#N/A,FALSE,"Model";"Balance Sheet",#N/A,FALSE,"Model";"Working Capital",#N/A,FALSE,"Model";"Pro Forma Balance Sheets",#N/A,FALSE,"PFBS";"Debt Balances",#N/A,FALSE,"Model";"Fee Schedules",#N/A,FALSE,"Model"}</definedName>
    <definedName name="test10" localSheetId="15" hidden="1">{"LBO Summary",#N/A,FALSE,"Summary";"Income Statement",#N/A,FALSE,"Model";"Cash Flow",#N/A,FALSE,"Model";"Balance Sheet",#N/A,FALSE,"Model";"Working Capital",#N/A,FALSE,"Model";"Pro Forma Balance Sheets",#N/A,FALSE,"PFBS";"Debt Balances",#N/A,FALSE,"Model";"Fee Schedules",#N/A,FALSE,"Model"}</definedName>
    <definedName name="test10" localSheetId="28"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 hidden="1">{"LBO Summary",#N/A,FALSE,"Summary"}</definedName>
    <definedName name="test11" localSheetId="27" hidden="1">{"LBO Summary",#N/A,FALSE,"Summary"}</definedName>
    <definedName name="test11" localSheetId="8" hidden="1">{"LBO Summary",#N/A,FALSE,"Summary"}</definedName>
    <definedName name="test11" localSheetId="15" hidden="1">{"LBO Summary",#N/A,FALSE,"Summary"}</definedName>
    <definedName name="test11" localSheetId="28" hidden="1">{"LBO Summary",#N/A,FALSE,"Summary"}</definedName>
    <definedName name="test11" hidden="1">{"LBO Summary",#N/A,FALSE,"Summary"}</definedName>
    <definedName name="test12" localSheetId="1" hidden="1">{"assumptions",#N/A,FALSE,"Scenario 1";"valuation",#N/A,FALSE,"Scenario 1"}</definedName>
    <definedName name="test12" localSheetId="27" hidden="1">{"assumptions",#N/A,FALSE,"Scenario 1";"valuation",#N/A,FALSE,"Scenario 1"}</definedName>
    <definedName name="test12" localSheetId="8" hidden="1">{"assumptions",#N/A,FALSE,"Scenario 1";"valuation",#N/A,FALSE,"Scenario 1"}</definedName>
    <definedName name="test12" localSheetId="15" hidden="1">{"assumptions",#N/A,FALSE,"Scenario 1";"valuation",#N/A,FALSE,"Scenario 1"}</definedName>
    <definedName name="test12" localSheetId="28" hidden="1">{"assumptions",#N/A,FALSE,"Scenario 1";"valuation",#N/A,FALSE,"Scenario 1"}</definedName>
    <definedName name="test12" hidden="1">{"assumptions",#N/A,FALSE,"Scenario 1";"valuation",#N/A,FALSE,"Scenario 1"}</definedName>
    <definedName name="test13" localSheetId="1" hidden="1">{"LBO Summary",#N/A,FALSE,"Summary"}</definedName>
    <definedName name="test13" localSheetId="27" hidden="1">{"LBO Summary",#N/A,FALSE,"Summary"}</definedName>
    <definedName name="test13" localSheetId="8" hidden="1">{"LBO Summary",#N/A,FALSE,"Summary"}</definedName>
    <definedName name="test13" localSheetId="15" hidden="1">{"LBO Summary",#N/A,FALSE,"Summary"}</definedName>
    <definedName name="test13" localSheetId="28" hidden="1">{"LBO Summary",#N/A,FALSE,"Summary"}</definedName>
    <definedName name="test13" hidden="1">{"LBO Summary",#N/A,FALSE,"Summary"}</definedName>
    <definedName name="test14" localSheetId="1" hidden="1">{"LBO Summary",#N/A,FALSE,"Summary";"Income Statement",#N/A,FALSE,"Model";"Cash Flow",#N/A,FALSE,"Model";"Balance Sheet",#N/A,FALSE,"Model";"Working Capital",#N/A,FALSE,"Model";"Pro Forma Balance Sheets",#N/A,FALSE,"PFBS";"Debt Balances",#N/A,FALSE,"Model";"Fee Schedules",#N/A,FALSE,"Model"}</definedName>
    <definedName name="test14" localSheetId="27" hidden="1">{"LBO Summary",#N/A,FALSE,"Summary";"Income Statement",#N/A,FALSE,"Model";"Cash Flow",#N/A,FALSE,"Model";"Balance Sheet",#N/A,FALSE,"Model";"Working Capital",#N/A,FALSE,"Model";"Pro Forma Balance Sheets",#N/A,FALSE,"PFBS";"Debt Balances",#N/A,FALSE,"Model";"Fee Schedules",#N/A,FALSE,"Model"}</definedName>
    <definedName name="test14" localSheetId="8" hidden="1">{"LBO Summary",#N/A,FALSE,"Summary";"Income Statement",#N/A,FALSE,"Model";"Cash Flow",#N/A,FALSE,"Model";"Balance Sheet",#N/A,FALSE,"Model";"Working Capital",#N/A,FALSE,"Model";"Pro Forma Balance Sheets",#N/A,FALSE,"PFBS";"Debt Balances",#N/A,FALSE,"Model";"Fee Schedules",#N/A,FALSE,"Model"}</definedName>
    <definedName name="test14" localSheetId="15" hidden="1">{"LBO Summary",#N/A,FALSE,"Summary";"Income Statement",#N/A,FALSE,"Model";"Cash Flow",#N/A,FALSE,"Model";"Balance Sheet",#N/A,FALSE,"Model";"Working Capital",#N/A,FALSE,"Model";"Pro Forma Balance Sheets",#N/A,FALSE,"PFBS";"Debt Balances",#N/A,FALSE,"Model";"Fee Schedules",#N/A,FALSE,"Model"}</definedName>
    <definedName name="test14" localSheetId="28"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 hidden="1">{"LBO Summary",#N/A,FALSE,"Summary";"Income Statement",#N/A,FALSE,"Model";"Cash Flow",#N/A,FALSE,"Model";"Balance Sheet",#N/A,FALSE,"Model";"Working Capital",#N/A,FALSE,"Model";"Pro Forma Balance Sheets",#N/A,FALSE,"PFBS";"Debt Balances",#N/A,FALSE,"Model";"Fee Schedules",#N/A,FALSE,"Model"}</definedName>
    <definedName name="test15" localSheetId="27" hidden="1">{"LBO Summary",#N/A,FALSE,"Summary";"Income Statement",#N/A,FALSE,"Model";"Cash Flow",#N/A,FALSE,"Model";"Balance Sheet",#N/A,FALSE,"Model";"Working Capital",#N/A,FALSE,"Model";"Pro Forma Balance Sheets",#N/A,FALSE,"PFBS";"Debt Balances",#N/A,FALSE,"Model";"Fee Schedules",#N/A,FALSE,"Model"}</definedName>
    <definedName name="test15" localSheetId="8" hidden="1">{"LBO Summary",#N/A,FALSE,"Summary";"Income Statement",#N/A,FALSE,"Model";"Cash Flow",#N/A,FALSE,"Model";"Balance Sheet",#N/A,FALSE,"Model";"Working Capital",#N/A,FALSE,"Model";"Pro Forma Balance Sheets",#N/A,FALSE,"PFBS";"Debt Balances",#N/A,FALSE,"Model";"Fee Schedules",#N/A,FALSE,"Model"}</definedName>
    <definedName name="test15" localSheetId="15" hidden="1">{"LBO Summary",#N/A,FALSE,"Summary";"Income Statement",#N/A,FALSE,"Model";"Cash Flow",#N/A,FALSE,"Model";"Balance Sheet",#N/A,FALSE,"Model";"Working Capital",#N/A,FALSE,"Model";"Pro Forma Balance Sheets",#N/A,FALSE,"PFBS";"Debt Balances",#N/A,FALSE,"Model";"Fee Schedules",#N/A,FALSE,"Model"}</definedName>
    <definedName name="test15" localSheetId="28"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 hidden="1">{"LBO Summary",#N/A,FALSE,"Summary";"Income Statement",#N/A,FALSE,"Model";"Cash Flow",#N/A,FALSE,"Model";"Balance Sheet",#N/A,FALSE,"Model";"Working Capital",#N/A,FALSE,"Model";"Pro Forma Balance Sheets",#N/A,FALSE,"PFBS";"Debt Balances",#N/A,FALSE,"Model";"Fee Schedules",#N/A,FALSE,"Model"}</definedName>
    <definedName name="test16" localSheetId="27" hidden="1">{"LBO Summary",#N/A,FALSE,"Summary";"Income Statement",#N/A,FALSE,"Model";"Cash Flow",#N/A,FALSE,"Model";"Balance Sheet",#N/A,FALSE,"Model";"Working Capital",#N/A,FALSE,"Model";"Pro Forma Balance Sheets",#N/A,FALSE,"PFBS";"Debt Balances",#N/A,FALSE,"Model";"Fee Schedules",#N/A,FALSE,"Model"}</definedName>
    <definedName name="test16" localSheetId="8" hidden="1">{"LBO Summary",#N/A,FALSE,"Summary";"Income Statement",#N/A,FALSE,"Model";"Cash Flow",#N/A,FALSE,"Model";"Balance Sheet",#N/A,FALSE,"Model";"Working Capital",#N/A,FALSE,"Model";"Pro Forma Balance Sheets",#N/A,FALSE,"PFBS";"Debt Balances",#N/A,FALSE,"Model";"Fee Schedules",#N/A,FALSE,"Model"}</definedName>
    <definedName name="test16" localSheetId="15" hidden="1">{"LBO Summary",#N/A,FALSE,"Summary";"Income Statement",#N/A,FALSE,"Model";"Cash Flow",#N/A,FALSE,"Model";"Balance Sheet",#N/A,FALSE,"Model";"Working Capital",#N/A,FALSE,"Model";"Pro Forma Balance Sheets",#N/A,FALSE,"PFBS";"Debt Balances",#N/A,FALSE,"Model";"Fee Schedules",#N/A,FALSE,"Model"}</definedName>
    <definedName name="test16" localSheetId="28"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 hidden="1">{"LBO Summary",#N/A,FALSE,"Summary"}</definedName>
    <definedName name="test2" localSheetId="27" hidden="1">{"LBO Summary",#N/A,FALSE,"Summary"}</definedName>
    <definedName name="test2" localSheetId="8" hidden="1">{"LBO Summary",#N/A,FALSE,"Summary"}</definedName>
    <definedName name="test2" localSheetId="15" hidden="1">{"LBO Summary",#N/A,FALSE,"Summary"}</definedName>
    <definedName name="test2" localSheetId="28" hidden="1">{"LBO Summary",#N/A,FALSE,"Summary"}</definedName>
    <definedName name="test2" hidden="1">{"LBO Summary",#N/A,FALSE,"Summary"}</definedName>
    <definedName name="test4" localSheetId="1" hidden="1">{"assumptions",#N/A,FALSE,"Scenario 1";"valuation",#N/A,FALSE,"Scenario 1"}</definedName>
    <definedName name="test4" localSheetId="27" hidden="1">{"assumptions",#N/A,FALSE,"Scenario 1";"valuation",#N/A,FALSE,"Scenario 1"}</definedName>
    <definedName name="test4" localSheetId="8" hidden="1">{"assumptions",#N/A,FALSE,"Scenario 1";"valuation",#N/A,FALSE,"Scenario 1"}</definedName>
    <definedName name="test4" localSheetId="15" hidden="1">{"assumptions",#N/A,FALSE,"Scenario 1";"valuation",#N/A,FALSE,"Scenario 1"}</definedName>
    <definedName name="test4" localSheetId="28" hidden="1">{"assumptions",#N/A,FALSE,"Scenario 1";"valuation",#N/A,FALSE,"Scenario 1"}</definedName>
    <definedName name="test4" hidden="1">{"assumptions",#N/A,FALSE,"Scenario 1";"valuation",#N/A,FALSE,"Scenario 1"}</definedName>
    <definedName name="test6" localSheetId="1" hidden="1">{"LBO Summary",#N/A,FALSE,"Summary"}</definedName>
    <definedName name="test6" localSheetId="27" hidden="1">{"LBO Summary",#N/A,FALSE,"Summary"}</definedName>
    <definedName name="test6" localSheetId="8" hidden="1">{"LBO Summary",#N/A,FALSE,"Summary"}</definedName>
    <definedName name="test6" localSheetId="15" hidden="1">{"LBO Summary",#N/A,FALSE,"Summary"}</definedName>
    <definedName name="test6" localSheetId="28" hidden="1">{"LBO Summary",#N/A,FALSE,"Summary"}</definedName>
    <definedName name="test6" hidden="1">{"LBO Summary",#N/A,FALSE,"Summary"}</definedName>
    <definedName name="TextRefCopyRangeCount" hidden="1">1</definedName>
    <definedName name="THREE">#N/A</definedName>
    <definedName name="TKW" localSheetId="1">'[8]C. Input'!$F$330</definedName>
    <definedName name="TKW" localSheetId="27">'[5]C. Input'!$F$330</definedName>
    <definedName name="TKW" localSheetId="8">'[8]C. Input'!$F$330</definedName>
    <definedName name="TKW" localSheetId="28">'[8]C. Input'!$F$330</definedName>
    <definedName name="TKW">'[8]C. Input'!$F$330</definedName>
    <definedName name="TKWS" localSheetId="1">'[8]C. Input'!#REF!</definedName>
    <definedName name="TKWS" localSheetId="27">'[5]C. Input'!#REF!</definedName>
    <definedName name="TKWS" localSheetId="8">'[8]C. Input'!#REF!</definedName>
    <definedName name="TKWS" localSheetId="10">'[8]C. Input'!#REF!</definedName>
    <definedName name="TKWS" localSheetId="28">'[8]C. Input'!#REF!</definedName>
    <definedName name="TKWS">'[8]C. Input'!#REF!</definedName>
    <definedName name="TL" localSheetId="1">'[8]C. Input'!$F$178</definedName>
    <definedName name="TL" localSheetId="27">'[5]C. Input'!$F$178</definedName>
    <definedName name="TL" localSheetId="8">'[8]C. Input'!$F$178</definedName>
    <definedName name="TL" localSheetId="28">'[8]C. Input'!$F$178</definedName>
    <definedName name="TL">'[8]C. Input'!$F$178</definedName>
    <definedName name="TL_561" localSheetId="1">'[8]C. Input'!#REF!</definedName>
    <definedName name="TL_561" localSheetId="27">'[5]C. Input'!#REF!</definedName>
    <definedName name="TL_561" localSheetId="8">'[8]C. Input'!#REF!</definedName>
    <definedName name="TL_561" localSheetId="10">'[8]C. Input'!#REF!</definedName>
    <definedName name="TL_561" localSheetId="28">'[8]C. Input'!#REF!</definedName>
    <definedName name="TL_561">'[8]C. Input'!#REF!</definedName>
    <definedName name="TLR_TST" localSheetId="1">'[8]A.2 PTP'!$P$91</definedName>
    <definedName name="TLR_TST" localSheetId="27">'[5]A.2 PTP'!$P$91</definedName>
    <definedName name="TLR_TST" localSheetId="8">'[8]A.2 PTP'!$P$91</definedName>
    <definedName name="TLR_TST" localSheetId="28">'[8]A.2 PTP'!$P$91</definedName>
    <definedName name="TLR_TST">'[8]A.2 PTP'!$P$91</definedName>
    <definedName name="Toggle" localSheetId="1">'[6]Appendix A'!$H$7</definedName>
    <definedName name="Toggle" localSheetId="27">'[7]Appendix A'!$H$7</definedName>
    <definedName name="Toggle">'[6]Appendix A'!$H$7</definedName>
    <definedName name="TOM" localSheetId="1">'[8]C. Input'!$F$270</definedName>
    <definedName name="TOM" localSheetId="27">'[5]C. Input'!$F$270</definedName>
    <definedName name="TOM" localSheetId="8">'[8]C. Input'!$F$270</definedName>
    <definedName name="TOM" localSheetId="28">'[8]C. Input'!$F$270</definedName>
    <definedName name="TOM">'[8]C. Input'!$F$270</definedName>
    <definedName name="TOM_EAI" localSheetId="1">'[8]C. Input'!#REF!</definedName>
    <definedName name="TOM_EAI" localSheetId="27">'[5]C. Input'!#REF!</definedName>
    <definedName name="TOM_EAI" localSheetId="8">'[8]C. Input'!#REF!</definedName>
    <definedName name="TOM_EAI" localSheetId="10">'[8]C. Input'!#REF!</definedName>
    <definedName name="TOM_EAI" localSheetId="28">'[8]C. Input'!#REF!</definedName>
    <definedName name="TOM_EAI">'[8]C. Input'!#REF!</definedName>
    <definedName name="TOM_EGSI" localSheetId="1">'[8]C. Input'!#REF!</definedName>
    <definedName name="TOM_EGSI" localSheetId="27">'[5]C. Input'!#REF!</definedName>
    <definedName name="TOM_EGSI" localSheetId="8">'[8]C. Input'!#REF!</definedName>
    <definedName name="TOM_EGSI" localSheetId="10">'[8]C. Input'!#REF!</definedName>
    <definedName name="TOM_EGSI" localSheetId="28">'[8]C. Input'!#REF!</definedName>
    <definedName name="TOM_EGSI">'[8]C. Input'!#REF!</definedName>
    <definedName name="TOM_ELI" localSheetId="1">'[8]C. Input'!#REF!</definedName>
    <definedName name="TOM_ELI" localSheetId="8">'[8]C. Input'!#REF!</definedName>
    <definedName name="TOM_ELI" localSheetId="10">'[8]C. Input'!#REF!</definedName>
    <definedName name="TOM_ELI">'[5]C. Input'!#REF!</definedName>
    <definedName name="TOM_EMI">'[5]C. Input'!#REF!</definedName>
    <definedName name="TOM_ENOI">'[5]C. Input'!#REF!</definedName>
    <definedName name="TOM_ICTC">'[5]C. Input'!#REF!</definedName>
    <definedName name="TOTAL" localSheetId="27">#REF!</definedName>
    <definedName name="TOTAL">#REF!</definedName>
    <definedName name="TP" localSheetId="27">'[19]MISO Cover'!$I$193</definedName>
    <definedName name="TP">'MISO Cover'!$I$193</definedName>
    <definedName name="TPLT" localSheetId="1">'[8]C. Input'!$F$161</definedName>
    <definedName name="TPLT" localSheetId="27">'[5]C. Input'!$F$161</definedName>
    <definedName name="TPLT" localSheetId="8">'[8]C. Input'!$F$161</definedName>
    <definedName name="TPLT" localSheetId="28">'[8]C. Input'!$F$161</definedName>
    <definedName name="TPLT">'[8]C. Input'!$F$161</definedName>
    <definedName name="TPLT_ITC">'[5]C. Input'!#REF!</definedName>
    <definedName name="TPLTXS" localSheetId="1">'[8]C. Input'!$F$164</definedName>
    <definedName name="TPLTXS" localSheetId="27">'[5]C. Input'!$F$164</definedName>
    <definedName name="TPLTXS" localSheetId="8">'[8]C. Input'!$F$164</definedName>
    <definedName name="TPLTXS" localSheetId="28">'[8]C. Input'!$F$164</definedName>
    <definedName name="TPLTXS">'[8]C. Input'!$F$164</definedName>
    <definedName name="TPR_TST" localSheetId="1">'[8]A.2 PTP'!$P$75</definedName>
    <definedName name="TPR_TST" localSheetId="27">'[5]A.2 PTP'!$P$75</definedName>
    <definedName name="TPR_TST" localSheetId="8">'[8]A.2 PTP'!$P$75</definedName>
    <definedName name="TPR_TST" localSheetId="28">'[8]A.2 PTP'!$P$75</definedName>
    <definedName name="TPR_TST">'[8]A.2 PTP'!$P$75</definedName>
    <definedName name="TRB" localSheetId="1">'[8]A.2 PTP'!$P$165</definedName>
    <definedName name="TRB" localSheetId="27">'[5]A.2 PTP'!$P$165</definedName>
    <definedName name="TRB" localSheetId="8">'[8]A.2 PTP'!$P$165</definedName>
    <definedName name="TRB" localSheetId="28">'[8]A.2 PTP'!$P$165</definedName>
    <definedName name="TRB">'[8]A.2 PTP'!$P$165</definedName>
    <definedName name="TREV" localSheetId="1">'[8]C. Input'!$F$287</definedName>
    <definedName name="TREV" localSheetId="27">'[5]C. Input'!$F$287</definedName>
    <definedName name="TREV" localSheetId="8">'[8]C. Input'!$F$287</definedName>
    <definedName name="TREV" localSheetId="28">'[8]C. Input'!$F$287</definedName>
    <definedName name="TREV">'[8]C. Input'!$F$287</definedName>
    <definedName name="True_up" localSheetId="1">'[6]Appendix A'!$H$6</definedName>
    <definedName name="True_up" localSheetId="27">'[7]Appendix A'!$H$6</definedName>
    <definedName name="True_up">'[6]Appendix A'!$H$6</definedName>
    <definedName name="TWELVE">#N/A</definedName>
    <definedName name="TWO">#N/A</definedName>
    <definedName name="TX" localSheetId="1">'[8]A.2 PTP'!$P$31</definedName>
    <definedName name="TX" localSheetId="27">'[5]A.2 PTP'!$P$31</definedName>
    <definedName name="TX" localSheetId="8">'[8]A.2 PTP'!$P$31</definedName>
    <definedName name="TX" localSheetId="28">'[8]A.2 PTP'!$P$31</definedName>
    <definedName name="TX">'[8]A.2 PTP'!$P$31</definedName>
    <definedName name="TXO" localSheetId="1">'[8]C. Input'!$F$215</definedName>
    <definedName name="TXO" localSheetId="27">'[5]C. Input'!$F$215</definedName>
    <definedName name="TXO" localSheetId="8">'[8]C. Input'!$F$215</definedName>
    <definedName name="TXO" localSheetId="28">'[8]C. Input'!$F$215</definedName>
    <definedName name="TXO">'[8]C. Input'!$F$215</definedName>
    <definedName name="TXP_TST" localSheetId="1">'[8]A.2 PTP'!$P$212</definedName>
    <definedName name="TXP_TST" localSheetId="27">'[5]A.2 PTP'!$P$212</definedName>
    <definedName name="TXP_TST" localSheetId="8">'[8]A.2 PTP'!$P$212</definedName>
    <definedName name="TXP_TST" localSheetId="28">'[8]A.2 PTP'!$P$212</definedName>
    <definedName name="TXP_TST">'[8]A.2 PTP'!$P$212</definedName>
    <definedName name="TYE">#N/A</definedName>
    <definedName name="TYE_1">#N/A</definedName>
    <definedName name="TYPETextLen" localSheetId="27">#REF!</definedName>
    <definedName name="TYPETextLen">#REF!</definedName>
    <definedName name="Underground_Storage_Activity" localSheetId="27">#REF!</definedName>
    <definedName name="Underground_Storage_Activity">#REF!</definedName>
    <definedName name="URA" localSheetId="1">'[8]C. Input'!$F$337</definedName>
    <definedName name="URA" localSheetId="27">'[5]C. Input'!$F$337</definedName>
    <definedName name="URA" localSheetId="8">'[8]C. Input'!$F$337</definedName>
    <definedName name="URA" localSheetId="28">'[8]C. Input'!$F$337</definedName>
    <definedName name="URA">'[8]C. Input'!$F$337</definedName>
    <definedName name="Value" localSheetId="1" hidden="1">{"assumptions",#N/A,FALSE,"Scenario 1";"valuation",#N/A,FALSE,"Scenario 1"}</definedName>
    <definedName name="Value" localSheetId="27" hidden="1">{"assumptions",#N/A,FALSE,"Scenario 1";"valuation",#N/A,FALSE,"Scenario 1"}</definedName>
    <definedName name="Value" localSheetId="8" hidden="1">{"assumptions",#N/A,FALSE,"Scenario 1";"valuation",#N/A,FALSE,"Scenario 1"}</definedName>
    <definedName name="Value" localSheetId="15" hidden="1">{"assumptions",#N/A,FALSE,"Scenario 1";"valuation",#N/A,FALSE,"Scenario 1"}</definedName>
    <definedName name="Value" localSheetId="28" hidden="1">{"assumptions",#N/A,FALSE,"Scenario 1";"valuation",#N/A,FALSE,"Scenario 1"}</definedName>
    <definedName name="Value" hidden="1">{"assumptions",#N/A,FALSE,"Scenario 1";"valuation",#N/A,FALSE,"Scenario 1"}</definedName>
    <definedName name="VSPAE">'[5]C. Input'!#REF!</definedName>
    <definedName name="VSPRB">'[5]C. Input'!#REF!</definedName>
    <definedName name="WELL_HEAD_ESTIMATES" localSheetId="27">#REF!</definedName>
    <definedName name="WELL_HEAD_ESTIMATES">#REF!</definedName>
    <definedName name="WFTSR" localSheetId="1">'[8]A.2 PTP'!$P$282</definedName>
    <definedName name="WFTSR" localSheetId="27">'[5]A.2 PTP'!$P$282</definedName>
    <definedName name="WFTSR" localSheetId="8">'[8]A.2 PTP'!$P$282</definedName>
    <definedName name="WFTSR" localSheetId="28">'[8]A.2 PTP'!$P$282</definedName>
    <definedName name="WFTSR">'[8]A.2 PTP'!$P$282</definedName>
    <definedName name="WITHSTD" localSheetId="27">#REF!</definedName>
    <definedName name="WITHSTD">#REF!</definedName>
    <definedName name="wrn.All._.Pages." localSheetId="1" hidden="1">{#N/A,#N/A,FALSE,"Cover";#N/A,#N/A,FALSE,"Lead Sheet";#N/A,#N/A,FALSE,"T-Accounts";#N/A,#N/A,FALSE,"Ins &amp; Prem ActualEstimates"}</definedName>
    <definedName name="wrn.All._.Pages." localSheetId="27"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1" hidden="1">{#N/A,#N/A,FALSE,"LOCAL.XLS"}</definedName>
    <definedName name="wrn.ARKANSAS." localSheetId="27" hidden="1">{#N/A,#N/A,FALSE,"LOCAL.XLS"}</definedName>
    <definedName name="wrn.ARKANSAS." localSheetId="8" hidden="1">{#N/A,#N/A,FALSE,"LOCAL.XLS"}</definedName>
    <definedName name="wrn.ARKANSAS." localSheetId="15" hidden="1">{#N/A,#N/A,FALSE,"LOCAL.XLS"}</definedName>
    <definedName name="wrn.ARKANSAS." localSheetId="28" hidden="1">{#N/A,#N/A,FALSE,"LOCAL.XLS"}</definedName>
    <definedName name="wrn.ARKANSAS." hidden="1">{#N/A,#N/A,FALSE,"LOCAL.XLS"}</definedName>
    <definedName name="wrn.CP._.Demand." localSheetId="1" hidden="1">{"Retail CP pg1",#N/A,FALSE,"FACTOR3";"Retail CP pg2",#N/A,FALSE,"FACTOR3";"Retail CP pg3",#N/A,FALSE,"FACTOR3"}</definedName>
    <definedName name="wrn.CP._.Demand." localSheetId="27" hidden="1">{"Retail CP pg1",#N/A,FALSE,"FACTOR3";"Retail CP pg2",#N/A,FALSE,"FACTOR3";"Retail CP pg3",#N/A,FALSE,"FACTOR3"}</definedName>
    <definedName name="wrn.CP._.Demand." localSheetId="8" hidden="1">{"Retail CP pg1",#N/A,FALSE,"FACTOR3";"Retail CP pg2",#N/A,FALSE,"FACTOR3";"Retail CP pg3",#N/A,FALSE,"FACTOR3"}</definedName>
    <definedName name="wrn.CP._.Demand." localSheetId="15" hidden="1">{"Retail CP pg1",#N/A,FALSE,"FACTOR3";"Retail CP pg2",#N/A,FALSE,"FACTOR3";"Retail CP pg3",#N/A,FALSE,"FACTOR3"}</definedName>
    <definedName name="wrn.CP._.Demand." localSheetId="19" hidden="1">{"Retail CP pg1",#N/A,FALSE,"FACTOR3";"Retail CP pg2",#N/A,FALSE,"FACTOR3";"Retail CP pg3",#N/A,FALSE,"FACTOR3"}</definedName>
    <definedName name="wrn.CP._.Demand." localSheetId="24" hidden="1">{"Retail CP pg1",#N/A,FALSE,"FACTOR3";"Retail CP pg2",#N/A,FALSE,"FACTOR3";"Retail CP pg3",#N/A,FALSE,"FACTOR3"}</definedName>
    <definedName name="wrn.CP._.Demand." hidden="1">{"Retail CP pg1",#N/A,FALSE,"FACTOR3";"Retail CP pg2",#N/A,FALSE,"FACTOR3";"Retail CP pg3",#N/A,FALSE,"FACTOR3"}</definedName>
    <definedName name="wrn.CP._.Demand2." localSheetId="1" hidden="1">{"Retail CP pg1",#N/A,FALSE,"FACTOR3";"Retail CP pg2",#N/A,FALSE,"FACTOR3";"Retail CP pg3",#N/A,FALSE,"FACTOR3"}</definedName>
    <definedName name="wrn.CP._.Demand2." localSheetId="27" hidden="1">{"Retail CP pg1",#N/A,FALSE,"FACTOR3";"Retail CP pg2",#N/A,FALSE,"FACTOR3";"Retail CP pg3",#N/A,FALSE,"FACTOR3"}</definedName>
    <definedName name="wrn.CP._.Demand2." localSheetId="8" hidden="1">{"Retail CP pg1",#N/A,FALSE,"FACTOR3";"Retail CP pg2",#N/A,FALSE,"FACTOR3";"Retail CP pg3",#N/A,FALSE,"FACTOR3"}</definedName>
    <definedName name="wrn.CP._.Demand2." localSheetId="15" hidden="1">{"Retail CP pg1",#N/A,FALSE,"FACTOR3";"Retail CP pg2",#N/A,FALSE,"FACTOR3";"Retail CP pg3",#N/A,FALSE,"FACTOR3"}</definedName>
    <definedName name="wrn.CP._.Demand2." localSheetId="19" hidden="1">{"Retail CP pg1",#N/A,FALSE,"FACTOR3";"Retail CP pg2",#N/A,FALSE,"FACTOR3";"Retail CP pg3",#N/A,FALSE,"FACTOR3"}</definedName>
    <definedName name="wrn.CP._.Demand2." localSheetId="24" hidden="1">{"Retail CP pg1",#N/A,FALSE,"FACTOR3";"Retail CP pg2",#N/A,FALSE,"FACTOR3";"Retail CP pg3",#N/A,FALSE,"FACTOR3"}</definedName>
    <definedName name="wrn.CP._.Demand2." hidden="1">{"Retail CP pg1",#N/A,FALSE,"FACTOR3";"Retail CP pg2",#N/A,FALSE,"FACTOR3";"Retail CP pg3",#N/A,FALSE,"FACTOR3"}</definedName>
    <definedName name="wrn.Factors._.Tab._.10." localSheetId="1" hidden="1">{"Factors Pages 1-2",#N/A,FALSE,"Factors";"Factors Page 3",#N/A,FALSE,"Factors";"Factors Page 4",#N/A,FALSE,"Factors";"Factors Page 5",#N/A,FALSE,"Factors";"Factors Pages 8-27",#N/A,FALSE,"Factors"}</definedName>
    <definedName name="wrn.Factors._.Tab._.10." localSheetId="27"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1" hidden="1">{"assumptions",#N/A,FALSE,"Scenario 1";"valuation",#N/A,FALSE,"Scenario 1"}</definedName>
    <definedName name="wrn.IPO._.Valuation." localSheetId="27" hidden="1">{"assumptions",#N/A,FALSE,"Scenario 1";"valuation",#N/A,FALSE,"Scenario 1"}</definedName>
    <definedName name="wrn.IPO._.Valuation." localSheetId="8" hidden="1">{"assumptions",#N/A,FALSE,"Scenario 1";"valuation",#N/A,FALSE,"Scenario 1"}</definedName>
    <definedName name="wrn.IPO._.Valuation." localSheetId="15" hidden="1">{"assumptions",#N/A,FALSE,"Scenario 1";"valuation",#N/A,FALSE,"Scenario 1"}</definedName>
    <definedName name="wrn.IPO._.Valuation." localSheetId="28" hidden="1">{"assumptions",#N/A,FALSE,"Scenario 1";"valuation",#N/A,FALSE,"Scenario 1"}</definedName>
    <definedName name="wrn.IPO._.Valuation." hidden="1">{"assumptions",#N/A,FALSE,"Scenario 1";"valuation",#N/A,FALSE,"Scenario 1"}</definedName>
    <definedName name="wrn.LBO._.Summary." localSheetId="1" hidden="1">{"LBO Summary",#N/A,FALSE,"Summary"}</definedName>
    <definedName name="wrn.LBO._.Summary." localSheetId="27" hidden="1">{"LBO Summary",#N/A,FALSE,"Summary"}</definedName>
    <definedName name="wrn.LBO._.Summary." localSheetId="8" hidden="1">{"LBO Summary",#N/A,FALSE,"Summary"}</definedName>
    <definedName name="wrn.LBO._.Summary." localSheetId="15" hidden="1">{"LBO Summary",#N/A,FALSE,"Summary"}</definedName>
    <definedName name="wrn.LBO._.Summary." localSheetId="28" hidden="1">{"LBO Summary",#N/A,FALSE,"Summary"}</definedName>
    <definedName name="wrn.LBO._.Summary." hidden="1">{"LBO Summary",#N/A,FALSE,"Summary"}</definedName>
    <definedName name="wrn.LOUISIANA." localSheetId="1" hidden="1">{#N/A,#N/A,FALSE,"LOCAL.XLS"}</definedName>
    <definedName name="wrn.LOUISIANA." localSheetId="27" hidden="1">{#N/A,#N/A,FALSE,"LOCAL.XLS"}</definedName>
    <definedName name="wrn.LOUISIANA." localSheetId="8" hidden="1">{#N/A,#N/A,FALSE,"LOCAL.XLS"}</definedName>
    <definedName name="wrn.LOUISIANA." localSheetId="15" hidden="1">{#N/A,#N/A,FALSE,"LOCAL.XLS"}</definedName>
    <definedName name="wrn.LOUISIANA." localSheetId="28" hidden="1">{#N/A,#N/A,FALSE,"LOCAL.XLS"}</definedName>
    <definedName name="wrn.LOUISIANA." hidden="1">{#N/A,#N/A,FALSE,"LOCAL.XLS"}</definedName>
    <definedName name="wrn.OR._.Carrying._.Charge._.JV." localSheetId="1" hidden="1">{#N/A,#N/A,FALSE,"Loans";#N/A,#N/A,FALSE,"Program Costs";#N/A,#N/A,FALSE,"Measures";#N/A,#N/A,FALSE,"Net Lost Rev";#N/A,#N/A,FALSE,"Incentive"}</definedName>
    <definedName name="wrn.OR._.Carrying._.Charge._.JV." localSheetId="27"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27"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1" hidden="1">{"LBO Summary",#N/A,FALSE,"Summary";"Income Statement",#N/A,FALSE,"Model";"Cash Flow",#N/A,FALSE,"Model";"Balance Sheet",#N/A,FALSE,"Model";"Working Capital",#N/A,FALSE,"Model";"Pro Forma Balance Sheets",#N/A,FALSE,"PFBS";"Debt Balances",#N/A,FALSE,"Model";"Fee Schedules",#N/A,FALSE,"Model"}</definedName>
    <definedName name="wrn.Print._.All._.Pages." localSheetId="27" hidden="1">{"LBO Summary",#N/A,FALSE,"Summary";"Income Statement",#N/A,FALSE,"Model";"Cash Flow",#N/A,FALSE,"Model";"Balance Sheet",#N/A,FALSE,"Model";"Working Capital",#N/A,FALSE,"Model";"Pro Forma Balance Sheets",#N/A,FALSE,"PFBS";"Debt Balances",#N/A,FALSE,"Model";"Fee Schedules",#N/A,FALSE,"Model"}</definedName>
    <definedName name="wrn.Print._.All._.Pages." localSheetId="8" hidden="1">{"LBO Summary",#N/A,FALSE,"Summary";"Income Statement",#N/A,FALSE,"Model";"Cash Flow",#N/A,FALSE,"Model";"Balance Sheet",#N/A,FALSE,"Model";"Working Capital",#N/A,FALSE,"Model";"Pro Forma Balance Sheets",#N/A,FALSE,"PFBS";"Debt Balances",#N/A,FALSE,"Model";"Fee Schedules",#N/A,FALSE,"Model"}</definedName>
    <definedName name="wrn.Print._.All._.Pages." localSheetId="15" hidden="1">{"LBO Summary",#N/A,FALSE,"Summary";"Income Statement",#N/A,FALSE,"Model";"Cash Flow",#N/A,FALSE,"Model";"Balance Sheet",#N/A,FALSE,"Model";"Working Capital",#N/A,FALSE,"Model";"Pro Forma Balance Sheets",#N/A,FALSE,"PFBS";"Debt Balances",#N/A,FALSE,"Model";"Fee Schedules",#N/A,FALSE,"Model"}</definedName>
    <definedName name="wrn.Print._.All._.Pages." localSheetId="28"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1"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7"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28"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1" hidden="1">{"PRINT",#N/A,TRUE,"APPA";"PRINT",#N/A,TRUE,"APS";"PRINT",#N/A,TRUE,"BHPL";"PRINT",#N/A,TRUE,"BHPL2";"PRINT",#N/A,TRUE,"CDWR";"PRINT",#N/A,TRUE,"EWEB";"PRINT",#N/A,TRUE,"LADWP";"PRINT",#N/A,TRUE,"NEVBASE"}</definedName>
    <definedName name="wrn.SALES._.VAR._.95._.BUDGET." localSheetId="27"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1" hidden="1">{#N/A,#N/A,FALSE,"AP&amp;L"}</definedName>
    <definedName name="wrn.summary." localSheetId="27" hidden="1">{#N/A,#N/A,FALSE,"AP&amp;L"}</definedName>
    <definedName name="wrn.summary." localSheetId="8" hidden="1">{#N/A,#N/A,FALSE,"AP&amp;L"}</definedName>
    <definedName name="wrn.summary." localSheetId="15" hidden="1">{#N/A,#N/A,FALSE,"AP&amp;L"}</definedName>
    <definedName name="wrn.summary." localSheetId="28" hidden="1">{#N/A,#N/A,FALSE,"AP&amp;L"}</definedName>
    <definedName name="wrn.summary." hidden="1">{#N/A,#N/A,FALSE,"AP&amp;L"}</definedName>
    <definedName name="wrn.YearEnd." localSheetId="1" hidden="1">{"Factors Pages 1-2",#N/A,FALSE,"Variables";"Factors Page 3",#N/A,FALSE,"Variables";"Factors Page 4",#N/A,FALSE,"Variables";"Factors Page 5",#N/A,FALSE,"Variables";"YE Pages 7-26",#N/A,FALSE,"Variables"}</definedName>
    <definedName name="wrn.YearEnd." localSheetId="27"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 localSheetId="27">'[19]MISO Cover'!$I$201</definedName>
    <definedName name="WS">'MISO Cover'!$I$201</definedName>
    <definedName name="XLRG_GE" localSheetId="27">#REF!</definedName>
    <definedName name="XLRG_GE">#REF!</definedName>
    <definedName name="XLRG_GJ" localSheetId="27">#REF!</definedName>
    <definedName name="XLRG_GJ">#REF!</definedName>
    <definedName name="Z_1155D18F_BFDD_426B_8E78_817CEB25FB23_.wvu.Cols" localSheetId="11" hidden="1">'WP06 ADIT'!#REF!</definedName>
    <definedName name="Z_1155D18F_BFDD_426B_8E78_817CEB25FB23_.wvu.PrintArea" localSheetId="11" hidden="1">'WP06 ADIT'!$B$1:$N$315</definedName>
    <definedName name="Z_16940A0E_2B20_4241_BF05_A4686E5A0274_.wvu.Cols" localSheetId="11" hidden="1">'WP06 ADIT'!#REF!</definedName>
    <definedName name="Z_16940A0E_2B20_4241_BF05_A4686E5A0274_.wvu.PrintArea" localSheetId="11" hidden="1">'WP06 ADIT'!$B$1:$N$315</definedName>
    <definedName name="Z_28948E05_8F34_4F1E_96FB_A80A6A844600_.wvu.Cols" localSheetId="11" hidden="1">'WP06 ADIT'!#REF!</definedName>
    <definedName name="Z_28948E05_8F34_4F1E_96FB_A80A6A844600_.wvu.PrintArea" localSheetId="11" hidden="1">'WP06 ADIT'!$B$1:$N$315</definedName>
    <definedName name="Z_3768C7C8_9953_11DA_B318_000FB55D51DC_.wvu.PrintArea" localSheetId="6" hidden="1">'WP02 Support'!$A$166:$M$170</definedName>
    <definedName name="Z_3768C7C8_9953_11DA_B318_000FB55D51DC_.wvu.PrintTitles" localSheetId="6" hidden="1">'WP02 Support'!#REF!</definedName>
    <definedName name="Z_3768C7C8_9953_11DA_B318_000FB55D51DC_.wvu.Rows" localSheetId="6" hidden="1">'WP02 Support'!#REF!</definedName>
    <definedName name="Z_3BDD6235_B127_4929_8311_BDAF7BB89818_.wvu.PrintArea" localSheetId="6" hidden="1">'WP02 Support'!$A$166:$M$170</definedName>
    <definedName name="Z_3BDD6235_B127_4929_8311_BDAF7BB89818_.wvu.PrintTitles" localSheetId="6" hidden="1">'WP02 Support'!#REF!</definedName>
    <definedName name="Z_3BDD6235_B127_4929_8311_BDAF7BB89818_.wvu.Rows" localSheetId="6" hidden="1">'WP02 Support'!#REF!</definedName>
    <definedName name="Z_44504B44_F20F_4B6F_B585_74D55BA74563_.wvu.Cols" localSheetId="11" hidden="1">'WP06 ADIT'!#REF!</definedName>
    <definedName name="Z_44504B44_F20F_4B6F_B585_74D55BA74563_.wvu.PrintArea" localSheetId="11" hidden="1">'WP06 ADIT'!$B$1:$N$315</definedName>
    <definedName name="Z_63011E91_4609_4523_98FE_FD252E915668_.wvu.Cols" localSheetId="11" hidden="1">'WP06 ADIT'!#REF!</definedName>
    <definedName name="Z_63011E91_4609_4523_98FE_FD252E915668_.wvu.PrintArea" localSheetId="4" hidden="1">'WP01 True-Up'!#REF!</definedName>
    <definedName name="Z_63011E91_4609_4523_98FE_FD252E915668_.wvu.PrintArea" localSheetId="10" hidden="1">'WP05 CapAds'!$A$2:$D$23</definedName>
    <definedName name="Z_63011E91_4609_4523_98FE_FD252E915668_.wvu.PrintArea" localSheetId="11" hidden="1">'WP06 ADIT'!$B$1:$N$315</definedName>
    <definedName name="Z_71B42B22_A376_44B5_B0C1_23FC1AA3DBA2_.wvu.Cols" localSheetId="11" hidden="1">'WP06 ADIT'!#REF!</definedName>
    <definedName name="Z_71B42B22_A376_44B5_B0C1_23FC1AA3DBA2_.wvu.PrintArea" localSheetId="11" hidden="1">'WP06 ADIT'!$B$1:$N$315</definedName>
    <definedName name="Z_B0241363_5C8A_48FC_89A6_56D55586BABE_.wvu.PrintArea" localSheetId="6" hidden="1">'WP02 Support'!$A$166:$M$170</definedName>
    <definedName name="Z_B0241363_5C8A_48FC_89A6_56D55586BABE_.wvu.PrintTitles" localSheetId="6" hidden="1">'WP02 Support'!#REF!</definedName>
    <definedName name="Z_B0241363_5C8A_48FC_89A6_56D55586BABE_.wvu.Rows" localSheetId="6" hidden="1">'WP02 Support'!#REF!</definedName>
    <definedName name="Z_B647CB7F_C846_4278_B6B1_1EF7F3C004F5_.wvu.Cols" localSheetId="11" hidden="1">'WP06 ADIT'!#REF!</definedName>
    <definedName name="Z_B647CB7F_C846_4278_B6B1_1EF7F3C004F5_.wvu.PrintArea" localSheetId="11" hidden="1">'WP06 ADIT'!$B$1:$N$315</definedName>
    <definedName name="Z_C0EA0F9F_7310_4201_82C9_7B8FC8DB9137_.wvu.PrintArea" localSheetId="6" hidden="1">'WP02 Support'!$A$166:$M$170</definedName>
    <definedName name="Z_C0EA0F9F_7310_4201_82C9_7B8FC8DB9137_.wvu.PrintTitles" localSheetId="6" hidden="1">'WP02 Support'!#REF!</definedName>
    <definedName name="Z_C0EA0F9F_7310_4201_82C9_7B8FC8DB9137_.wvu.Rows" localSheetId="6" hidden="1">'WP02 Support'!#REF!</definedName>
    <definedName name="Z_DC91DEF3_837B_4BB9_A81E_3B78C5914E6C_.wvu.Cols" localSheetId="11" hidden="1">'WP06 ADIT'!#REF!</definedName>
    <definedName name="Z_DC91DEF3_837B_4BB9_A81E_3B78C5914E6C_.wvu.PrintArea" localSheetId="11" hidden="1">'WP06 ADIT'!$B$1:$N$315</definedName>
    <definedName name="Z_FAAD9AAC_1337_43AB_BF1F_CCF9DFCF5B78_.wvu.Cols" localSheetId="11" hidden="1">'WP06 ADIT'!#REF!</definedName>
    <definedName name="Z_FAAD9AAC_1337_43AB_BF1F_CCF9DFCF5B78_.wvu.PrintArea" localSheetId="11" hidden="1">'WP06 ADIT'!$B$1:$N$315</definedName>
    <definedName name="Zone_Inputs" localSheetId="1">'[14]Attachment O'!$I$19,'[14]Attachment O'!$I$24,'[14]Attachment O'!$D$36:$D$37,'[14]Attachment O'!$D$82:$D$86,'[14]Attachment O'!$D$90:$D$94,'[14]Attachment O'!$D$106:$D$112,'[14]Attachment O'!$D$116,'[14]Attachment O'!$D$120:$D$121,'[14]Attachment O'!$D$139:$D$146,'[14]Attachment O'!$D$150:$D$154,'[14]Attachment O'!$D$159:$D$160,'[14]Attachment O'!$D$162:$D$165,'[14]Attachment O'!$D$174,'[14]Attachment O'!$D$174,'[14]Attachment O'!$D$178,'[14]Attachment O'!$I$188,'[14]Attachment O'!$D$188,'[14]Attachment O'!$D$192,'[14]Attachment O'!$I$192,'[14]Attachment O'!$I$207:$I$208,'[14]Attachment O'!$D$214:$D$217,'[14]Attachment O'!$D$221:$D$223,'[14]Attachment O'!$I$227,'[14]Attachment O'!$I$229,'[14]Attachment O'!$I$232,'[14]Attachment O'!$D$238:$D$239,'[14]Attachment O'!$I$243,'[14]Attachment O'!$I$246:$I$249,'[14]Attachment O'!$D$280:$D$282</definedName>
    <definedName name="Zone_Inputs" localSheetId="27">'[15]Attachment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 name="Zone_Inputs" localSheetId="8">'[14]Attachment O'!$I$19,'[14]Attachment O'!$I$24,'[14]Attachment O'!$D$36:$D$37,'[14]Attachment O'!$D$82:$D$86,'[14]Attachment O'!$D$90:$D$94,'[14]Attachment O'!$D$106:$D$112,'[14]Attachment O'!$D$116,'[14]Attachment O'!$D$120:$D$121,'[14]Attachment O'!$D$139:$D$146,'[14]Attachment O'!$D$150:$D$154,'[14]Attachment O'!$D$159:$D$160,'[14]Attachment O'!$D$162:$D$165,'[14]Attachment O'!$D$174,'[14]Attachment O'!$D$174,'[14]Attachment O'!$D$178,'[14]Attachment O'!$I$188,'[14]Attachment O'!$D$188,'[14]Attachment O'!$D$192,'[14]Attachment O'!$I$192,'[14]Attachment O'!$I$207:$I$208,'[14]Attachment O'!$D$214:$D$217,'[14]Attachment O'!$D$221:$D$223,'[14]Attachment O'!$I$227,'[14]Attachment O'!$I$229,'[14]Attachment O'!$I$232,'[14]Attachment O'!$D$238:$D$239,'[14]Attachment O'!$I$243,'[14]Attachment O'!$I$246:$I$249,'[14]Attachment O'!$D$280:$D$282</definedName>
    <definedName name="Zone_Inputs" localSheetId="28">'[14]Attachment O'!$I$19,'[14]Attachment O'!$I$24,'[14]Attachment O'!$D$36:$D$37,'[14]Attachment O'!$D$82:$D$86,'[14]Attachment O'!$D$90:$D$94,'[14]Attachment O'!$D$106:$D$112,'[14]Attachment O'!$D$116,'[14]Attachment O'!$D$120:$D$121,'[14]Attachment O'!$D$139:$D$146,'[14]Attachment O'!$D$150:$D$154,'[14]Attachment O'!$D$159:$D$160,'[14]Attachment O'!$D$162:$D$165,'[14]Attachment O'!$D$174,'[14]Attachment O'!$D$174,'[14]Attachment O'!$D$178,'[14]Attachment O'!$I$188,'[14]Attachment O'!$D$188,'[14]Attachment O'!$D$192,'[14]Attachment O'!$I$192,'[14]Attachment O'!$I$207:$I$208,'[14]Attachment O'!$D$214:$D$217,'[14]Attachment O'!$D$221:$D$223,'[14]Attachment O'!$I$227,'[14]Attachment O'!$I$229,'[14]Attachment O'!$I$232,'[14]Attachment O'!$D$238:$D$239,'[14]Attachment O'!$I$243,'[14]Attachment O'!$I$246:$I$249,'[14]Attachment O'!$D$280:$D$282</definedName>
    <definedName name="Zone_Inputs">'[14]Attachment O'!$I$19,'[14]Attachment O'!$I$24,'[14]Attachment O'!$D$36:$D$37,'[14]Attachment O'!$D$82:$D$86,'[14]Attachment O'!$D$90:$D$94,'[14]Attachment O'!$D$106:$D$112,'[14]Attachment O'!$D$116,'[14]Attachment O'!$D$120:$D$121,'[14]Attachment O'!$D$139:$D$146,'[14]Attachment O'!$D$150:$D$154,'[14]Attachment O'!$D$159:$D$160,'[14]Attachment O'!$D$162:$D$165,'[14]Attachment O'!$D$174,'[14]Attachment O'!$D$174,'[14]Attachment O'!$D$178,'[14]Attachment O'!$I$188,'[14]Attachment O'!$D$188,'[14]Attachment O'!$D$192,'[14]Attachment O'!$I$192,'[14]Attachment O'!$I$207:$I$208,'[14]Attachment O'!$D$214:$D$217,'[14]Attachment O'!$D$221:$D$223,'[14]Attachment O'!$I$227,'[14]Attachment O'!$I$229,'[14]Attachment O'!$I$232,'[14]Attachment O'!$D$238:$D$239,'[14]Attachment O'!$I$243,'[14]Attachment O'!$I$246:$I$249,'[14]Attachment O'!$D$280:$D$282</definedName>
  </definedNames>
  <calcPr calcId="145621" concurrentCalc="0"/>
  <customWorkbookViews>
    <customWorkbookView name="alan - Personal View" guid="{1155D18F-BFDD-426B-8E78-817CEB25FB23}" mergeInterval="0" personalView="1" maximized="1" windowWidth="1009" windowHeight="568" tabRatio="809" activeSheetId="1"/>
    <customWorkbookView name="Preferred Customer - Personal View" guid="{DC91DEF3-837B-4BB9-A81E-3B78C5914E6C}" mergeInterval="0" personalView="1" maximized="1" windowWidth="1020" windowHeight="603" tabRatio="809" activeSheetId="2"/>
    <customWorkbookView name="Dana Olds - Personal View" guid="{63011E91-4609-4523-98FE-FD252E915668}" mergeInterval="0" personalView="1" maximized="1" windowWidth="1020" windowHeight="605" tabRatio="809" activeSheetId="11"/>
    <customWorkbookView name="wdbooth - Personal View" guid="{B647CB7F-C846-4278-B6B1-1EF7F3C004F5}" mergeInterval="0" personalView="1" maximized="1" windowWidth="756" windowHeight="354" tabRatio="809" activeSheetId="9"/>
    <customWorkbookView name="Helen Hight - Personal View" guid="{28948E05-8F34-4F1E-96FB-A80A6A844600}" mergeInterval="0" personalView="1" maximized="1" windowWidth="1020" windowHeight="570" tabRatio="809" activeSheetId="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92" tabRatio="809" activeSheetId="4"/>
    <customWorkbookView name="z93536 - Personal View" guid="{44504B44-F20F-4B6F-B585-74D55BA74563}" mergeInterval="0" personalView="1" maximized="1" windowWidth="1020" windowHeight="579" tabRatio="809" activeSheetId="1"/>
    <customWorkbookView name="Ken Lee - Personal View" guid="{16940A0E-2B20-4241-BF05-A4686E5A0274}" mergeInterval="0" personalView="1" maximized="1" windowWidth="1020" windowHeight="593" tabRatio="809" activeSheetId="1"/>
  </customWorkbookViews>
</workbook>
</file>

<file path=xl/calcChain.xml><?xml version="1.0" encoding="utf-8"?>
<calcChain xmlns="http://schemas.openxmlformats.org/spreadsheetml/2006/main">
  <c r="A3" i="95" l="1"/>
  <c r="A3" i="96"/>
  <c r="C33" i="111"/>
  <c r="C32" i="111"/>
  <c r="A9" i="111"/>
  <c r="B28" i="111"/>
  <c r="A10" i="111"/>
  <c r="A11" i="111"/>
  <c r="A12" i="111"/>
  <c r="A13" i="111"/>
  <c r="A14" i="111"/>
  <c r="A15" i="111"/>
  <c r="A16" i="111"/>
  <c r="A17" i="111"/>
  <c r="A18" i="111"/>
  <c r="A19" i="111"/>
  <c r="A20" i="111"/>
  <c r="A21" i="111"/>
  <c r="A22" i="111"/>
  <c r="A23" i="111"/>
  <c r="A24" i="111"/>
  <c r="A25" i="111"/>
  <c r="A26" i="111"/>
  <c r="A27" i="111"/>
  <c r="A28" i="111"/>
  <c r="C34" i="111"/>
  <c r="L10" i="108"/>
  <c r="J10" i="108"/>
  <c r="L11" i="108"/>
  <c r="E29" i="102"/>
  <c r="D29" i="102"/>
  <c r="K10" i="108"/>
  <c r="C11" i="108"/>
  <c r="N11" i="108"/>
  <c r="C10" i="108"/>
  <c r="K9" i="108"/>
  <c r="K8" i="108"/>
  <c r="K7" i="108"/>
  <c r="J7" i="108"/>
  <c r="F7" i="108"/>
  <c r="C9" i="108"/>
  <c r="C8" i="108"/>
  <c r="C7" i="108"/>
  <c r="D9" i="108"/>
  <c r="L9" i="108"/>
  <c r="D8" i="108"/>
  <c r="L8" i="108"/>
  <c r="D7" i="108"/>
  <c r="L7" i="108"/>
  <c r="A10" i="105"/>
  <c r="A11" i="105"/>
  <c r="A12" i="105"/>
  <c r="A13" i="105"/>
  <c r="A14" i="105"/>
  <c r="A15" i="105"/>
  <c r="A16" i="105"/>
  <c r="A17" i="105"/>
  <c r="A18" i="105"/>
  <c r="A19" i="105"/>
  <c r="A20" i="105"/>
  <c r="A21" i="105"/>
  <c r="A22" i="105"/>
  <c r="G22" i="105"/>
  <c r="H22" i="105"/>
  <c r="A23" i="105"/>
  <c r="A24" i="105"/>
  <c r="A25" i="105"/>
  <c r="G25" i="105"/>
  <c r="H25" i="105"/>
  <c r="A26" i="105"/>
  <c r="A27" i="105"/>
  <c r="A28" i="105"/>
  <c r="A29" i="105"/>
  <c r="G29" i="105"/>
  <c r="H29" i="105"/>
  <c r="A30" i="105"/>
  <c r="A31" i="105"/>
  <c r="A32" i="105"/>
  <c r="A33" i="105"/>
  <c r="A36" i="105"/>
  <c r="A37" i="105"/>
  <c r="E37" i="105"/>
  <c r="G37" i="105"/>
  <c r="H37" i="105"/>
  <c r="F37" i="105"/>
  <c r="I37" i="105"/>
  <c r="A38" i="105"/>
  <c r="E38" i="105"/>
  <c r="G38" i="105"/>
  <c r="H38" i="105"/>
  <c r="F38" i="105"/>
  <c r="I38" i="105"/>
  <c r="A39" i="105"/>
  <c r="E39" i="105"/>
  <c r="G39" i="105"/>
  <c r="H39" i="105"/>
  <c r="F39" i="105"/>
  <c r="I39" i="105"/>
  <c r="A40" i="105"/>
  <c r="E40" i="105"/>
  <c r="G40" i="105"/>
  <c r="H40" i="105"/>
  <c r="F40" i="105"/>
  <c r="I40" i="105"/>
  <c r="A41" i="105"/>
  <c r="E41" i="105"/>
  <c r="G41" i="105"/>
  <c r="H41" i="105"/>
  <c r="F41" i="105"/>
  <c r="I41" i="105"/>
  <c r="A42" i="105"/>
  <c r="E42" i="105"/>
  <c r="G42" i="105"/>
  <c r="H42" i="105"/>
  <c r="F42" i="105"/>
  <c r="I42" i="105"/>
  <c r="A43" i="105"/>
  <c r="E43" i="105"/>
  <c r="G43" i="105"/>
  <c r="H43" i="105"/>
  <c r="F43" i="105"/>
  <c r="I43" i="105"/>
  <c r="A44" i="105"/>
  <c r="E44" i="105"/>
  <c r="G44" i="105"/>
  <c r="H44" i="105"/>
  <c r="F44" i="105"/>
  <c r="I44" i="105"/>
  <c r="A45" i="105"/>
  <c r="E45" i="105"/>
  <c r="G45" i="105"/>
  <c r="H45" i="105"/>
  <c r="F45" i="105"/>
  <c r="I45" i="105"/>
  <c r="A46" i="105"/>
  <c r="E46" i="105"/>
  <c r="G46" i="105"/>
  <c r="H46" i="105"/>
  <c r="F46" i="105"/>
  <c r="I46" i="105"/>
  <c r="A47" i="105"/>
  <c r="E47" i="105"/>
  <c r="G47" i="105"/>
  <c r="H47" i="105"/>
  <c r="F47" i="105"/>
  <c r="I47" i="105"/>
  <c r="A48" i="105"/>
  <c r="E48" i="105"/>
  <c r="G48" i="105"/>
  <c r="H48" i="105"/>
  <c r="F48" i="105"/>
  <c r="I48" i="105"/>
  <c r="A49" i="105"/>
  <c r="E49" i="105"/>
  <c r="H49" i="105"/>
  <c r="F49" i="105"/>
  <c r="I49" i="105"/>
  <c r="A50" i="105"/>
  <c r="E50" i="105"/>
  <c r="H50" i="105"/>
  <c r="F50" i="105"/>
  <c r="I50" i="105"/>
  <c r="A51" i="105"/>
  <c r="E51" i="105"/>
  <c r="H51" i="105"/>
  <c r="F51" i="105"/>
  <c r="I51" i="105"/>
  <c r="A52" i="105"/>
  <c r="E52" i="105"/>
  <c r="H52" i="105"/>
  <c r="F52" i="105"/>
  <c r="I52" i="105"/>
  <c r="A53" i="105"/>
  <c r="E53" i="105"/>
  <c r="H53" i="105"/>
  <c r="F53" i="105"/>
  <c r="I53" i="105"/>
  <c r="A54" i="105"/>
  <c r="E54" i="105"/>
  <c r="H54" i="105"/>
  <c r="F54" i="105"/>
  <c r="I54" i="105"/>
  <c r="A55" i="105"/>
  <c r="E55" i="105"/>
  <c r="G55" i="105"/>
  <c r="H55" i="105"/>
  <c r="F55" i="105"/>
  <c r="I55" i="105"/>
  <c r="A56" i="105"/>
  <c r="E56" i="105"/>
  <c r="G56" i="105"/>
  <c r="H56" i="105"/>
  <c r="F56" i="105"/>
  <c r="I56" i="105"/>
  <c r="A57" i="105"/>
  <c r="E57" i="105"/>
  <c r="G57" i="105"/>
  <c r="H57" i="105"/>
  <c r="F57" i="105"/>
  <c r="I57" i="105"/>
  <c r="A58" i="105"/>
  <c r="E58" i="105"/>
  <c r="G58" i="105"/>
  <c r="H58" i="105"/>
  <c r="F58" i="105"/>
  <c r="I58" i="105"/>
  <c r="A59" i="105"/>
  <c r="E59" i="105"/>
  <c r="G59" i="105"/>
  <c r="H59" i="105"/>
  <c r="F59" i="105"/>
  <c r="I59" i="105"/>
  <c r="A60" i="105"/>
  <c r="E60" i="105"/>
  <c r="G60" i="105"/>
  <c r="H60" i="105"/>
  <c r="F60" i="105"/>
  <c r="I60" i="105"/>
  <c r="A61" i="105"/>
  <c r="E61" i="105"/>
  <c r="G61" i="105"/>
  <c r="H61" i="105"/>
  <c r="F61" i="105"/>
  <c r="I61" i="105"/>
  <c r="A62" i="105"/>
  <c r="E62" i="105"/>
  <c r="G62" i="105"/>
  <c r="H62" i="105"/>
  <c r="F62" i="105"/>
  <c r="I62" i="105"/>
  <c r="M62" i="105"/>
  <c r="A63" i="105"/>
  <c r="E63" i="105"/>
  <c r="G63" i="105"/>
  <c r="H63" i="105"/>
  <c r="F63" i="105"/>
  <c r="I63" i="105"/>
  <c r="A64" i="105"/>
  <c r="E64" i="105"/>
  <c r="G64" i="105"/>
  <c r="H64" i="105"/>
  <c r="F64" i="105"/>
  <c r="I64" i="105"/>
  <c r="M64" i="105"/>
  <c r="A65" i="105"/>
  <c r="E65" i="105"/>
  <c r="F65" i="105"/>
  <c r="G65" i="105"/>
  <c r="I65" i="105"/>
  <c r="A66" i="105"/>
  <c r="F66" i="105"/>
  <c r="H66" i="105"/>
  <c r="A67" i="105"/>
  <c r="F67" i="105"/>
  <c r="H67" i="105"/>
  <c r="A68" i="105"/>
  <c r="F68" i="105"/>
  <c r="H68" i="105"/>
  <c r="G69" i="105"/>
  <c r="G58" i="95"/>
  <c r="J9" i="108"/>
  <c r="I12" i="108"/>
  <c r="H12" i="108"/>
  <c r="G12" i="108"/>
  <c r="F12" i="108"/>
  <c r="E12" i="108"/>
  <c r="D12" i="108"/>
  <c r="A10" i="108"/>
  <c r="A11" i="108"/>
  <c r="A12" i="108"/>
  <c r="A30" i="102"/>
  <c r="A31" i="102"/>
  <c r="K22" i="103"/>
  <c r="K21" i="103"/>
  <c r="K20" i="103"/>
  <c r="K19" i="103"/>
  <c r="K18" i="103"/>
  <c r="K17" i="103"/>
  <c r="K16" i="103"/>
  <c r="K15" i="103"/>
  <c r="K14" i="103"/>
  <c r="K13" i="103"/>
  <c r="K12" i="103"/>
  <c r="K11" i="103"/>
  <c r="K10" i="103"/>
  <c r="F164" i="75"/>
  <c r="F163" i="75"/>
  <c r="A35" i="66"/>
  <c r="F161" i="75"/>
  <c r="E165" i="75"/>
  <c r="E164" i="75"/>
  <c r="A9" i="102"/>
  <c r="A10" i="102"/>
  <c r="A11" i="102"/>
  <c r="A12" i="102"/>
  <c r="A13" i="102"/>
  <c r="A14" i="102"/>
  <c r="A15" i="102"/>
  <c r="A16" i="102"/>
  <c r="A17" i="102"/>
  <c r="A18" i="102"/>
  <c r="A19" i="102"/>
  <c r="A20" i="102"/>
  <c r="A21" i="102"/>
  <c r="A22" i="102"/>
  <c r="A23" i="102"/>
  <c r="A24" i="102"/>
  <c r="A25" i="102"/>
  <c r="A26" i="102"/>
  <c r="F28" i="102"/>
  <c r="A29" i="66"/>
  <c r="A30" i="66"/>
  <c r="A31" i="66"/>
  <c r="A32" i="66"/>
  <c r="A33" i="66"/>
  <c r="A34" i="66"/>
  <c r="A8" i="66"/>
  <c r="A24" i="66"/>
  <c r="A25" i="66"/>
  <c r="A26" i="66"/>
  <c r="A27" i="66"/>
  <c r="A28" i="66"/>
  <c r="A9" i="66"/>
  <c r="A10" i="66"/>
  <c r="A11" i="66"/>
  <c r="A12" i="66"/>
  <c r="A13" i="66"/>
  <c r="A14" i="66"/>
  <c r="A15" i="66"/>
  <c r="A16" i="66"/>
  <c r="A17" i="66"/>
  <c r="A18" i="66"/>
  <c r="A19" i="66"/>
  <c r="A20" i="66"/>
  <c r="A21" i="66"/>
  <c r="A22" i="66"/>
  <c r="A23" i="66"/>
  <c r="E8" i="98"/>
  <c r="E25" i="98"/>
  <c r="A25" i="98"/>
  <c r="E9" i="98"/>
  <c r="E10" i="98"/>
  <c r="E11" i="98"/>
  <c r="E12" i="98"/>
  <c r="E13" i="98"/>
  <c r="E14" i="98"/>
  <c r="E15" i="98"/>
  <c r="E16" i="98"/>
  <c r="E17" i="98"/>
  <c r="E18" i="98"/>
  <c r="E19" i="98"/>
  <c r="E20" i="98"/>
  <c r="E21" i="98"/>
  <c r="E22" i="98"/>
  <c r="D8" i="98"/>
  <c r="C9" i="98"/>
  <c r="D9" i="98"/>
  <c r="C10" i="98"/>
  <c r="D10" i="98"/>
  <c r="C11" i="98"/>
  <c r="D11" i="98"/>
  <c r="C12" i="98"/>
  <c r="D12" i="98"/>
  <c r="C13" i="98"/>
  <c r="D13" i="98"/>
  <c r="C14" i="98"/>
  <c r="D14" i="98"/>
  <c r="C15" i="98"/>
  <c r="D15" i="98"/>
  <c r="C16" i="98"/>
  <c r="D16" i="98"/>
  <c r="C17" i="98"/>
  <c r="D17" i="98"/>
  <c r="C18" i="98"/>
  <c r="D18" i="98"/>
  <c r="C19" i="98"/>
  <c r="D19" i="98"/>
  <c r="C20" i="98"/>
  <c r="D20" i="98"/>
  <c r="C21" i="98"/>
  <c r="D21" i="98"/>
  <c r="C22" i="98"/>
  <c r="D22" i="98"/>
  <c r="B9" i="98"/>
  <c r="B10" i="98"/>
  <c r="B11" i="98"/>
  <c r="B12" i="98"/>
  <c r="B13" i="98"/>
  <c r="B14" i="98"/>
  <c r="B15" i="98"/>
  <c r="B16" i="98"/>
  <c r="B17" i="98"/>
  <c r="B18" i="98"/>
  <c r="B19" i="98"/>
  <c r="B20" i="98"/>
  <c r="B21" i="98"/>
  <c r="B22" i="98"/>
  <c r="A8" i="98"/>
  <c r="A9" i="98"/>
  <c r="A10" i="98"/>
  <c r="A11" i="98"/>
  <c r="A12" i="98"/>
  <c r="A13" i="98"/>
  <c r="A14" i="98"/>
  <c r="A15" i="98"/>
  <c r="A16" i="98"/>
  <c r="A17" i="98"/>
  <c r="A18" i="98"/>
  <c r="A19" i="98"/>
  <c r="A20" i="98"/>
  <c r="A21" i="98"/>
  <c r="A22" i="98"/>
  <c r="A4" i="109"/>
  <c r="A1" i="109"/>
  <c r="E9" i="102"/>
  <c r="E10" i="102"/>
  <c r="E13" i="102"/>
  <c r="E14" i="102"/>
  <c r="E17" i="102"/>
  <c r="E18" i="102"/>
  <c r="E21" i="102"/>
  <c r="E22" i="102"/>
  <c r="E25" i="102"/>
  <c r="E26" i="102"/>
  <c r="E28" i="102"/>
  <c r="E31" i="102"/>
  <c r="E228" i="2"/>
  <c r="E230" i="2"/>
  <c r="A1" i="78"/>
  <c r="D229" i="2"/>
  <c r="M229" i="2"/>
  <c r="L229" i="2"/>
  <c r="K229" i="2"/>
  <c r="J229" i="2"/>
  <c r="I229" i="2"/>
  <c r="H229" i="2"/>
  <c r="G229" i="2"/>
  <c r="F229" i="2"/>
  <c r="E229" i="2"/>
  <c r="F222" i="2"/>
  <c r="F221" i="2"/>
  <c r="F220" i="2"/>
  <c r="F219" i="2"/>
  <c r="J222" i="2"/>
  <c r="J221" i="2"/>
  <c r="J220" i="2"/>
  <c r="J219"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37" i="2"/>
  <c r="A138" i="2"/>
  <c r="A139" i="2"/>
  <c r="A140" i="2"/>
  <c r="A141" i="2"/>
  <c r="A142"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Q34" i="73"/>
  <c r="D69" i="73"/>
  <c r="H69" i="73"/>
  <c r="Q33" i="73"/>
  <c r="D68" i="73"/>
  <c r="E68" i="73"/>
  <c r="Q32" i="73"/>
  <c r="D67" i="73"/>
  <c r="E67" i="73"/>
  <c r="Q31" i="73"/>
  <c r="D66" i="73"/>
  <c r="E66" i="73"/>
  <c r="Q30" i="73"/>
  <c r="D65" i="73"/>
  <c r="H65" i="73"/>
  <c r="Q29" i="73"/>
  <c r="D64" i="73"/>
  <c r="E64" i="73"/>
  <c r="Q28" i="73"/>
  <c r="D63" i="73"/>
  <c r="E63" i="73"/>
  <c r="Q27" i="73"/>
  <c r="D62" i="73"/>
  <c r="H62" i="73"/>
  <c r="Q26" i="73"/>
  <c r="D61" i="73"/>
  <c r="E61" i="73"/>
  <c r="Q25" i="73"/>
  <c r="D60" i="73"/>
  <c r="H60" i="73"/>
  <c r="Q24" i="73"/>
  <c r="D59" i="73"/>
  <c r="E59" i="73"/>
  <c r="Q23" i="73"/>
  <c r="D58" i="73"/>
  <c r="B45" i="73"/>
  <c r="B46" i="73"/>
  <c r="B47" i="73"/>
  <c r="B48" i="73"/>
  <c r="B49" i="73"/>
  <c r="B50" i="73"/>
  <c r="B51" i="73"/>
  <c r="B52" i="73"/>
  <c r="B53" i="73"/>
  <c r="B54" i="73"/>
  <c r="B55" i="73"/>
  <c r="B56" i="73"/>
  <c r="B57" i="73"/>
  <c r="B58" i="73"/>
  <c r="B59" i="73"/>
  <c r="B60" i="73"/>
  <c r="B61" i="73"/>
  <c r="B62" i="73"/>
  <c r="B63" i="73"/>
  <c r="B64" i="73"/>
  <c r="B65" i="73"/>
  <c r="B66" i="73"/>
  <c r="B67" i="73"/>
  <c r="B68" i="73"/>
  <c r="B69" i="73"/>
  <c r="Q35" i="73"/>
  <c r="D70" i="73"/>
  <c r="C70" i="73"/>
  <c r="A70" i="73"/>
  <c r="A60" i="73"/>
  <c r="A61" i="73"/>
  <c r="A62" i="73"/>
  <c r="A63" i="73"/>
  <c r="A64" i="73"/>
  <c r="A65" i="73"/>
  <c r="A66" i="73"/>
  <c r="A67" i="73"/>
  <c r="A68" i="73"/>
  <c r="A69" i="73"/>
  <c r="A3" i="108"/>
  <c r="A1" i="108"/>
  <c r="I99" i="77"/>
  <c r="I98" i="77"/>
  <c r="I97" i="77"/>
  <c r="K15" i="55"/>
  <c r="K67" i="55"/>
  <c r="D143" i="77"/>
  <c r="E16" i="93"/>
  <c r="E8" i="93"/>
  <c r="E9" i="93"/>
  <c r="E10" i="93"/>
  <c r="E11" i="93"/>
  <c r="E12" i="93"/>
  <c r="E13" i="93"/>
  <c r="E14" i="93"/>
  <c r="E15" i="93"/>
  <c r="E17" i="93"/>
  <c r="E18" i="93"/>
  <c r="E19" i="93"/>
  <c r="E20" i="93"/>
  <c r="E21" i="93"/>
  <c r="E22" i="93"/>
  <c r="E23" i="93"/>
  <c r="E24" i="93"/>
  <c r="E45" i="93"/>
  <c r="D94" i="77"/>
  <c r="D53" i="93"/>
  <c r="D58" i="93"/>
  <c r="D59" i="93"/>
  <c r="D22" i="77"/>
  <c r="D25" i="102"/>
  <c r="F40" i="62"/>
  <c r="F28" i="62"/>
  <c r="D21" i="102"/>
  <c r="D17" i="102"/>
  <c r="D13" i="102"/>
  <c r="D9" i="102"/>
  <c r="A8" i="73"/>
  <c r="A9" i="73"/>
  <c r="A10" i="73"/>
  <c r="A11" i="73"/>
  <c r="A12" i="73"/>
  <c r="A13" i="73"/>
  <c r="A14" i="73"/>
  <c r="A15" i="73"/>
  <c r="A16" i="73"/>
  <c r="A17" i="73"/>
  <c r="A18" i="73"/>
  <c r="A19" i="73"/>
  <c r="A20" i="73"/>
  <c r="A21" i="73"/>
  <c r="A22" i="73"/>
  <c r="A23" i="73"/>
  <c r="A24" i="73"/>
  <c r="A25" i="73"/>
  <c r="A26" i="73"/>
  <c r="A27" i="73"/>
  <c r="A28" i="73"/>
  <c r="A29" i="73"/>
  <c r="A30" i="73"/>
  <c r="A31" i="73"/>
  <c r="A32" i="73"/>
  <c r="A33" i="73"/>
  <c r="A34" i="73"/>
  <c r="A35" i="73"/>
  <c r="G10" i="49"/>
  <c r="G9" i="49"/>
  <c r="G13" i="49"/>
  <c r="G25" i="49"/>
  <c r="G39" i="49"/>
  <c r="C39" i="49"/>
  <c r="G140" i="86"/>
  <c r="A140" i="86"/>
  <c r="G143" i="86"/>
  <c r="G142" i="86"/>
  <c r="G141" i="86"/>
  <c r="G139" i="86"/>
  <c r="G138" i="86"/>
  <c r="G137" i="86"/>
  <c r="G136" i="86"/>
  <c r="G135" i="86"/>
  <c r="G134" i="86"/>
  <c r="G133" i="86"/>
  <c r="G132" i="86"/>
  <c r="G131" i="86"/>
  <c r="G130" i="86"/>
  <c r="G129" i="86"/>
  <c r="G128" i="86"/>
  <c r="G127" i="86"/>
  <c r="G126" i="86"/>
  <c r="G125" i="86"/>
  <c r="G124" i="86"/>
  <c r="G123" i="86"/>
  <c r="G122" i="86"/>
  <c r="G121" i="86"/>
  <c r="G120" i="86"/>
  <c r="G119" i="86"/>
  <c r="G118" i="86"/>
  <c r="G117" i="86"/>
  <c r="G116" i="86"/>
  <c r="G115" i="86"/>
  <c r="G114" i="86"/>
  <c r="G113" i="86"/>
  <c r="G112" i="86"/>
  <c r="G111" i="86"/>
  <c r="G110" i="86"/>
  <c r="G109" i="86"/>
  <c r="G108" i="86"/>
  <c r="G107" i="86"/>
  <c r="G106" i="86"/>
  <c r="G105" i="86"/>
  <c r="G104" i="86"/>
  <c r="G103" i="86"/>
  <c r="G102" i="86"/>
  <c r="G101" i="86"/>
  <c r="G100" i="86"/>
  <c r="G99" i="86"/>
  <c r="G98" i="86"/>
  <c r="G97" i="86"/>
  <c r="G96" i="86"/>
  <c r="G95" i="86"/>
  <c r="G94" i="86"/>
  <c r="G93" i="86"/>
  <c r="G92" i="86"/>
  <c r="G91" i="86"/>
  <c r="G90" i="86"/>
  <c r="G89" i="86"/>
  <c r="G88" i="86"/>
  <c r="G87" i="86"/>
  <c r="G86" i="86"/>
  <c r="G85" i="86"/>
  <c r="G84" i="86"/>
  <c r="G83" i="86"/>
  <c r="G82" i="86"/>
  <c r="G81" i="86"/>
  <c r="G80" i="86"/>
  <c r="G79" i="86"/>
  <c r="G78" i="86"/>
  <c r="G77" i="86"/>
  <c r="G76" i="86"/>
  <c r="G75" i="86"/>
  <c r="G74" i="86"/>
  <c r="G73" i="86"/>
  <c r="G72" i="86"/>
  <c r="G71" i="86"/>
  <c r="G70" i="86"/>
  <c r="G69" i="86"/>
  <c r="G68" i="86"/>
  <c r="G67" i="86"/>
  <c r="G66" i="86"/>
  <c r="G65" i="86"/>
  <c r="G64" i="86"/>
  <c r="G63" i="86"/>
  <c r="G62" i="86"/>
  <c r="G61" i="86"/>
  <c r="G60" i="86"/>
  <c r="G59" i="86"/>
  <c r="G58" i="86"/>
  <c r="G57" i="86"/>
  <c r="G56" i="86"/>
  <c r="G55" i="86"/>
  <c r="G54" i="86"/>
  <c r="G53" i="86"/>
  <c r="G52" i="86"/>
  <c r="G51" i="86"/>
  <c r="G50" i="86"/>
  <c r="G49" i="86"/>
  <c r="G48" i="86"/>
  <c r="G47" i="86"/>
  <c r="G46" i="86"/>
  <c r="G45" i="86"/>
  <c r="G44" i="86"/>
  <c r="G43" i="86"/>
  <c r="G42" i="86"/>
  <c r="G41" i="86"/>
  <c r="G40" i="86"/>
  <c r="G39" i="86"/>
  <c r="G38" i="86"/>
  <c r="G37" i="86"/>
  <c r="G36" i="86"/>
  <c r="G35" i="86"/>
  <c r="G34" i="86"/>
  <c r="G33" i="86"/>
  <c r="G32" i="86"/>
  <c r="G31" i="86"/>
  <c r="G30" i="86"/>
  <c r="G29" i="86"/>
  <c r="G28" i="86"/>
  <c r="G27" i="86"/>
  <c r="G26" i="86"/>
  <c r="G25" i="86"/>
  <c r="G24" i="86"/>
  <c r="G23" i="86"/>
  <c r="G22" i="86"/>
  <c r="G21" i="86"/>
  <c r="G20" i="86"/>
  <c r="G19" i="86"/>
  <c r="G18" i="86"/>
  <c r="G17" i="86"/>
  <c r="G16" i="86"/>
  <c r="G15" i="86"/>
  <c r="G14" i="86"/>
  <c r="G13" i="86"/>
  <c r="F144" i="86"/>
  <c r="E144" i="86"/>
  <c r="E8" i="86"/>
  <c r="F8" i="86"/>
  <c r="F7" i="86"/>
  <c r="E7" i="86"/>
  <c r="G55"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G56" i="51"/>
  <c r="G20" i="51"/>
  <c r="A3" i="103"/>
  <c r="A1" i="103"/>
  <c r="F22" i="103"/>
  <c r="F21" i="103"/>
  <c r="F20" i="103"/>
  <c r="F19" i="103"/>
  <c r="F18" i="103"/>
  <c r="F17" i="103"/>
  <c r="F16" i="103"/>
  <c r="F15" i="103"/>
  <c r="F14" i="103"/>
  <c r="F13" i="103"/>
  <c r="F12" i="103"/>
  <c r="F11" i="103"/>
  <c r="K42" i="55"/>
  <c r="K43" i="55"/>
  <c r="K44" i="55"/>
  <c r="K45" i="55"/>
  <c r="K46" i="55"/>
  <c r="K47" i="55"/>
  <c r="K48" i="55"/>
  <c r="K49" i="55"/>
  <c r="K50" i="55"/>
  <c r="K51" i="55"/>
  <c r="K52" i="55"/>
  <c r="K53" i="55"/>
  <c r="K54" i="55"/>
  <c r="K55" i="55"/>
  <c r="K75" i="55"/>
  <c r="K11" i="55"/>
  <c r="K12" i="55"/>
  <c r="K13" i="55"/>
  <c r="K14" i="55"/>
  <c r="K17" i="55"/>
  <c r="K66" i="55"/>
  <c r="J66" i="55"/>
  <c r="I66" i="55"/>
  <c r="A16" i="55"/>
  <c r="A17" i="55"/>
  <c r="A18" i="55"/>
  <c r="A19" i="55"/>
  <c r="A20" i="55"/>
  <c r="C17" i="55"/>
  <c r="D17" i="55"/>
  <c r="E17" i="55"/>
  <c r="F17" i="55"/>
  <c r="G17" i="55"/>
  <c r="H17" i="55"/>
  <c r="A12" i="55"/>
  <c r="A13" i="55"/>
  <c r="A14" i="55"/>
  <c r="A15" i="55"/>
  <c r="D9" i="87"/>
  <c r="D24" i="87"/>
  <c r="D25" i="87"/>
  <c r="D44" i="87"/>
  <c r="E44" i="87"/>
  <c r="F9" i="87"/>
  <c r="F24" i="87"/>
  <c r="F25" i="87"/>
  <c r="F44" i="87"/>
  <c r="C44" i="87"/>
  <c r="A24" i="87"/>
  <c r="A25" i="87"/>
  <c r="A26" i="87"/>
  <c r="G24" i="87"/>
  <c r="G25" i="87"/>
  <c r="C46" i="87"/>
  <c r="E46" i="87"/>
  <c r="D10" i="87"/>
  <c r="D46" i="87"/>
  <c r="F46" i="87"/>
  <c r="G46" i="87"/>
  <c r="D159" i="77"/>
  <c r="D145" i="77"/>
  <c r="C53" i="87"/>
  <c r="E53" i="87"/>
  <c r="D28" i="87"/>
  <c r="D29" i="87"/>
  <c r="D30" i="87"/>
  <c r="D31" i="87"/>
  <c r="D32" i="87"/>
  <c r="D33" i="87"/>
  <c r="D53" i="87"/>
  <c r="F53" i="87"/>
  <c r="G53" i="87"/>
  <c r="D109" i="77"/>
  <c r="C40" i="87"/>
  <c r="E40" i="87"/>
  <c r="D17" i="87"/>
  <c r="D18" i="87"/>
  <c r="D19" i="87"/>
  <c r="D20" i="87"/>
  <c r="D40" i="87"/>
  <c r="F40" i="87"/>
  <c r="G40" i="87"/>
  <c r="D97" i="77"/>
  <c r="D58" i="95"/>
  <c r="D37" i="77"/>
  <c r="E15" i="55"/>
  <c r="G15" i="55"/>
  <c r="A3" i="107"/>
  <c r="A1" i="107"/>
  <c r="A124" i="77"/>
  <c r="A123" i="77"/>
  <c r="A122" i="77"/>
  <c r="H230" i="75"/>
  <c r="H231" i="75"/>
  <c r="H232" i="75"/>
  <c r="G24" i="78"/>
  <c r="G230" i="75"/>
  <c r="G231" i="75"/>
  <c r="G232" i="75"/>
  <c r="A12" i="75"/>
  <c r="A13" i="75"/>
  <c r="A15" i="75"/>
  <c r="A16" i="75"/>
  <c r="A17" i="75"/>
  <c r="A19" i="75"/>
  <c r="A20" i="75"/>
  <c r="A21" i="75"/>
  <c r="A23" i="75"/>
  <c r="A24" i="75"/>
  <c r="A27" i="75"/>
  <c r="A28" i="75"/>
  <c r="A29" i="75"/>
  <c r="A31" i="75"/>
  <c r="A32" i="75"/>
  <c r="A34" i="75"/>
  <c r="A35" i="75"/>
  <c r="A40" i="75"/>
  <c r="A41" i="75"/>
  <c r="A42" i="75"/>
  <c r="A44" i="75"/>
  <c r="A45" i="75"/>
  <c r="A46" i="75"/>
  <c r="A47" i="75"/>
  <c r="A48" i="75"/>
  <c r="A50" i="75"/>
  <c r="A53" i="75"/>
  <c r="A55" i="75"/>
  <c r="A56" i="75"/>
  <c r="A57" i="75"/>
  <c r="A58" i="75"/>
  <c r="A59" i="75"/>
  <c r="A61" i="75"/>
  <c r="A63" i="75"/>
  <c r="A68" i="75"/>
  <c r="A69" i="75"/>
  <c r="A70" i="75"/>
  <c r="A71" i="75"/>
  <c r="A72" i="75"/>
  <c r="A73" i="75"/>
  <c r="A74" i="75"/>
  <c r="A75" i="75"/>
  <c r="A77" i="75"/>
  <c r="A80" i="75"/>
  <c r="A81" i="75"/>
  <c r="A82" i="75"/>
  <c r="A83" i="75"/>
  <c r="A84" i="75"/>
  <c r="A85" i="75"/>
  <c r="A86" i="75"/>
  <c r="A87" i="75"/>
  <c r="A90" i="75"/>
  <c r="A91" i="75"/>
  <c r="A92" i="75"/>
  <c r="A93" i="75"/>
  <c r="A94" i="75"/>
  <c r="A97" i="75"/>
  <c r="A98" i="75"/>
  <c r="A99" i="75"/>
  <c r="A100" i="75"/>
  <c r="A101" i="75"/>
  <c r="A102" i="75"/>
  <c r="A103" i="75"/>
  <c r="A104" i="75"/>
  <c r="A106" i="75"/>
  <c r="A109" i="75"/>
  <c r="A110" i="75"/>
  <c r="A111" i="75"/>
  <c r="A114" i="75"/>
  <c r="A115" i="75"/>
  <c r="A116" i="75"/>
  <c r="A118" i="75"/>
  <c r="A120" i="75"/>
  <c r="A125" i="75"/>
  <c r="A126" i="75"/>
  <c r="A127" i="75"/>
  <c r="A128" i="75"/>
  <c r="A129" i="75"/>
  <c r="A130" i="75"/>
  <c r="A133" i="75"/>
  <c r="A134" i="75"/>
  <c r="A135" i="75"/>
  <c r="A136" i="75"/>
  <c r="A137" i="75"/>
  <c r="A138" i="75"/>
  <c r="A139" i="75"/>
  <c r="A140" i="75"/>
  <c r="A141" i="75"/>
  <c r="A142" i="75"/>
  <c r="A143" i="75"/>
  <c r="A146" i="75"/>
  <c r="A147" i="75"/>
  <c r="A148" i="75"/>
  <c r="A149" i="75"/>
  <c r="A150" i="75"/>
  <c r="A151" i="75"/>
  <c r="A152" i="75"/>
  <c r="A153" i="75"/>
  <c r="A154" i="75"/>
  <c r="A155" i="75"/>
  <c r="A156" i="75"/>
  <c r="A161" i="75"/>
  <c r="A162" i="75"/>
  <c r="A163" i="75"/>
  <c r="A164" i="75"/>
  <c r="A165" i="75"/>
  <c r="A166" i="75"/>
  <c r="A167" i="75"/>
  <c r="A168" i="75"/>
  <c r="A169" i="75"/>
  <c r="A170" i="75"/>
  <c r="A174" i="75"/>
  <c r="A175" i="75"/>
  <c r="A176" i="75"/>
  <c r="A177" i="75"/>
  <c r="A178" i="75"/>
  <c r="A179" i="75"/>
  <c r="A180" i="75"/>
  <c r="A181" i="75"/>
  <c r="A182" i="75"/>
  <c r="A183" i="75"/>
  <c r="A184" i="75"/>
  <c r="A185" i="75"/>
  <c r="A189" i="75"/>
  <c r="A190" i="75"/>
  <c r="A191" i="75"/>
  <c r="A192" i="75"/>
  <c r="A193" i="75"/>
  <c r="A197" i="75"/>
  <c r="A198" i="75"/>
  <c r="A199" i="75"/>
  <c r="A200" i="75"/>
  <c r="A201" i="75"/>
  <c r="A202" i="75"/>
  <c r="A204" i="75"/>
  <c r="A205" i="75"/>
  <c r="A206" i="75"/>
  <c r="A208" i="75"/>
  <c r="A209" i="75"/>
  <c r="A210" i="75"/>
  <c r="A212" i="75"/>
  <c r="A213" i="75"/>
  <c r="A214" i="75"/>
  <c r="A215" i="75"/>
  <c r="A217" i="75"/>
  <c r="A222" i="75"/>
  <c r="A223" i="75"/>
  <c r="A224" i="75"/>
  <c r="A225" i="75"/>
  <c r="A226" i="75"/>
  <c r="A229" i="75"/>
  <c r="A231" i="75"/>
  <c r="F232" i="75"/>
  <c r="F231" i="75"/>
  <c r="F230" i="75"/>
  <c r="H225" i="75"/>
  <c r="H233" i="75"/>
  <c r="L21" i="62"/>
  <c r="H27" i="75"/>
  <c r="H44" i="75"/>
  <c r="H45" i="75"/>
  <c r="H46" i="75"/>
  <c r="L40" i="62"/>
  <c r="H28" i="75"/>
  <c r="C15" i="61"/>
  <c r="C27" i="61"/>
  <c r="E53" i="56"/>
  <c r="E58" i="56"/>
  <c r="E59" i="56"/>
  <c r="E60" i="56"/>
  <c r="E61" i="56"/>
  <c r="E62" i="56"/>
  <c r="D35" i="77"/>
  <c r="C31" i="61"/>
  <c r="C32" i="61"/>
  <c r="C33" i="61"/>
  <c r="D33" i="77"/>
  <c r="G42" i="55"/>
  <c r="H42" i="55"/>
  <c r="G43" i="55"/>
  <c r="H43" i="55"/>
  <c r="G44" i="55"/>
  <c r="H44" i="55"/>
  <c r="G45" i="55"/>
  <c r="H45" i="55"/>
  <c r="G46" i="55"/>
  <c r="H46" i="55"/>
  <c r="G47" i="55"/>
  <c r="H47" i="55"/>
  <c r="G48" i="55"/>
  <c r="H48" i="55"/>
  <c r="G49" i="55"/>
  <c r="H49" i="55"/>
  <c r="G50" i="55"/>
  <c r="H50" i="55"/>
  <c r="G51" i="55"/>
  <c r="H51" i="55"/>
  <c r="H75" i="55"/>
  <c r="D34" i="77"/>
  <c r="D41" i="77"/>
  <c r="C10" i="61"/>
  <c r="H11" i="75"/>
  <c r="D45" i="93"/>
  <c r="D11" i="77"/>
  <c r="D42" i="95"/>
  <c r="D43" i="95"/>
  <c r="D44" i="95"/>
  <c r="D45" i="95"/>
  <c r="D15" i="77"/>
  <c r="E24" i="55"/>
  <c r="G24" i="55"/>
  <c r="H24" i="55"/>
  <c r="E25" i="55"/>
  <c r="G25" i="55"/>
  <c r="H25" i="55"/>
  <c r="E26" i="55"/>
  <c r="G26" i="55"/>
  <c r="H26" i="55"/>
  <c r="E28" i="55"/>
  <c r="G28" i="55"/>
  <c r="H28" i="55"/>
  <c r="E29" i="55"/>
  <c r="G29" i="55"/>
  <c r="H29" i="55"/>
  <c r="E31" i="55"/>
  <c r="G31" i="55"/>
  <c r="H31" i="55"/>
  <c r="E32" i="55"/>
  <c r="G32" i="55"/>
  <c r="H32" i="55"/>
  <c r="E33" i="55"/>
  <c r="G33" i="55"/>
  <c r="H33" i="55"/>
  <c r="E34" i="55"/>
  <c r="G34" i="55"/>
  <c r="H34" i="55"/>
  <c r="H62" i="55"/>
  <c r="D12" i="77"/>
  <c r="D19" i="77"/>
  <c r="H40" i="75"/>
  <c r="D9" i="84"/>
  <c r="H55" i="75"/>
  <c r="H56" i="75"/>
  <c r="H57" i="75"/>
  <c r="H53" i="75"/>
  <c r="G225" i="75"/>
  <c r="G233" i="75"/>
  <c r="C23" i="62"/>
  <c r="G45" i="75"/>
  <c r="K23" i="62"/>
  <c r="G44" i="75"/>
  <c r="G46" i="75"/>
  <c r="L10" i="62"/>
  <c r="L11" i="62"/>
  <c r="L12" i="62"/>
  <c r="L13" i="62"/>
  <c r="L14" i="62"/>
  <c r="L15" i="62"/>
  <c r="L16" i="62"/>
  <c r="L17" i="62"/>
  <c r="L18" i="62"/>
  <c r="L19" i="62"/>
  <c r="L20" i="62"/>
  <c r="L28" i="62"/>
  <c r="G42" i="62"/>
  <c r="G53" i="75"/>
  <c r="K42" i="62"/>
  <c r="G55" i="75"/>
  <c r="L29" i="62"/>
  <c r="L30" i="62"/>
  <c r="L31" i="62"/>
  <c r="L32" i="62"/>
  <c r="L33" i="62"/>
  <c r="L34" i="62"/>
  <c r="L35" i="62"/>
  <c r="L36" i="62"/>
  <c r="L37" i="62"/>
  <c r="L38" i="62"/>
  <c r="L39" i="62"/>
  <c r="E11" i="55"/>
  <c r="G11" i="55"/>
  <c r="H11" i="55"/>
  <c r="E12" i="55"/>
  <c r="G12" i="55"/>
  <c r="H12" i="55"/>
  <c r="E13" i="55"/>
  <c r="G13" i="55"/>
  <c r="H13" i="55"/>
  <c r="E14" i="55"/>
  <c r="G14" i="55"/>
  <c r="H14" i="55"/>
  <c r="H66" i="55"/>
  <c r="H15" i="55"/>
  <c r="H67" i="55"/>
  <c r="E16" i="55"/>
  <c r="G16" i="55"/>
  <c r="H16" i="55"/>
  <c r="H68" i="55"/>
  <c r="E18" i="55"/>
  <c r="G18" i="55"/>
  <c r="H18" i="55"/>
  <c r="E19" i="55"/>
  <c r="G19" i="55"/>
  <c r="H19" i="55"/>
  <c r="E20" i="55"/>
  <c r="G20" i="55"/>
  <c r="H20" i="55"/>
  <c r="E21" i="55"/>
  <c r="G21" i="55"/>
  <c r="H21" i="55"/>
  <c r="E22" i="55"/>
  <c r="G22" i="55"/>
  <c r="H22" i="55"/>
  <c r="E23" i="55"/>
  <c r="G23" i="55"/>
  <c r="H23" i="55"/>
  <c r="H69" i="55"/>
  <c r="H70" i="55"/>
  <c r="G37" i="55"/>
  <c r="H37" i="55"/>
  <c r="H71" i="55"/>
  <c r="G38" i="55"/>
  <c r="H38" i="55"/>
  <c r="G39" i="55"/>
  <c r="H39" i="55"/>
  <c r="H73" i="55"/>
  <c r="G41" i="55"/>
  <c r="H41" i="55"/>
  <c r="H74" i="55"/>
  <c r="H76" i="55"/>
  <c r="D23" i="77"/>
  <c r="D50" i="95"/>
  <c r="D49" i="95"/>
  <c r="D51" i="95"/>
  <c r="D52" i="95"/>
  <c r="D53" i="95"/>
  <c r="D55" i="95"/>
  <c r="D56" i="95"/>
  <c r="D57" i="95"/>
  <c r="D59" i="95"/>
  <c r="D26" i="77"/>
  <c r="G11" i="75"/>
  <c r="D13" i="77"/>
  <c r="G23" i="62"/>
  <c r="G40" i="75"/>
  <c r="G42" i="75"/>
  <c r="A232" i="75"/>
  <c r="A233" i="75"/>
  <c r="A234" i="75"/>
  <c r="F235" i="75"/>
  <c r="A235" i="75"/>
  <c r="A230" i="75"/>
  <c r="F233" i="75"/>
  <c r="F234" i="75"/>
  <c r="K24" i="103"/>
  <c r="D84" i="77"/>
  <c r="F10" i="103"/>
  <c r="F24" i="103"/>
  <c r="D83" i="77"/>
  <c r="I84" i="77"/>
  <c r="I83" i="77"/>
  <c r="A56" i="77"/>
  <c r="A57" i="77"/>
  <c r="A63" i="77"/>
  <c r="A64" i="77"/>
  <c r="A70" i="77"/>
  <c r="A71" i="77"/>
  <c r="A79" i="77"/>
  <c r="A80" i="77"/>
  <c r="A81" i="77"/>
  <c r="A82" i="77"/>
  <c r="A83" i="77"/>
  <c r="A84" i="77"/>
  <c r="A85" i="77"/>
  <c r="H84" i="77"/>
  <c r="H83" i="77"/>
  <c r="A87" i="77"/>
  <c r="M41" i="2"/>
  <c r="I41" i="2"/>
  <c r="M40" i="2"/>
  <c r="I40" i="2"/>
  <c r="A3" i="104"/>
  <c r="A1" i="104"/>
  <c r="A8" i="103"/>
  <c r="A9" i="103"/>
  <c r="A10" i="103"/>
  <c r="A11" i="103"/>
  <c r="A12" i="103"/>
  <c r="A13" i="103"/>
  <c r="A14" i="103"/>
  <c r="A15" i="103"/>
  <c r="A16" i="103"/>
  <c r="A17" i="103"/>
  <c r="A18" i="103"/>
  <c r="A19" i="103"/>
  <c r="A20" i="103"/>
  <c r="A21" i="103"/>
  <c r="A22" i="103"/>
  <c r="A23" i="103"/>
  <c r="A24" i="103"/>
  <c r="E55" i="75"/>
  <c r="A41" i="62"/>
  <c r="F26" i="102"/>
  <c r="F22" i="102"/>
  <c r="F18" i="102"/>
  <c r="F14" i="102"/>
  <c r="F10" i="102"/>
  <c r="D10" i="102"/>
  <c r="D14" i="102"/>
  <c r="D18" i="102"/>
  <c r="D22" i="102"/>
  <c r="D26" i="102"/>
  <c r="D28" i="102"/>
  <c r="D31" i="102"/>
  <c r="D228" i="2"/>
  <c r="D227" i="2"/>
  <c r="D230" i="2"/>
  <c r="A228" i="2"/>
  <c r="A229" i="2"/>
  <c r="A8" i="102"/>
  <c r="A27" i="102"/>
  <c r="A28" i="102"/>
  <c r="A29" i="102"/>
  <c r="F31" i="102"/>
  <c r="F17" i="102"/>
  <c r="F21" i="102"/>
  <c r="F25" i="102"/>
  <c r="F13" i="102"/>
  <c r="A3" i="102"/>
  <c r="A1" i="102"/>
  <c r="H210" i="75"/>
  <c r="C9" i="101"/>
  <c r="D7" i="101"/>
  <c r="D8" i="101"/>
  <c r="D9" i="101"/>
  <c r="G210" i="75"/>
  <c r="A1" i="101"/>
  <c r="A3" i="101"/>
  <c r="G15" i="51"/>
  <c r="G16" i="51"/>
  <c r="G17" i="51"/>
  <c r="G18" i="51"/>
  <c r="G19" i="51"/>
  <c r="G21" i="51"/>
  <c r="G22" i="51"/>
  <c r="G23" i="51"/>
  <c r="G24" i="51"/>
  <c r="G28" i="51"/>
  <c r="G29" i="51"/>
  <c r="G30" i="51"/>
  <c r="G34" i="51"/>
  <c r="G35" i="51"/>
  <c r="G36" i="51"/>
  <c r="G38" i="51"/>
  <c r="G43" i="51"/>
  <c r="G44" i="51"/>
  <c r="G45" i="51"/>
  <c r="G47" i="51"/>
  <c r="G48" i="51"/>
  <c r="G49" i="51"/>
  <c r="G51" i="51"/>
  <c r="G52" i="51"/>
  <c r="F37" i="51"/>
  <c r="F63" i="51"/>
  <c r="E25" i="51"/>
  <c r="E27" i="51"/>
  <c r="E33" i="51"/>
  <c r="G57" i="51"/>
  <c r="E57" i="51"/>
  <c r="E42" i="51"/>
  <c r="E46" i="51"/>
  <c r="D39" i="51"/>
  <c r="D26" i="51"/>
  <c r="D31" i="51"/>
  <c r="D32" i="51"/>
  <c r="D41" i="51"/>
  <c r="D50" i="51"/>
  <c r="D53" i="51"/>
  <c r="D54" i="51"/>
  <c r="C63" i="51"/>
  <c r="G58" i="51"/>
  <c r="D58" i="51"/>
  <c r="G59" i="51"/>
  <c r="E59" i="51"/>
  <c r="A58" i="51"/>
  <c r="A59" i="51"/>
  <c r="A60" i="51"/>
  <c r="C11" i="100"/>
  <c r="A8" i="100"/>
  <c r="A9" i="100"/>
  <c r="A10" i="100"/>
  <c r="A11" i="100"/>
  <c r="A12" i="100"/>
  <c r="A13" i="100"/>
  <c r="A14" i="100"/>
  <c r="A15" i="100"/>
  <c r="A16" i="100"/>
  <c r="A17" i="100"/>
  <c r="A18" i="100"/>
  <c r="A19" i="100"/>
  <c r="A20" i="100"/>
  <c r="A21" i="100"/>
  <c r="A22" i="100"/>
  <c r="A23" i="100"/>
  <c r="A24" i="100"/>
  <c r="A25" i="100"/>
  <c r="A3" i="100"/>
  <c r="A1" i="100"/>
  <c r="A3" i="51"/>
  <c r="A1" i="51"/>
  <c r="D25" i="100"/>
  <c r="C25" i="100"/>
  <c r="A7" i="100"/>
  <c r="D18" i="100"/>
  <c r="C18" i="100"/>
  <c r="A141" i="86"/>
  <c r="A139" i="86"/>
  <c r="A13" i="86"/>
  <c r="A14" i="86"/>
  <c r="A15" i="86"/>
  <c r="A16" i="86"/>
  <c r="A17" i="86"/>
  <c r="A18" i="86"/>
  <c r="A19" i="86"/>
  <c r="A20" i="86"/>
  <c r="A21" i="86"/>
  <c r="A22" i="86"/>
  <c r="A23" i="86"/>
  <c r="A24" i="86"/>
  <c r="A25" i="86"/>
  <c r="A26" i="86"/>
  <c r="A27" i="86"/>
  <c r="A28" i="86"/>
  <c r="A29" i="86"/>
  <c r="A30" i="86"/>
  <c r="A31" i="86"/>
  <c r="A32" i="86"/>
  <c r="A33" i="86"/>
  <c r="A34" i="86"/>
  <c r="A35" i="86"/>
  <c r="A36" i="86"/>
  <c r="A37" i="86"/>
  <c r="A38" i="86"/>
  <c r="A39" i="86"/>
  <c r="A40" i="86"/>
  <c r="A41" i="86"/>
  <c r="A42" i="86"/>
  <c r="A43" i="86"/>
  <c r="A44" i="86"/>
  <c r="A45" i="86"/>
  <c r="A46" i="86"/>
  <c r="A47" i="86"/>
  <c r="A48" i="86"/>
  <c r="A49" i="86"/>
  <c r="A50" i="86"/>
  <c r="A51" i="86"/>
  <c r="A52" i="86"/>
  <c r="A53" i="86"/>
  <c r="A54" i="86"/>
  <c r="A55" i="86"/>
  <c r="A56" i="86"/>
  <c r="A57" i="86"/>
  <c r="A58" i="86"/>
  <c r="A59" i="86"/>
  <c r="A60" i="86"/>
  <c r="A61" i="86"/>
  <c r="A62" i="86"/>
  <c r="A63" i="86"/>
  <c r="A64" i="86"/>
  <c r="A65" i="86"/>
  <c r="A66" i="86"/>
  <c r="A67" i="86"/>
  <c r="A68" i="86"/>
  <c r="A69" i="86"/>
  <c r="A70" i="86"/>
  <c r="A71" i="86"/>
  <c r="A72" i="86"/>
  <c r="A73" i="86"/>
  <c r="A74" i="86"/>
  <c r="A75" i="86"/>
  <c r="A76" i="86"/>
  <c r="A77" i="86"/>
  <c r="A78" i="86"/>
  <c r="A79" i="86"/>
  <c r="A80" i="86"/>
  <c r="A81" i="86"/>
  <c r="A82" i="86"/>
  <c r="A83" i="86"/>
  <c r="A84" i="86"/>
  <c r="A85" i="86"/>
  <c r="A86" i="86"/>
  <c r="A87" i="86"/>
  <c r="A88" i="86"/>
  <c r="A89" i="86"/>
  <c r="A90" i="86"/>
  <c r="A91" i="86"/>
  <c r="A92" i="86"/>
  <c r="A93" i="86"/>
  <c r="A94" i="86"/>
  <c r="A95" i="86"/>
  <c r="A96" i="86"/>
  <c r="A97" i="86"/>
  <c r="A98" i="86"/>
  <c r="A99" i="86"/>
  <c r="A100" i="86"/>
  <c r="A101" i="86"/>
  <c r="A102" i="86"/>
  <c r="A103" i="86"/>
  <c r="A104" i="86"/>
  <c r="A105" i="86"/>
  <c r="A106" i="86"/>
  <c r="A107" i="86"/>
  <c r="A108" i="86"/>
  <c r="A109" i="86"/>
  <c r="A110" i="86"/>
  <c r="A111" i="86"/>
  <c r="A112" i="86"/>
  <c r="A113" i="86"/>
  <c r="A114" i="86"/>
  <c r="A115" i="86"/>
  <c r="A116" i="86"/>
  <c r="A117" i="86"/>
  <c r="A118" i="86"/>
  <c r="A119" i="86"/>
  <c r="A120" i="86"/>
  <c r="A121" i="86"/>
  <c r="A122" i="86"/>
  <c r="A123" i="86"/>
  <c r="A124" i="86"/>
  <c r="A125" i="86"/>
  <c r="A126" i="86"/>
  <c r="A127" i="86"/>
  <c r="A128" i="86"/>
  <c r="A129" i="86"/>
  <c r="A130" i="86"/>
  <c r="A131" i="86"/>
  <c r="A132" i="86"/>
  <c r="A133" i="86"/>
  <c r="A134" i="86"/>
  <c r="A135" i="86"/>
  <c r="A136" i="86"/>
  <c r="A137" i="86"/>
  <c r="C49" i="95"/>
  <c r="E49" i="95"/>
  <c r="F49" i="95"/>
  <c r="G49" i="95"/>
  <c r="C50" i="95"/>
  <c r="G50" i="95"/>
  <c r="C51" i="95"/>
  <c r="G51" i="95"/>
  <c r="C52" i="95"/>
  <c r="G52" i="95"/>
  <c r="C53" i="95"/>
  <c r="G53" i="95"/>
  <c r="C55" i="95"/>
  <c r="G55" i="95"/>
  <c r="C56" i="95"/>
  <c r="G56" i="95"/>
  <c r="C57" i="95"/>
  <c r="G57" i="95"/>
  <c r="C58" i="95"/>
  <c r="E58" i="95"/>
  <c r="F58" i="95"/>
  <c r="G59" i="95"/>
  <c r="F59" i="95"/>
  <c r="E59" i="95"/>
  <c r="C59" i="95"/>
  <c r="C42" i="95"/>
  <c r="C43" i="95"/>
  <c r="C44" i="95"/>
  <c r="C45" i="95"/>
  <c r="C46" i="95"/>
  <c r="D46" i="95"/>
  <c r="G46" i="95"/>
  <c r="G45" i="95"/>
  <c r="G44" i="95"/>
  <c r="G43" i="95"/>
  <c r="G42" i="95"/>
  <c r="G8" i="95"/>
  <c r="G9" i="95"/>
  <c r="G10" i="95"/>
  <c r="G11" i="95"/>
  <c r="G12" i="95"/>
  <c r="G13" i="95"/>
  <c r="G14" i="95"/>
  <c r="G15" i="95"/>
  <c r="G16" i="95"/>
  <c r="G17" i="95"/>
  <c r="G18" i="95"/>
  <c r="G19" i="95"/>
  <c r="G20" i="95"/>
  <c r="G21" i="95"/>
  <c r="G22" i="95"/>
  <c r="G23" i="95"/>
  <c r="G24" i="95"/>
  <c r="G25" i="95"/>
  <c r="G26" i="95"/>
  <c r="G27" i="95"/>
  <c r="G28" i="95"/>
  <c r="G29" i="95"/>
  <c r="G30" i="95"/>
  <c r="G31" i="95"/>
  <c r="G32" i="95"/>
  <c r="G33" i="95"/>
  <c r="G34" i="95"/>
  <c r="G35" i="95"/>
  <c r="G36" i="95"/>
  <c r="G37" i="95"/>
  <c r="G38" i="95"/>
  <c r="G39" i="95"/>
  <c r="F39" i="95"/>
  <c r="E39" i="95"/>
  <c r="D39" i="95"/>
  <c r="C39" i="95"/>
  <c r="A34" i="95"/>
  <c r="A33" i="95"/>
  <c r="A32" i="95"/>
  <c r="A13" i="95"/>
  <c r="A11" i="95"/>
  <c r="A12" i="95"/>
  <c r="A8" i="67"/>
  <c r="A9" i="67"/>
  <c r="A10" i="67"/>
  <c r="A11" i="67"/>
  <c r="A12" i="67"/>
  <c r="A13" i="67"/>
  <c r="A14" i="67"/>
  <c r="A15" i="67"/>
  <c r="A16" i="67"/>
  <c r="A17" i="67"/>
  <c r="A18" i="67"/>
  <c r="A19" i="67"/>
  <c r="A20" i="67"/>
  <c r="A21" i="67"/>
  <c r="A22" i="67"/>
  <c r="A23" i="67"/>
  <c r="A24" i="67"/>
  <c r="A25" i="67"/>
  <c r="A26" i="67"/>
  <c r="A27" i="67"/>
  <c r="A28" i="67"/>
  <c r="A29" i="67"/>
  <c r="A30" i="67"/>
  <c r="A31" i="67"/>
  <c r="A32" i="67"/>
  <c r="A33" i="67"/>
  <c r="O33" i="67"/>
  <c r="O31" i="67"/>
  <c r="O30" i="67"/>
  <c r="O32" i="67"/>
  <c r="E23" i="66"/>
  <c r="E35" i="66"/>
  <c r="H164" i="75"/>
  <c r="H163" i="75"/>
  <c r="E51" i="66"/>
  <c r="H161" i="75"/>
  <c r="G164" i="75"/>
  <c r="G163" i="75"/>
  <c r="G161" i="75"/>
  <c r="P11" i="58"/>
  <c r="I147" i="77"/>
  <c r="D147" i="77"/>
  <c r="A88" i="77"/>
  <c r="A89" i="77"/>
  <c r="A90" i="77"/>
  <c r="A91" i="77"/>
  <c r="A92" i="77"/>
  <c r="A93" i="77"/>
  <c r="A103" i="77"/>
  <c r="A104" i="77"/>
  <c r="A105" i="77"/>
  <c r="A114" i="77"/>
  <c r="A115" i="77"/>
  <c r="A116" i="77"/>
  <c r="A127" i="77"/>
  <c r="A128" i="77"/>
  <c r="A129" i="77"/>
  <c r="A130" i="77"/>
  <c r="A136" i="77"/>
  <c r="A137" i="77"/>
  <c r="A138" i="77"/>
  <c r="A139" i="77"/>
  <c r="A140" i="77"/>
  <c r="A141" i="77"/>
  <c r="A142" i="77"/>
  <c r="A143" i="77"/>
  <c r="A144" i="77"/>
  <c r="A145" i="77"/>
  <c r="A146" i="77"/>
  <c r="A147" i="77"/>
  <c r="A314" i="2"/>
  <c r="N230" i="2"/>
  <c r="M174" i="2"/>
  <c r="M175" i="2"/>
  <c r="M184" i="2"/>
  <c r="M185" i="2"/>
  <c r="M192" i="2"/>
  <c r="M193" i="2"/>
  <c r="M227" i="2"/>
  <c r="M230" i="2"/>
  <c r="L228" i="2"/>
  <c r="L156" i="2"/>
  <c r="L157" i="2"/>
  <c r="L158" i="2"/>
  <c r="L159" i="2"/>
  <c r="L162" i="2"/>
  <c r="L163" i="2"/>
  <c r="L164" i="2"/>
  <c r="L165" i="2"/>
  <c r="L166" i="2"/>
  <c r="L167" i="2"/>
  <c r="L168" i="2"/>
  <c r="L176" i="2"/>
  <c r="L177" i="2"/>
  <c r="L180" i="2"/>
  <c r="L181" i="2"/>
  <c r="L186" i="2"/>
  <c r="L187" i="2"/>
  <c r="L194" i="2"/>
  <c r="L195" i="2"/>
  <c r="L198" i="2"/>
  <c r="L199" i="2"/>
  <c r="L200" i="2"/>
  <c r="L201" i="2"/>
  <c r="L208" i="2"/>
  <c r="L209" i="2"/>
  <c r="L216" i="2"/>
  <c r="L217" i="2"/>
  <c r="L227" i="2"/>
  <c r="L230" i="2"/>
  <c r="K214" i="2"/>
  <c r="K215" i="2"/>
  <c r="K227" i="2"/>
  <c r="K230" i="2"/>
  <c r="J160" i="2"/>
  <c r="J161" i="2"/>
  <c r="J169" i="2"/>
  <c r="J170" i="2"/>
  <c r="J171" i="2"/>
  <c r="J172" i="2"/>
  <c r="J173" i="2"/>
  <c r="J178" i="2"/>
  <c r="J179" i="2"/>
  <c r="J182" i="2"/>
  <c r="J183" i="2"/>
  <c r="J188" i="2"/>
  <c r="J189" i="2"/>
  <c r="J190" i="2"/>
  <c r="J191" i="2"/>
  <c r="J196" i="2"/>
  <c r="J197" i="2"/>
  <c r="J202" i="2"/>
  <c r="J203" i="2"/>
  <c r="J204" i="2"/>
  <c r="J205" i="2"/>
  <c r="J206" i="2"/>
  <c r="J207" i="2"/>
  <c r="J210" i="2"/>
  <c r="J211" i="2"/>
  <c r="J212" i="2"/>
  <c r="J213" i="2"/>
  <c r="J218" i="2"/>
  <c r="J227" i="2"/>
  <c r="J230" i="2"/>
  <c r="I174" i="2"/>
  <c r="I175" i="2"/>
  <c r="I184" i="2"/>
  <c r="I185" i="2"/>
  <c r="I192" i="2"/>
  <c r="I193" i="2"/>
  <c r="I227" i="2"/>
  <c r="I230" i="2"/>
  <c r="H228" i="2"/>
  <c r="H156" i="2"/>
  <c r="H157" i="2"/>
  <c r="H158" i="2"/>
  <c r="H159" i="2"/>
  <c r="H162" i="2"/>
  <c r="H163" i="2"/>
  <c r="H164" i="2"/>
  <c r="H165" i="2"/>
  <c r="H166" i="2"/>
  <c r="H167" i="2"/>
  <c r="H168" i="2"/>
  <c r="H176" i="2"/>
  <c r="H177" i="2"/>
  <c r="H180" i="2"/>
  <c r="H181" i="2"/>
  <c r="H186" i="2"/>
  <c r="H187" i="2"/>
  <c r="H194" i="2"/>
  <c r="H195" i="2"/>
  <c r="H198" i="2"/>
  <c r="H199" i="2"/>
  <c r="H200" i="2"/>
  <c r="H201" i="2"/>
  <c r="H208" i="2"/>
  <c r="H209" i="2"/>
  <c r="H216" i="2"/>
  <c r="H217" i="2"/>
  <c r="H227" i="2"/>
  <c r="H230" i="2"/>
  <c r="G214" i="2"/>
  <c r="G215" i="2"/>
  <c r="G227" i="2"/>
  <c r="G230" i="2"/>
  <c r="F160" i="2"/>
  <c r="F161" i="2"/>
  <c r="F169" i="2"/>
  <c r="F170" i="2"/>
  <c r="F171" i="2"/>
  <c r="F172" i="2"/>
  <c r="F173" i="2"/>
  <c r="F178" i="2"/>
  <c r="F179" i="2"/>
  <c r="F182" i="2"/>
  <c r="F183" i="2"/>
  <c r="F188" i="2"/>
  <c r="F189" i="2"/>
  <c r="F190" i="2"/>
  <c r="F191" i="2"/>
  <c r="F196" i="2"/>
  <c r="F197" i="2"/>
  <c r="F202" i="2"/>
  <c r="F203" i="2"/>
  <c r="F204" i="2"/>
  <c r="F205" i="2"/>
  <c r="F206" i="2"/>
  <c r="F207" i="2"/>
  <c r="F210" i="2"/>
  <c r="F211" i="2"/>
  <c r="F212" i="2"/>
  <c r="F213" i="2"/>
  <c r="F218" i="2"/>
  <c r="F227" i="2"/>
  <c r="F230" i="2"/>
  <c r="E227" i="2"/>
  <c r="A230" i="2"/>
  <c r="B51" i="66"/>
  <c r="A36" i="66"/>
  <c r="A37" i="66"/>
  <c r="A38" i="66"/>
  <c r="A39" i="66"/>
  <c r="A40" i="66"/>
  <c r="A41" i="66"/>
  <c r="A42" i="66"/>
  <c r="A43" i="66"/>
  <c r="A44" i="66"/>
  <c r="A45" i="66"/>
  <c r="A46" i="66"/>
  <c r="A47" i="66"/>
  <c r="A48" i="66"/>
  <c r="A49" i="66"/>
  <c r="A50" i="66"/>
  <c r="A51" i="66"/>
  <c r="B35" i="66"/>
  <c r="B23" i="66"/>
  <c r="A3" i="98"/>
  <c r="A1" i="98"/>
  <c r="A8" i="2"/>
  <c r="A118" i="2"/>
  <c r="A119" i="2"/>
  <c r="A120" i="2"/>
  <c r="A121" i="2"/>
  <c r="A122" i="2"/>
  <c r="A123" i="2"/>
  <c r="A124" i="2"/>
  <c r="A125" i="2"/>
  <c r="A126" i="2"/>
  <c r="A127" i="2"/>
  <c r="A128" i="2"/>
  <c r="A129" i="2"/>
  <c r="A130" i="2"/>
  <c r="A131" i="2"/>
  <c r="A132" i="2"/>
  <c r="A133" i="2"/>
  <c r="A134" i="2"/>
  <c r="D138" i="2"/>
  <c r="E138" i="2"/>
  <c r="M36" i="67"/>
  <c r="E36" i="67"/>
  <c r="N36" i="67"/>
  <c r="L36" i="67"/>
  <c r="I36" i="67"/>
  <c r="H36" i="67"/>
  <c r="F36" i="67"/>
  <c r="D36" i="67"/>
  <c r="C18" i="96"/>
  <c r="E27" i="56"/>
  <c r="D27" i="56"/>
  <c r="E26" i="56"/>
  <c r="D26" i="56"/>
  <c r="E25" i="56"/>
  <c r="D25" i="56"/>
  <c r="E24" i="56"/>
  <c r="D24" i="56"/>
  <c r="E23" i="56"/>
  <c r="D23" i="56"/>
  <c r="E22" i="56"/>
  <c r="D22" i="56"/>
  <c r="E21" i="56"/>
  <c r="D21" i="56"/>
  <c r="E20" i="56"/>
  <c r="D20" i="56"/>
  <c r="E19" i="56"/>
  <c r="D19" i="56"/>
  <c r="E18" i="56"/>
  <c r="D18" i="56"/>
  <c r="E17" i="56"/>
  <c r="D17" i="56"/>
  <c r="E16" i="56"/>
  <c r="D16" i="56"/>
  <c r="E15" i="56"/>
  <c r="D15" i="56"/>
  <c r="E14" i="56"/>
  <c r="D14" i="56"/>
  <c r="E13" i="56"/>
  <c r="D13" i="56"/>
  <c r="E12" i="56"/>
  <c r="D12" i="56"/>
  <c r="E11" i="56"/>
  <c r="D11" i="56"/>
  <c r="E10" i="56"/>
  <c r="D10" i="56"/>
  <c r="F52" i="55"/>
  <c r="D52" i="55"/>
  <c r="C52" i="55"/>
  <c r="F51" i="55"/>
  <c r="D51" i="55"/>
  <c r="C51" i="55"/>
  <c r="F50" i="55"/>
  <c r="D50" i="55"/>
  <c r="C50" i="55"/>
  <c r="F49" i="55"/>
  <c r="D49" i="55"/>
  <c r="C49" i="55"/>
  <c r="F48" i="55"/>
  <c r="D48" i="55"/>
  <c r="C48" i="55"/>
  <c r="F47" i="55"/>
  <c r="D47" i="55"/>
  <c r="C47" i="55"/>
  <c r="F46" i="55"/>
  <c r="D46" i="55"/>
  <c r="C46" i="55"/>
  <c r="F45" i="55"/>
  <c r="D45" i="55"/>
  <c r="C45" i="55"/>
  <c r="F44" i="55"/>
  <c r="D44" i="55"/>
  <c r="C44" i="55"/>
  <c r="F43" i="55"/>
  <c r="D43" i="55"/>
  <c r="C43" i="55"/>
  <c r="F42" i="55"/>
  <c r="D42" i="55"/>
  <c r="C42" i="55"/>
  <c r="F41" i="55"/>
  <c r="D41" i="55"/>
  <c r="C41" i="55"/>
  <c r="F40" i="55"/>
  <c r="D40" i="55"/>
  <c r="C40" i="55"/>
  <c r="F39" i="55"/>
  <c r="D39" i="55"/>
  <c r="C39" i="55"/>
  <c r="F38" i="55"/>
  <c r="D38" i="55"/>
  <c r="C38" i="55"/>
  <c r="F37" i="55"/>
  <c r="D37" i="55"/>
  <c r="C37" i="55"/>
  <c r="F36" i="55"/>
  <c r="D36" i="55"/>
  <c r="C36" i="55"/>
  <c r="F35" i="55"/>
  <c r="D35" i="55"/>
  <c r="C35" i="55"/>
  <c r="F34" i="55"/>
  <c r="D34" i="55"/>
  <c r="C34" i="55"/>
  <c r="F33" i="55"/>
  <c r="D33" i="55"/>
  <c r="C33" i="55"/>
  <c r="F32" i="55"/>
  <c r="D32" i="55"/>
  <c r="C32" i="55"/>
  <c r="F31" i="55"/>
  <c r="D31" i="55"/>
  <c r="C31" i="55"/>
  <c r="F30" i="55"/>
  <c r="D30" i="55"/>
  <c r="C30" i="55"/>
  <c r="F29" i="55"/>
  <c r="D29" i="55"/>
  <c r="C29" i="55"/>
  <c r="F28" i="55"/>
  <c r="D28" i="55"/>
  <c r="C28" i="55"/>
  <c r="F27" i="55"/>
  <c r="D27" i="55"/>
  <c r="C27" i="55"/>
  <c r="F26" i="55"/>
  <c r="D26" i="55"/>
  <c r="C26" i="55"/>
  <c r="F25" i="55"/>
  <c r="D25" i="55"/>
  <c r="C25" i="55"/>
  <c r="F24" i="55"/>
  <c r="D24" i="55"/>
  <c r="C24" i="55"/>
  <c r="F23" i="55"/>
  <c r="D23" i="55"/>
  <c r="C23" i="55"/>
  <c r="F22" i="55"/>
  <c r="D22" i="55"/>
  <c r="C22" i="55"/>
  <c r="F21" i="55"/>
  <c r="D21" i="55"/>
  <c r="C21" i="55"/>
  <c r="F20" i="55"/>
  <c r="D20" i="55"/>
  <c r="C20" i="55"/>
  <c r="F19" i="55"/>
  <c r="D19" i="55"/>
  <c r="C19" i="55"/>
  <c r="F18" i="55"/>
  <c r="D18" i="55"/>
  <c r="C18" i="55"/>
  <c r="F16" i="55"/>
  <c r="D16" i="55"/>
  <c r="C16" i="55"/>
  <c r="F15" i="55"/>
  <c r="D15" i="55"/>
  <c r="C15" i="55"/>
  <c r="F14" i="55"/>
  <c r="D14" i="55"/>
  <c r="C14" i="55"/>
  <c r="F13" i="55"/>
  <c r="D13" i="55"/>
  <c r="C13" i="55"/>
  <c r="F12" i="55"/>
  <c r="D12" i="55"/>
  <c r="C12" i="55"/>
  <c r="F11" i="55"/>
  <c r="D11" i="55"/>
  <c r="C11" i="55"/>
  <c r="F28" i="49"/>
  <c r="D24" i="49"/>
  <c r="D16" i="49"/>
  <c r="C53" i="93"/>
  <c r="Q20" i="73"/>
  <c r="D55" i="73"/>
  <c r="Q19" i="73"/>
  <c r="D54" i="73"/>
  <c r="Q16" i="73"/>
  <c r="D51" i="73"/>
  <c r="E51" i="73"/>
  <c r="Q15" i="73"/>
  <c r="D50" i="73"/>
  <c r="Q12" i="73"/>
  <c r="Q11" i="73"/>
  <c r="D46" i="73"/>
  <c r="E46" i="73"/>
  <c r="N38" i="73"/>
  <c r="J38" i="73"/>
  <c r="H38" i="73"/>
  <c r="O38" i="73"/>
  <c r="F37" i="62"/>
  <c r="F36" i="62"/>
  <c r="F34" i="62"/>
  <c r="F33" i="62"/>
  <c r="H42" i="62"/>
  <c r="F29" i="62"/>
  <c r="I42" i="62"/>
  <c r="F169" i="77"/>
  <c r="F170" i="77"/>
  <c r="F171" i="77"/>
  <c r="O16" i="85"/>
  <c r="O26" i="85"/>
  <c r="O28" i="85"/>
  <c r="F172" i="77"/>
  <c r="F173" i="77"/>
  <c r="H261" i="75"/>
  <c r="I189" i="88"/>
  <c r="F20" i="62"/>
  <c r="F18" i="62"/>
  <c r="F16" i="62"/>
  <c r="F14" i="62"/>
  <c r="F12" i="62"/>
  <c r="I23" i="62"/>
  <c r="D170" i="77"/>
  <c r="H23" i="62"/>
  <c r="I26" i="88"/>
  <c r="D173" i="88"/>
  <c r="I173" i="88"/>
  <c r="D170" i="88"/>
  <c r="I170" i="88"/>
  <c r="K24" i="55"/>
  <c r="K25" i="55"/>
  <c r="K26" i="55"/>
  <c r="K27" i="55"/>
  <c r="K28" i="55"/>
  <c r="K29" i="55"/>
  <c r="K30" i="55"/>
  <c r="K31" i="55"/>
  <c r="K32" i="55"/>
  <c r="K33" i="55"/>
  <c r="K34" i="55"/>
  <c r="K35" i="55"/>
  <c r="K36" i="55"/>
  <c r="K62" i="55"/>
  <c r="D95" i="77"/>
  <c r="D96" i="77"/>
  <c r="D98" i="77"/>
  <c r="D38" i="96"/>
  <c r="E38" i="96"/>
  <c r="D99" i="77"/>
  <c r="G116" i="75"/>
  <c r="D27" i="87"/>
  <c r="D26" i="87"/>
  <c r="D23" i="87"/>
  <c r="D22" i="87"/>
  <c r="D21" i="87"/>
  <c r="D16" i="87"/>
  <c r="D15" i="87"/>
  <c r="D14" i="87"/>
  <c r="D13" i="87"/>
  <c r="D12" i="87"/>
  <c r="D11" i="87"/>
  <c r="N42" i="67"/>
  <c r="N48" i="67"/>
  <c r="N53" i="67"/>
  <c r="N57" i="67"/>
  <c r="L42" i="67"/>
  <c r="L48" i="67"/>
  <c r="L53" i="67"/>
  <c r="L57" i="67"/>
  <c r="J36" i="67"/>
  <c r="J42" i="67"/>
  <c r="J48" i="67"/>
  <c r="J53" i="67"/>
  <c r="J57" i="67"/>
  <c r="O51" i="67"/>
  <c r="M304" i="2"/>
  <c r="L304" i="2"/>
  <c r="K304" i="2"/>
  <c r="I304" i="2"/>
  <c r="H304" i="2"/>
  <c r="G304" i="2"/>
  <c r="G9" i="51"/>
  <c r="C9" i="51"/>
  <c r="G8" i="51"/>
  <c r="G10" i="51"/>
  <c r="F35" i="49"/>
  <c r="F34" i="49"/>
  <c r="F31" i="49"/>
  <c r="F29" i="49"/>
  <c r="F27" i="49"/>
  <c r="F26" i="49"/>
  <c r="F23" i="49"/>
  <c r="D21" i="49"/>
  <c r="F14" i="49"/>
  <c r="F11" i="49"/>
  <c r="F20" i="49"/>
  <c r="F22" i="49"/>
  <c r="G182" i="75"/>
  <c r="E304" i="2"/>
  <c r="L119" i="2"/>
  <c r="H119" i="2"/>
  <c r="L118" i="2"/>
  <c r="F143" i="2"/>
  <c r="D304" i="2"/>
  <c r="H118" i="2"/>
  <c r="F145" i="2"/>
  <c r="F146" i="2"/>
  <c r="F144" i="2"/>
  <c r="D33" i="49"/>
  <c r="F113" i="2"/>
  <c r="F112" i="2"/>
  <c r="F111" i="2"/>
  <c r="F110" i="2"/>
  <c r="J113" i="2"/>
  <c r="J112" i="2"/>
  <c r="J111" i="2"/>
  <c r="J110" i="2"/>
  <c r="C36" i="67"/>
  <c r="C42" i="67"/>
  <c r="C48" i="67"/>
  <c r="C53" i="67"/>
  <c r="K151" i="2"/>
  <c r="K153" i="2"/>
  <c r="L151" i="2"/>
  <c r="M151" i="2"/>
  <c r="M153" i="2"/>
  <c r="I151" i="2"/>
  <c r="H151" i="2"/>
  <c r="G151" i="2"/>
  <c r="F151" i="2"/>
  <c r="E151" i="2"/>
  <c r="E153" i="2"/>
  <c r="D151" i="2"/>
  <c r="D153" i="2"/>
  <c r="G8" i="86"/>
  <c r="D171" i="77"/>
  <c r="D42" i="67"/>
  <c r="D48" i="67"/>
  <c r="E42" i="67"/>
  <c r="E48" i="67"/>
  <c r="F42" i="67"/>
  <c r="F48" i="67"/>
  <c r="G36" i="67"/>
  <c r="G42" i="67"/>
  <c r="G48" i="67"/>
  <c r="G53" i="67"/>
  <c r="H42" i="67"/>
  <c r="H48" i="67"/>
  <c r="I42" i="67"/>
  <c r="I48" i="67"/>
  <c r="K36" i="67"/>
  <c r="K42" i="67"/>
  <c r="K48" i="67"/>
  <c r="M42" i="67"/>
  <c r="M48" i="67"/>
  <c r="A8" i="49"/>
  <c r="A9" i="49"/>
  <c r="A10" i="49"/>
  <c r="A121" i="77"/>
  <c r="A8" i="85"/>
  <c r="A9" i="85"/>
  <c r="A10" i="85"/>
  <c r="L120" i="2"/>
  <c r="L121" i="2"/>
  <c r="L122" i="2"/>
  <c r="L123" i="2"/>
  <c r="H120" i="2"/>
  <c r="H121" i="2"/>
  <c r="H123" i="2"/>
  <c r="F84" i="2"/>
  <c r="F85" i="2"/>
  <c r="L73" i="2"/>
  <c r="L72" i="2"/>
  <c r="H73" i="2"/>
  <c r="H72" i="2"/>
  <c r="A225" i="2"/>
  <c r="L296" i="2"/>
  <c r="H296" i="2"/>
  <c r="J295" i="2"/>
  <c r="F295" i="2"/>
  <c r="J294" i="2"/>
  <c r="F294" i="2"/>
  <c r="J288" i="2"/>
  <c r="F288" i="2"/>
  <c r="J287" i="2"/>
  <c r="F287" i="2"/>
  <c r="J286" i="2"/>
  <c r="F286" i="2"/>
  <c r="J285" i="2"/>
  <c r="F285" i="2"/>
  <c r="J284" i="2"/>
  <c r="F284" i="2"/>
  <c r="J283" i="2"/>
  <c r="F283" i="2"/>
  <c r="J282" i="2"/>
  <c r="F282" i="2"/>
  <c r="J281" i="2"/>
  <c r="F281" i="2"/>
  <c r="J280" i="2"/>
  <c r="F280" i="2"/>
  <c r="J279" i="2"/>
  <c r="F279" i="2"/>
  <c r="J278" i="2"/>
  <c r="F278" i="2"/>
  <c r="J277" i="2"/>
  <c r="F277" i="2"/>
  <c r="J254" i="2"/>
  <c r="F254" i="2"/>
  <c r="J253" i="2"/>
  <c r="F253" i="2"/>
  <c r="J250" i="2"/>
  <c r="F250" i="2"/>
  <c r="J249" i="2"/>
  <c r="F249" i="2"/>
  <c r="L153" i="2"/>
  <c r="I153" i="2"/>
  <c r="H153" i="2"/>
  <c r="G153" i="2"/>
  <c r="F152" i="2"/>
  <c r="J146" i="2"/>
  <c r="J145" i="2"/>
  <c r="J144" i="2"/>
  <c r="J143" i="2"/>
  <c r="I101" i="2"/>
  <c r="M101" i="2"/>
  <c r="M100" i="2"/>
  <c r="I100" i="2"/>
  <c r="J89" i="2"/>
  <c r="F89" i="2"/>
  <c r="J88" i="2"/>
  <c r="F88" i="2"/>
  <c r="J87" i="2"/>
  <c r="F87" i="2"/>
  <c r="J86" i="2"/>
  <c r="F86" i="2"/>
  <c r="J85" i="2"/>
  <c r="J84" i="2"/>
  <c r="J81" i="2"/>
  <c r="F81" i="2"/>
  <c r="J80" i="2"/>
  <c r="F80" i="2"/>
  <c r="J244" i="2"/>
  <c r="F244" i="2"/>
  <c r="J243" i="2"/>
  <c r="F243" i="2"/>
  <c r="N138" i="2"/>
  <c r="F57" i="2"/>
  <c r="J57" i="2"/>
  <c r="F58" i="2"/>
  <c r="J58" i="2"/>
  <c r="J20" i="2"/>
  <c r="J21" i="2"/>
  <c r="F20" i="2"/>
  <c r="F21" i="2"/>
  <c r="P22" i="85"/>
  <c r="P9" i="85"/>
  <c r="P10" i="85"/>
  <c r="P11" i="85"/>
  <c r="P12" i="85"/>
  <c r="H58" i="73"/>
  <c r="A303" i="2"/>
  <c r="A304" i="2"/>
  <c r="A305" i="2"/>
  <c r="A301" i="2"/>
  <c r="A227" i="2"/>
  <c r="J29" i="2"/>
  <c r="J142" i="2"/>
  <c r="F29" i="2"/>
  <c r="F142" i="2"/>
  <c r="A7" i="86"/>
  <c r="A8" i="86"/>
  <c r="A9" i="86"/>
  <c r="A10" i="86"/>
  <c r="A11" i="86"/>
  <c r="A38" i="73"/>
  <c r="A40" i="73"/>
  <c r="A41" i="73"/>
  <c r="A42" i="73"/>
  <c r="A43" i="73"/>
  <c r="A44" i="73"/>
  <c r="A45" i="73"/>
  <c r="A46" i="73"/>
  <c r="A47" i="73"/>
  <c r="A48" i="73"/>
  <c r="F232" i="2"/>
  <c r="J232" i="2"/>
  <c r="J155" i="2"/>
  <c r="F155" i="2"/>
  <c r="J17" i="2"/>
  <c r="F17" i="2"/>
  <c r="D30" i="49"/>
  <c r="P24" i="85"/>
  <c r="P23" i="85"/>
  <c r="K242" i="2"/>
  <c r="K241" i="2"/>
  <c r="G242" i="2"/>
  <c r="G241" i="2"/>
  <c r="E35" i="93"/>
  <c r="I65" i="77"/>
  <c r="I66" i="77"/>
  <c r="D136" i="77"/>
  <c r="G146" i="75"/>
  <c r="G148" i="75"/>
  <c r="G257" i="2"/>
  <c r="G258" i="2"/>
  <c r="G138" i="2"/>
  <c r="G139" i="2"/>
  <c r="G140" i="2"/>
  <c r="G9" i="2"/>
  <c r="H30" i="2"/>
  <c r="H31" i="2"/>
  <c r="H36" i="2"/>
  <c r="H37" i="2"/>
  <c r="H50" i="2"/>
  <c r="H51" i="2"/>
  <c r="H67" i="2"/>
  <c r="H68" i="2"/>
  <c r="H82" i="2"/>
  <c r="H83" i="2"/>
  <c r="H122" i="2"/>
  <c r="H124" i="2"/>
  <c r="H125" i="2"/>
  <c r="H128" i="2"/>
  <c r="H129" i="2"/>
  <c r="H130" i="2"/>
  <c r="H131" i="2"/>
  <c r="H139" i="2"/>
  <c r="H251" i="2"/>
  <c r="H252" i="2"/>
  <c r="H273" i="2"/>
  <c r="H274" i="2"/>
  <c r="H297" i="2"/>
  <c r="I34" i="2"/>
  <c r="I35" i="2"/>
  <c r="I59" i="2"/>
  <c r="I60" i="2"/>
  <c r="I61" i="2"/>
  <c r="I62" i="2"/>
  <c r="I65" i="2"/>
  <c r="I66" i="2"/>
  <c r="I106" i="2"/>
  <c r="I107" i="2"/>
  <c r="I108" i="2"/>
  <c r="I109" i="2"/>
  <c r="I127" i="2"/>
  <c r="I139" i="2"/>
  <c r="I303" i="2"/>
  <c r="F56" i="77"/>
  <c r="F88" i="77"/>
  <c r="F63" i="77"/>
  <c r="F70" i="77"/>
  <c r="F79" i="77"/>
  <c r="F89" i="77"/>
  <c r="G80" i="75"/>
  <c r="G56" i="77"/>
  <c r="G63" i="77"/>
  <c r="G70" i="77"/>
  <c r="G79" i="77"/>
  <c r="G88" i="77"/>
  <c r="H56" i="77"/>
  <c r="H79" i="77"/>
  <c r="H88" i="77"/>
  <c r="D47" i="73"/>
  <c r="H47" i="73"/>
  <c r="H54" i="73"/>
  <c r="F73" i="73"/>
  <c r="G97" i="75"/>
  <c r="E39" i="49"/>
  <c r="G174" i="75"/>
  <c r="D156" i="77"/>
  <c r="D142" i="77"/>
  <c r="G22" i="78"/>
  <c r="G55" i="78"/>
  <c r="G56" i="78"/>
  <c r="G57" i="78"/>
  <c r="G58" i="78"/>
  <c r="G59" i="78"/>
  <c r="G60" i="78"/>
  <c r="G61" i="78"/>
  <c r="G62" i="78"/>
  <c r="G63" i="78"/>
  <c r="G64" i="78"/>
  <c r="G65" i="78"/>
  <c r="D61" i="56"/>
  <c r="D60" i="56"/>
  <c r="D53" i="56"/>
  <c r="D58" i="56"/>
  <c r="D59" i="56"/>
  <c r="D62" i="56"/>
  <c r="D63" i="56"/>
  <c r="G53" i="55"/>
  <c r="H53" i="55"/>
  <c r="L274" i="2"/>
  <c r="L273" i="2"/>
  <c r="A7" i="74"/>
  <c r="A8" i="74"/>
  <c r="A9" i="74"/>
  <c r="A10" i="74"/>
  <c r="E52" i="55"/>
  <c r="G52" i="55"/>
  <c r="E39" i="44"/>
  <c r="E45" i="44"/>
  <c r="E48" i="44"/>
  <c r="F39" i="44"/>
  <c r="F45" i="44"/>
  <c r="F48" i="44"/>
  <c r="G39" i="44"/>
  <c r="G45" i="44"/>
  <c r="G48" i="44"/>
  <c r="H39" i="44"/>
  <c r="H45" i="44"/>
  <c r="H48" i="44"/>
  <c r="I39" i="44"/>
  <c r="I45" i="44"/>
  <c r="I48" i="44"/>
  <c r="J39" i="44"/>
  <c r="J45" i="44"/>
  <c r="J48" i="44"/>
  <c r="K39" i="44"/>
  <c r="K45" i="44"/>
  <c r="K48" i="44"/>
  <c r="L39" i="44"/>
  <c r="L45" i="44"/>
  <c r="L48" i="44"/>
  <c r="M39" i="44"/>
  <c r="M45" i="44"/>
  <c r="M48" i="44"/>
  <c r="N39" i="44"/>
  <c r="N45" i="44"/>
  <c r="N48" i="44"/>
  <c r="O39" i="44"/>
  <c r="O45" i="44"/>
  <c r="O48" i="44"/>
  <c r="P39" i="44"/>
  <c r="P45" i="44"/>
  <c r="P48" i="44"/>
  <c r="H202" i="75"/>
  <c r="D39" i="44"/>
  <c r="D45" i="44"/>
  <c r="F30" i="56"/>
  <c r="F61" i="56"/>
  <c r="F31" i="56"/>
  <c r="F60" i="56"/>
  <c r="E45" i="55"/>
  <c r="E55" i="55"/>
  <c r="G55" i="55"/>
  <c r="E54" i="55"/>
  <c r="G54" i="55"/>
  <c r="E53" i="55"/>
  <c r="A11"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O35" i="67"/>
  <c r="O34" i="67"/>
  <c r="O29" i="67"/>
  <c r="C71" i="73"/>
  <c r="C72" i="73"/>
  <c r="Q37" i="73"/>
  <c r="D72" i="73"/>
  <c r="A10" i="78"/>
  <c r="A11" i="78"/>
  <c r="A12" i="78"/>
  <c r="A13" i="78"/>
  <c r="A14" i="78"/>
  <c r="A15" i="78"/>
  <c r="A16" i="78"/>
  <c r="A17" i="78"/>
  <c r="A18" i="78"/>
  <c r="A19" i="78"/>
  <c r="A20" i="78"/>
  <c r="A21" i="78"/>
  <c r="A22" i="78"/>
  <c r="E37" i="78"/>
  <c r="E38" i="78"/>
  <c r="E39" i="78"/>
  <c r="E40" i="78"/>
  <c r="E41" i="78"/>
  <c r="E42" i="78"/>
  <c r="E43" i="78"/>
  <c r="E44" i="78"/>
  <c r="E45" i="78"/>
  <c r="E46" i="78"/>
  <c r="E47" i="78"/>
  <c r="E48" i="78"/>
  <c r="E49" i="78"/>
  <c r="E50" i="78"/>
  <c r="E51" i="78"/>
  <c r="E52" i="78"/>
  <c r="E53" i="78"/>
  <c r="E54" i="78"/>
  <c r="E55" i="78"/>
  <c r="E56" i="78"/>
  <c r="E57" i="78"/>
  <c r="E58" i="78"/>
  <c r="E59" i="78"/>
  <c r="E60" i="78"/>
  <c r="E61" i="78"/>
  <c r="E62" i="78"/>
  <c r="E63" i="78"/>
  <c r="E64" i="78"/>
  <c r="E65" i="78"/>
  <c r="F65" i="78"/>
  <c r="E27" i="55"/>
  <c r="G27" i="55"/>
  <c r="H27" i="55"/>
  <c r="E30" i="55"/>
  <c r="G30" i="55"/>
  <c r="E35" i="55"/>
  <c r="G35" i="55"/>
  <c r="H35" i="55"/>
  <c r="E36" i="55"/>
  <c r="G36" i="55"/>
  <c r="H36" i="55"/>
  <c r="F22" i="56"/>
  <c r="F23" i="56"/>
  <c r="F47" i="56"/>
  <c r="F48" i="56"/>
  <c r="F24" i="56"/>
  <c r="F25" i="56"/>
  <c r="F26" i="56"/>
  <c r="F27" i="56"/>
  <c r="C39" i="87"/>
  <c r="C41" i="87"/>
  <c r="D39" i="87"/>
  <c r="E39" i="87"/>
  <c r="C37" i="96"/>
  <c r="C38" i="96"/>
  <c r="D37" i="96"/>
  <c r="D39" i="96"/>
  <c r="E42" i="55"/>
  <c r="E43" i="55"/>
  <c r="E44" i="55"/>
  <c r="E46" i="55"/>
  <c r="E47" i="55"/>
  <c r="E48" i="55"/>
  <c r="E49" i="55"/>
  <c r="E50" i="55"/>
  <c r="E51" i="55"/>
  <c r="K21" i="55"/>
  <c r="E37" i="55"/>
  <c r="E38" i="55"/>
  <c r="E39" i="55"/>
  <c r="E40" i="55"/>
  <c r="G40" i="55"/>
  <c r="E41" i="55"/>
  <c r="E54" i="56"/>
  <c r="E55" i="56"/>
  <c r="E56" i="56"/>
  <c r="E57" i="56"/>
  <c r="C11" i="57"/>
  <c r="G134" i="75"/>
  <c r="E25" i="93"/>
  <c r="E26" i="93"/>
  <c r="E27" i="93"/>
  <c r="E28" i="93"/>
  <c r="E29" i="93"/>
  <c r="E30" i="93"/>
  <c r="E31" i="93"/>
  <c r="E32" i="93"/>
  <c r="E33" i="93"/>
  <c r="E34" i="93"/>
  <c r="E38" i="93"/>
  <c r="E58" i="93"/>
  <c r="D106" i="77"/>
  <c r="F32" i="56"/>
  <c r="F33" i="56"/>
  <c r="F34" i="56"/>
  <c r="F35" i="56"/>
  <c r="F36" i="56"/>
  <c r="F37" i="56"/>
  <c r="F38" i="56"/>
  <c r="F39" i="56"/>
  <c r="F40" i="56"/>
  <c r="F41" i="56"/>
  <c r="F42" i="56"/>
  <c r="E65" i="93"/>
  <c r="G150" i="75"/>
  <c r="Q14" i="74"/>
  <c r="D58" i="77"/>
  <c r="H58" i="77"/>
  <c r="Q15" i="74"/>
  <c r="D59" i="77"/>
  <c r="H59" i="77"/>
  <c r="Q16" i="74"/>
  <c r="D65" i="77"/>
  <c r="H65" i="77"/>
  <c r="H70" i="77"/>
  <c r="Q9" i="91"/>
  <c r="G90" i="75"/>
  <c r="Q10" i="91"/>
  <c r="G91" i="75"/>
  <c r="H91" i="75"/>
  <c r="G260" i="75"/>
  <c r="Q8" i="44"/>
  <c r="Q9" i="44"/>
  <c r="Q10" i="44"/>
  <c r="Q11" i="44"/>
  <c r="Q33" i="44"/>
  <c r="Q38" i="44"/>
  <c r="Q34" i="44"/>
  <c r="Q35" i="44"/>
  <c r="Q36" i="44"/>
  <c r="Q37" i="44"/>
  <c r="Q39" i="44"/>
  <c r="Q44" i="44"/>
  <c r="Q46" i="44"/>
  <c r="Q47" i="44"/>
  <c r="Q15" i="44"/>
  <c r="Q16" i="44"/>
  <c r="Q17" i="44"/>
  <c r="Q18" i="44"/>
  <c r="Q19" i="44"/>
  <c r="G201" i="75"/>
  <c r="G209" i="75"/>
  <c r="F10" i="56"/>
  <c r="F54" i="56"/>
  <c r="D144" i="77"/>
  <c r="F45" i="87"/>
  <c r="G45" i="87"/>
  <c r="D8" i="49"/>
  <c r="D12" i="49"/>
  <c r="D15" i="49"/>
  <c r="D17" i="49"/>
  <c r="D18" i="49"/>
  <c r="D19" i="49"/>
  <c r="D32" i="49"/>
  <c r="F11" i="56"/>
  <c r="F55" i="56"/>
  <c r="D158" i="77"/>
  <c r="D10" i="51"/>
  <c r="G269" i="75"/>
  <c r="H269" i="75"/>
  <c r="F10" i="51"/>
  <c r="H284" i="75"/>
  <c r="L10" i="88"/>
  <c r="I228" i="88"/>
  <c r="G285" i="75"/>
  <c r="H279" i="75"/>
  <c r="B311" i="2"/>
  <c r="B310" i="2"/>
  <c r="B309" i="2"/>
  <c r="B308" i="2"/>
  <c r="C178" i="88"/>
  <c r="C116" i="88"/>
  <c r="C56" i="88"/>
  <c r="A8" i="77"/>
  <c r="A9" i="77"/>
  <c r="A10" i="77"/>
  <c r="A47" i="77"/>
  <c r="A48" i="77"/>
  <c r="A49" i="77"/>
  <c r="J298" i="2"/>
  <c r="F298" i="2"/>
  <c r="L297" i="2"/>
  <c r="J293" i="2"/>
  <c r="F293" i="2"/>
  <c r="J292" i="2"/>
  <c r="F292" i="2"/>
  <c r="J291" i="2"/>
  <c r="F291" i="2"/>
  <c r="J290" i="2"/>
  <c r="F290" i="2"/>
  <c r="J289" i="2"/>
  <c r="F289" i="2"/>
  <c r="J276" i="2"/>
  <c r="F276" i="2"/>
  <c r="J275" i="2"/>
  <c r="F275" i="2"/>
  <c r="J272" i="2"/>
  <c r="F272" i="2"/>
  <c r="J271" i="2"/>
  <c r="F271" i="2"/>
  <c r="J270" i="2"/>
  <c r="F270" i="2"/>
  <c r="J269" i="2"/>
  <c r="F269" i="2"/>
  <c r="J268" i="2"/>
  <c r="F268" i="2"/>
  <c r="J267" i="2"/>
  <c r="F267" i="2"/>
  <c r="J266" i="2"/>
  <c r="F266" i="2"/>
  <c r="J265" i="2"/>
  <c r="F265" i="2"/>
  <c r="J264" i="2"/>
  <c r="F264" i="2"/>
  <c r="J263" i="2"/>
  <c r="F263" i="2"/>
  <c r="J262" i="2"/>
  <c r="F262" i="2"/>
  <c r="J261" i="2"/>
  <c r="F261" i="2"/>
  <c r="J260" i="2"/>
  <c r="F260" i="2"/>
  <c r="J259" i="2"/>
  <c r="F259" i="2"/>
  <c r="K258" i="2"/>
  <c r="K257" i="2"/>
  <c r="J256" i="2"/>
  <c r="F256" i="2"/>
  <c r="J255" i="2"/>
  <c r="F255" i="2"/>
  <c r="L252" i="2"/>
  <c r="L251" i="2"/>
  <c r="J248" i="2"/>
  <c r="F248" i="2"/>
  <c r="J247" i="2"/>
  <c r="F247" i="2"/>
  <c r="J246" i="2"/>
  <c r="F246" i="2"/>
  <c r="J245" i="2"/>
  <c r="F245" i="2"/>
  <c r="J240" i="2"/>
  <c r="F240" i="2"/>
  <c r="J239" i="2"/>
  <c r="F239" i="2"/>
  <c r="J238" i="2"/>
  <c r="F238" i="2"/>
  <c r="J237" i="2"/>
  <c r="F237" i="2"/>
  <c r="J236" i="2"/>
  <c r="F236" i="2"/>
  <c r="J235" i="2"/>
  <c r="F235" i="2"/>
  <c r="J234" i="2"/>
  <c r="F234" i="2"/>
  <c r="J233" i="2"/>
  <c r="F233" i="2"/>
  <c r="J133" i="2"/>
  <c r="F133" i="2"/>
  <c r="J132" i="2"/>
  <c r="F132" i="2"/>
  <c r="L131" i="2"/>
  <c r="L130" i="2"/>
  <c r="L129" i="2"/>
  <c r="L128" i="2"/>
  <c r="M127" i="2"/>
  <c r="J126" i="2"/>
  <c r="F126" i="2"/>
  <c r="L125" i="2"/>
  <c r="L124" i="2"/>
  <c r="J117" i="2"/>
  <c r="F117" i="2"/>
  <c r="J116" i="2"/>
  <c r="F116" i="2"/>
  <c r="J115" i="2"/>
  <c r="F115" i="2"/>
  <c r="J114" i="2"/>
  <c r="F114" i="2"/>
  <c r="M109" i="2"/>
  <c r="M108" i="2"/>
  <c r="M107" i="2"/>
  <c r="M106" i="2"/>
  <c r="J105" i="2"/>
  <c r="F105" i="2"/>
  <c r="J104" i="2"/>
  <c r="F104" i="2"/>
  <c r="J103" i="2"/>
  <c r="F103" i="2"/>
  <c r="J102" i="2"/>
  <c r="F102" i="2"/>
  <c r="J99" i="2"/>
  <c r="F99" i="2"/>
  <c r="J98" i="2"/>
  <c r="F98" i="2"/>
  <c r="J97" i="2"/>
  <c r="F97" i="2"/>
  <c r="J96" i="2"/>
  <c r="F96" i="2"/>
  <c r="J95" i="2"/>
  <c r="F95" i="2"/>
  <c r="J94" i="2"/>
  <c r="F94" i="2"/>
  <c r="J93" i="2"/>
  <c r="F93" i="2"/>
  <c r="J92" i="2"/>
  <c r="F92" i="2"/>
  <c r="J91" i="2"/>
  <c r="F91" i="2"/>
  <c r="J90" i="2"/>
  <c r="F90" i="2"/>
  <c r="L83" i="2"/>
  <c r="L82" i="2"/>
  <c r="J79" i="2"/>
  <c r="F79" i="2"/>
  <c r="J78" i="2"/>
  <c r="F78" i="2"/>
  <c r="J77" i="2"/>
  <c r="F77" i="2"/>
  <c r="J76" i="2"/>
  <c r="F76" i="2"/>
  <c r="J75" i="2"/>
  <c r="F75" i="2"/>
  <c r="J74" i="2"/>
  <c r="F74" i="2"/>
  <c r="J71" i="2"/>
  <c r="F71" i="2"/>
  <c r="J70" i="2"/>
  <c r="F70" i="2"/>
  <c r="J69" i="2"/>
  <c r="F69" i="2"/>
  <c r="L68" i="2"/>
  <c r="L67" i="2"/>
  <c r="M66" i="2"/>
  <c r="M65" i="2"/>
  <c r="J64" i="2"/>
  <c r="F64" i="2"/>
  <c r="J63" i="2"/>
  <c r="F63" i="2"/>
  <c r="M62" i="2"/>
  <c r="M61" i="2"/>
  <c r="M60" i="2"/>
  <c r="M59" i="2"/>
  <c r="J56" i="2"/>
  <c r="F56" i="2"/>
  <c r="J55" i="2"/>
  <c r="F55" i="2"/>
  <c r="J54" i="2"/>
  <c r="F54" i="2"/>
  <c r="J53" i="2"/>
  <c r="F53" i="2"/>
  <c r="J52" i="2"/>
  <c r="F52" i="2"/>
  <c r="L51" i="2"/>
  <c r="L50" i="2"/>
  <c r="J49" i="2"/>
  <c r="F49" i="2"/>
  <c r="J48" i="2"/>
  <c r="F48" i="2"/>
  <c r="J47" i="2"/>
  <c r="F47" i="2"/>
  <c r="J46" i="2"/>
  <c r="F46" i="2"/>
  <c r="J45" i="2"/>
  <c r="F45" i="2"/>
  <c r="J44" i="2"/>
  <c r="F44" i="2"/>
  <c r="J43" i="2"/>
  <c r="F43" i="2"/>
  <c r="J42" i="2"/>
  <c r="F42" i="2"/>
  <c r="J39" i="2"/>
  <c r="F39" i="2"/>
  <c r="J38" i="2"/>
  <c r="F38" i="2"/>
  <c r="L37" i="2"/>
  <c r="L36" i="2"/>
  <c r="M35" i="2"/>
  <c r="M34" i="2"/>
  <c r="J33" i="2"/>
  <c r="F33" i="2"/>
  <c r="J32" i="2"/>
  <c r="F32" i="2"/>
  <c r="L31" i="2"/>
  <c r="L30" i="2"/>
  <c r="J28" i="2"/>
  <c r="F28" i="2"/>
  <c r="J27" i="2"/>
  <c r="F27" i="2"/>
  <c r="J26" i="2"/>
  <c r="F26" i="2"/>
  <c r="J25" i="2"/>
  <c r="F25" i="2"/>
  <c r="J24" i="2"/>
  <c r="F24" i="2"/>
  <c r="J23" i="2"/>
  <c r="F23" i="2"/>
  <c r="J22" i="2"/>
  <c r="F22" i="2"/>
  <c r="J19" i="2"/>
  <c r="F19" i="2"/>
  <c r="J18" i="2"/>
  <c r="F18" i="2"/>
  <c r="Q13" i="74"/>
  <c r="D52" i="77"/>
  <c r="E52" i="77"/>
  <c r="M139" i="2"/>
  <c r="L139" i="2"/>
  <c r="K139" i="2"/>
  <c r="E139" i="2"/>
  <c r="D139" i="2"/>
  <c r="E55" i="73"/>
  <c r="E50" i="73"/>
  <c r="A16" i="85"/>
  <c r="A17" i="85"/>
  <c r="A18" i="85"/>
  <c r="A19" i="85"/>
  <c r="A20" i="85"/>
  <c r="A21" i="85"/>
  <c r="A22" i="85"/>
  <c r="P8" i="85"/>
  <c r="B53" i="67"/>
  <c r="Q11" i="74"/>
  <c r="D50" i="77"/>
  <c r="E50" i="77"/>
  <c r="Q12" i="74"/>
  <c r="Q17" i="74"/>
  <c r="D66" i="77"/>
  <c r="E66" i="77"/>
  <c r="E70" i="77"/>
  <c r="Q18" i="74"/>
  <c r="D72" i="77"/>
  <c r="E72" i="77"/>
  <c r="Q19" i="74"/>
  <c r="D73" i="77"/>
  <c r="E73" i="77"/>
  <c r="Q20" i="74"/>
  <c r="D74" i="77"/>
  <c r="E74" i="77"/>
  <c r="Q21" i="74"/>
  <c r="D75" i="77"/>
  <c r="E75" i="77"/>
  <c r="Q22" i="74"/>
  <c r="F8" i="56"/>
  <c r="F9" i="56"/>
  <c r="F28" i="56"/>
  <c r="F29" i="56"/>
  <c r="F43" i="56"/>
  <c r="F12" i="56"/>
  <c r="F13" i="56"/>
  <c r="D55" i="56"/>
  <c r="D54" i="56"/>
  <c r="D49" i="56"/>
  <c r="D47" i="56"/>
  <c r="D48" i="56"/>
  <c r="F14" i="56"/>
  <c r="F15" i="56"/>
  <c r="F16" i="56"/>
  <c r="A8" i="56"/>
  <c r="A9" i="56"/>
  <c r="A10" i="56"/>
  <c r="A11" i="56"/>
  <c r="A12" i="56"/>
  <c r="A13" i="56"/>
  <c r="A14" i="56"/>
  <c r="A15" i="56"/>
  <c r="A16" i="56"/>
  <c r="D47" i="87"/>
  <c r="E47" i="87"/>
  <c r="F47" i="87"/>
  <c r="D48" i="87"/>
  <c r="E48" i="87"/>
  <c r="D50" i="87"/>
  <c r="E50" i="87"/>
  <c r="D52" i="87"/>
  <c r="E52" i="87"/>
  <c r="F49" i="87"/>
  <c r="F51" i="87"/>
  <c r="A39" i="95"/>
  <c r="A40" i="95"/>
  <c r="A41" i="95"/>
  <c r="A42" i="95"/>
  <c r="A43" i="95"/>
  <c r="A44" i="95"/>
  <c r="A45" i="95"/>
  <c r="A46" i="95"/>
  <c r="A47" i="95"/>
  <c r="A48" i="95"/>
  <c r="A49" i="95"/>
  <c r="A50" i="95"/>
  <c r="A51" i="95"/>
  <c r="A52" i="95"/>
  <c r="A53" i="95"/>
  <c r="A54" i="95"/>
  <c r="A55" i="95"/>
  <c r="A56" i="95"/>
  <c r="A57" i="95"/>
  <c r="A58" i="95"/>
  <c r="A59" i="95"/>
  <c r="A60" i="95"/>
  <c r="A61" i="95"/>
  <c r="B59" i="95"/>
  <c r="A8" i="95"/>
  <c r="A9" i="95"/>
  <c r="A10" i="95"/>
  <c r="A14" i="95"/>
  <c r="A15" i="95"/>
  <c r="A16" i="95"/>
  <c r="A17" i="95"/>
  <c r="A18" i="95"/>
  <c r="A19" i="95"/>
  <c r="A20" i="95"/>
  <c r="A21" i="95"/>
  <c r="A22" i="95"/>
  <c r="A23" i="95"/>
  <c r="A24" i="95"/>
  <c r="A25" i="95"/>
  <c r="A26" i="95"/>
  <c r="A27" i="95"/>
  <c r="A28" i="95"/>
  <c r="A29" i="95"/>
  <c r="A30" i="95"/>
  <c r="A31" i="95"/>
  <c r="A35" i="95"/>
  <c r="A36" i="95"/>
  <c r="A37" i="95"/>
  <c r="A38" i="95"/>
  <c r="C42" i="96"/>
  <c r="D42" i="96"/>
  <c r="E42" i="96"/>
  <c r="E43" i="96"/>
  <c r="C44" i="96"/>
  <c r="D44" i="96"/>
  <c r="E44" i="96"/>
  <c r="C45" i="96"/>
  <c r="D45" i="96"/>
  <c r="E45" i="96"/>
  <c r="C46" i="96"/>
  <c r="D46" i="96"/>
  <c r="E47" i="96"/>
  <c r="C48" i="96"/>
  <c r="D48" i="96"/>
  <c r="E48" i="96"/>
  <c r="E49" i="96"/>
  <c r="C50" i="96"/>
  <c r="D50" i="96"/>
  <c r="C51" i="96"/>
  <c r="D51" i="96"/>
  <c r="E51" i="96"/>
  <c r="A32" i="96"/>
  <c r="A33" i="96"/>
  <c r="A34" i="96"/>
  <c r="A35" i="96"/>
  <c r="E35" i="96"/>
  <c r="E36" i="96"/>
  <c r="E37" i="96"/>
  <c r="E8" i="96"/>
  <c r="E9" i="96"/>
  <c r="E10" i="96"/>
  <c r="E11" i="96"/>
  <c r="E12" i="96"/>
  <c r="E13" i="96"/>
  <c r="E14" i="96"/>
  <c r="E15" i="96"/>
  <c r="E16" i="96"/>
  <c r="E17" i="96"/>
  <c r="E18" i="96"/>
  <c r="E19" i="96"/>
  <c r="E20" i="96"/>
  <c r="E21" i="96"/>
  <c r="E22" i="96"/>
  <c r="E23" i="96"/>
  <c r="E24" i="96"/>
  <c r="E25" i="96"/>
  <c r="E26" i="96"/>
  <c r="E27" i="96"/>
  <c r="E28" i="96"/>
  <c r="E29" i="96"/>
  <c r="E30" i="96"/>
  <c r="E31" i="96"/>
  <c r="D32" i="96"/>
  <c r="C32" i="96"/>
  <c r="B32" i="96"/>
  <c r="A8" i="96"/>
  <c r="Q8" i="74"/>
  <c r="Q9" i="74"/>
  <c r="D48" i="77"/>
  <c r="E48" i="77"/>
  <c r="Q10" i="74"/>
  <c r="D49" i="77"/>
  <c r="E49" i="77"/>
  <c r="Q23" i="74"/>
  <c r="Q24" i="74"/>
  <c r="E25" i="74"/>
  <c r="F25" i="74"/>
  <c r="G25" i="74"/>
  <c r="H25" i="74"/>
  <c r="I25" i="74"/>
  <c r="J25" i="74"/>
  <c r="K25" i="74"/>
  <c r="L25" i="74"/>
  <c r="M25" i="74"/>
  <c r="N25" i="74"/>
  <c r="O25" i="74"/>
  <c r="P25" i="74"/>
  <c r="D25" i="74"/>
  <c r="O45" i="67"/>
  <c r="O46" i="67"/>
  <c r="O47" i="67"/>
  <c r="A3" i="67"/>
  <c r="H97" i="75"/>
  <c r="K138" i="2"/>
  <c r="M303" i="2"/>
  <c r="M305" i="2"/>
  <c r="M12" i="2"/>
  <c r="H80" i="75"/>
  <c r="H106" i="75"/>
  <c r="D104" i="88"/>
  <c r="M104" i="88"/>
  <c r="H134" i="75"/>
  <c r="D132" i="88"/>
  <c r="H116" i="75"/>
  <c r="P12" i="44"/>
  <c r="P20" i="44"/>
  <c r="H198" i="75"/>
  <c r="P30" i="44"/>
  <c r="H200" i="75"/>
  <c r="D212" i="88"/>
  <c r="H201" i="75"/>
  <c r="G12" i="86"/>
  <c r="C59" i="55"/>
  <c r="D59" i="55"/>
  <c r="F59" i="55"/>
  <c r="D51" i="77"/>
  <c r="D82" i="77"/>
  <c r="E63" i="77"/>
  <c r="D47" i="77"/>
  <c r="E47" i="77"/>
  <c r="A78" i="77"/>
  <c r="A72" i="77"/>
  <c r="A73" i="77"/>
  <c r="A74" i="77"/>
  <c r="A75" i="77"/>
  <c r="A76" i="77"/>
  <c r="A69" i="77"/>
  <c r="A65" i="77"/>
  <c r="A66" i="77"/>
  <c r="A67" i="77"/>
  <c r="A62" i="77"/>
  <c r="A58" i="77"/>
  <c r="A59" i="77"/>
  <c r="A60" i="77"/>
  <c r="A55" i="77"/>
  <c r="A50" i="77"/>
  <c r="A51" i="77"/>
  <c r="A52" i="77"/>
  <c r="A53" i="77"/>
  <c r="A18" i="77"/>
  <c r="O55" i="67"/>
  <c r="O41" i="67"/>
  <c r="O40" i="67"/>
  <c r="O39" i="67"/>
  <c r="J42" i="62"/>
  <c r="F30" i="62"/>
  <c r="F31" i="62"/>
  <c r="F32" i="62"/>
  <c r="F35" i="62"/>
  <c r="F38" i="62"/>
  <c r="F39" i="62"/>
  <c r="D42" i="62"/>
  <c r="D23" i="62"/>
  <c r="F9" i="62"/>
  <c r="F11" i="62"/>
  <c r="F13" i="62"/>
  <c r="F15" i="62"/>
  <c r="F17" i="62"/>
  <c r="F19" i="62"/>
  <c r="F21" i="62"/>
  <c r="D169" i="77"/>
  <c r="P13" i="85"/>
  <c r="P14" i="85"/>
  <c r="P15" i="85"/>
  <c r="P16" i="85"/>
  <c r="C26" i="85"/>
  <c r="D26" i="85"/>
  <c r="E26" i="85"/>
  <c r="F26" i="85"/>
  <c r="G26" i="85"/>
  <c r="H26" i="85"/>
  <c r="I26" i="85"/>
  <c r="J26" i="85"/>
  <c r="K26" i="85"/>
  <c r="L26" i="85"/>
  <c r="M26" i="85"/>
  <c r="N26" i="85"/>
  <c r="P26" i="85"/>
  <c r="P28" i="85"/>
  <c r="D172" i="77"/>
  <c r="D173" i="77"/>
  <c r="G261" i="75"/>
  <c r="J23" i="62"/>
  <c r="H174" i="75"/>
  <c r="H285" i="75"/>
  <c r="A39" i="93"/>
  <c r="A40" i="93"/>
  <c r="A41" i="93"/>
  <c r="A42" i="93"/>
  <c r="A43" i="93"/>
  <c r="A44" i="93"/>
  <c r="A45" i="93"/>
  <c r="D67" i="88"/>
  <c r="D76" i="88"/>
  <c r="D70" i="88"/>
  <c r="D79" i="88"/>
  <c r="D88" i="88"/>
  <c r="M107" i="88"/>
  <c r="M64" i="78"/>
  <c r="M62" i="78"/>
  <c r="A10" i="61"/>
  <c r="A11" i="61"/>
  <c r="A12" i="61"/>
  <c r="A13" i="61"/>
  <c r="A14" i="61"/>
  <c r="A15" i="61"/>
  <c r="A16" i="61"/>
  <c r="A17" i="61"/>
  <c r="A18" i="61"/>
  <c r="A19" i="61"/>
  <c r="A20" i="61"/>
  <c r="A21" i="61"/>
  <c r="C10" i="60"/>
  <c r="A7" i="60"/>
  <c r="D128" i="88"/>
  <c r="D125" i="88"/>
  <c r="M125" i="88"/>
  <c r="D127" i="88"/>
  <c r="M127" i="88"/>
  <c r="D134" i="88"/>
  <c r="D140" i="88"/>
  <c r="M140" i="88"/>
  <c r="I229" i="88"/>
  <c r="I25" i="88"/>
  <c r="M133" i="88"/>
  <c r="M136" i="88"/>
  <c r="M142" i="88"/>
  <c r="M147" i="88"/>
  <c r="M148" i="88"/>
  <c r="M149" i="88"/>
  <c r="M150" i="88"/>
  <c r="M151" i="88"/>
  <c r="M152" i="88"/>
  <c r="A3" i="66"/>
  <c r="A1" i="66"/>
  <c r="A8" i="93"/>
  <c r="A9" i="93"/>
  <c r="A10" i="93"/>
  <c r="A11" i="93"/>
  <c r="A12" i="93"/>
  <c r="A13" i="93"/>
  <c r="A14" i="93"/>
  <c r="A15" i="93"/>
  <c r="A16" i="93"/>
  <c r="A17" i="93"/>
  <c r="A18" i="93"/>
  <c r="A19" i="93"/>
  <c r="A20" i="93"/>
  <c r="A21" i="93"/>
  <c r="A22" i="93"/>
  <c r="A23" i="93"/>
  <c r="A24" i="93"/>
  <c r="A25" i="93"/>
  <c r="A26" i="93"/>
  <c r="A27" i="93"/>
  <c r="A28" i="93"/>
  <c r="A29" i="93"/>
  <c r="A30" i="93"/>
  <c r="A31" i="93"/>
  <c r="A32" i="93"/>
  <c r="A33" i="93"/>
  <c r="A34" i="93"/>
  <c r="A35" i="93"/>
  <c r="A36" i="93"/>
  <c r="P20" i="85"/>
  <c r="P21" i="85"/>
  <c r="P25" i="85"/>
  <c r="A63" i="51"/>
  <c r="A64" i="51"/>
  <c r="H23" i="78"/>
  <c r="I62" i="55"/>
  <c r="I59" i="55"/>
  <c r="E140" i="2"/>
  <c r="A39" i="49"/>
  <c r="A40" i="49"/>
  <c r="A41" i="49"/>
  <c r="B30" i="49"/>
  <c r="I10" i="51"/>
  <c r="H10" i="51"/>
  <c r="B54" i="67"/>
  <c r="B48" i="67"/>
  <c r="B42" i="67"/>
  <c r="B38" i="67"/>
  <c r="B36" i="67"/>
  <c r="D66" i="55"/>
  <c r="F66" i="55"/>
  <c r="D67" i="55"/>
  <c r="F67" i="55"/>
  <c r="I67" i="55"/>
  <c r="J67" i="55"/>
  <c r="D68" i="55"/>
  <c r="F68" i="55"/>
  <c r="I68" i="55"/>
  <c r="J68" i="55"/>
  <c r="D69" i="55"/>
  <c r="F69" i="55"/>
  <c r="I69" i="55"/>
  <c r="J69" i="55"/>
  <c r="K20" i="55"/>
  <c r="D70" i="55"/>
  <c r="F70" i="55"/>
  <c r="I70" i="55"/>
  <c r="J70" i="55"/>
  <c r="D71" i="55"/>
  <c r="E71" i="55"/>
  <c r="F71" i="55"/>
  <c r="I71" i="55"/>
  <c r="J71" i="55"/>
  <c r="D73" i="55"/>
  <c r="F73" i="55"/>
  <c r="I73" i="55"/>
  <c r="J73" i="55"/>
  <c r="D74" i="55"/>
  <c r="F74" i="55"/>
  <c r="I74" i="55"/>
  <c r="J74" i="55"/>
  <c r="D75" i="55"/>
  <c r="F75" i="55"/>
  <c r="I75" i="55"/>
  <c r="J75" i="55"/>
  <c r="C75" i="55"/>
  <c r="C74" i="55"/>
  <c r="C73" i="55"/>
  <c r="C71" i="55"/>
  <c r="C70" i="55"/>
  <c r="C69" i="55"/>
  <c r="D60" i="55"/>
  <c r="D62" i="55"/>
  <c r="C60" i="55"/>
  <c r="C62" i="55"/>
  <c r="F60" i="55"/>
  <c r="F62" i="55"/>
  <c r="I60" i="55"/>
  <c r="J59" i="55"/>
  <c r="J60" i="55"/>
  <c r="J62" i="55"/>
  <c r="I56" i="55"/>
  <c r="J56" i="55"/>
  <c r="F59" i="56"/>
  <c r="F58" i="56"/>
  <c r="F21" i="56"/>
  <c r="F20" i="56"/>
  <c r="F19" i="56"/>
  <c r="F18" i="56"/>
  <c r="F17" i="56"/>
  <c r="C52" i="87"/>
  <c r="G51" i="87"/>
  <c r="C50" i="87"/>
  <c r="G49" i="87"/>
  <c r="C48" i="87"/>
  <c r="C47" i="87"/>
  <c r="C45" i="93"/>
  <c r="C43" i="93"/>
  <c r="C44" i="93"/>
  <c r="C46" i="93"/>
  <c r="D43" i="93"/>
  <c r="D44" i="93"/>
  <c r="D39" i="93"/>
  <c r="C58" i="93"/>
  <c r="C59" i="93"/>
  <c r="C39" i="93"/>
  <c r="G9" i="87"/>
  <c r="F10" i="87"/>
  <c r="G10" i="87"/>
  <c r="F11" i="87"/>
  <c r="F12" i="87"/>
  <c r="G12" i="87"/>
  <c r="F13" i="87"/>
  <c r="F14" i="87"/>
  <c r="G14" i="87"/>
  <c r="F15" i="87"/>
  <c r="G15" i="87"/>
  <c r="F16" i="87"/>
  <c r="G16" i="87"/>
  <c r="F17" i="87"/>
  <c r="G17" i="87"/>
  <c r="F18" i="87"/>
  <c r="G18" i="87"/>
  <c r="F19" i="87"/>
  <c r="G19" i="87"/>
  <c r="F20" i="87"/>
  <c r="G20" i="87"/>
  <c r="F21" i="87"/>
  <c r="G21" i="87"/>
  <c r="F22" i="87"/>
  <c r="G22" i="87"/>
  <c r="F23" i="87"/>
  <c r="G23" i="87"/>
  <c r="F26" i="87"/>
  <c r="G26" i="87"/>
  <c r="F27" i="87"/>
  <c r="G27" i="87"/>
  <c r="F28" i="87"/>
  <c r="F29" i="87"/>
  <c r="F30" i="87"/>
  <c r="G30" i="87"/>
  <c r="F31" i="87"/>
  <c r="G31" i="87"/>
  <c r="F32" i="87"/>
  <c r="G32" i="87"/>
  <c r="F33" i="87"/>
  <c r="G33" i="87"/>
  <c r="F39" i="87"/>
  <c r="G29" i="87"/>
  <c r="G28" i="87"/>
  <c r="G11" i="87"/>
  <c r="D34" i="87"/>
  <c r="A127" i="88"/>
  <c r="A128" i="88"/>
  <c r="A129" i="88"/>
  <c r="B10" i="60"/>
  <c r="A10" i="60"/>
  <c r="I19" i="77"/>
  <c r="A8" i="44"/>
  <c r="A9" i="44"/>
  <c r="A10" i="44"/>
  <c r="A11" i="44"/>
  <c r="A12" i="44"/>
  <c r="A13" i="44"/>
  <c r="A14" i="44"/>
  <c r="A15" i="44"/>
  <c r="A16" i="44"/>
  <c r="A17" i="44"/>
  <c r="A18" i="44"/>
  <c r="A19" i="44"/>
  <c r="A20" i="44"/>
  <c r="E12" i="44"/>
  <c r="E20" i="44"/>
  <c r="F12" i="44"/>
  <c r="F20" i="44"/>
  <c r="G12" i="44"/>
  <c r="G20" i="44"/>
  <c r="H12" i="44"/>
  <c r="H20" i="44"/>
  <c r="I12" i="44"/>
  <c r="I20" i="44"/>
  <c r="J12" i="44"/>
  <c r="J20" i="44"/>
  <c r="K12" i="44"/>
  <c r="K20" i="44"/>
  <c r="L12" i="44"/>
  <c r="L20" i="44"/>
  <c r="M12" i="44"/>
  <c r="M20" i="44"/>
  <c r="N12" i="44"/>
  <c r="N20" i="44"/>
  <c r="O12" i="44"/>
  <c r="O20" i="44"/>
  <c r="D12" i="44"/>
  <c r="D20" i="44"/>
  <c r="A34" i="87"/>
  <c r="A35" i="87"/>
  <c r="A36" i="87"/>
  <c r="A37" i="87"/>
  <c r="A38" i="87"/>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E151" i="75"/>
  <c r="E147" i="75"/>
  <c r="E146" i="75"/>
  <c r="E138" i="75"/>
  <c r="A10" i="57"/>
  <c r="A11" i="57"/>
  <c r="F134" i="75"/>
  <c r="B16" i="57"/>
  <c r="F197" i="75"/>
  <c r="A7" i="62"/>
  <c r="A8" i="62"/>
  <c r="A9" i="62"/>
  <c r="A10" i="62"/>
  <c r="A11" i="62"/>
  <c r="A12" i="62"/>
  <c r="A13" i="62"/>
  <c r="A14" i="62"/>
  <c r="A15" i="62"/>
  <c r="A16" i="62"/>
  <c r="A17" i="62"/>
  <c r="A18" i="62"/>
  <c r="A19" i="62"/>
  <c r="A20" i="62"/>
  <c r="A21" i="62"/>
  <c r="A22" i="62"/>
  <c r="A23" i="62"/>
  <c r="E28" i="75"/>
  <c r="E27" i="75"/>
  <c r="A212" i="88"/>
  <c r="A213" i="88"/>
  <c r="A198" i="88"/>
  <c r="A199" i="88"/>
  <c r="A200" i="88"/>
  <c r="A201" i="88"/>
  <c r="A204" i="88"/>
  <c r="A67" i="88"/>
  <c r="A69" i="88"/>
  <c r="A70" i="88"/>
  <c r="A71" i="88"/>
  <c r="A32" i="88"/>
  <c r="A33" i="88"/>
  <c r="A34" i="88"/>
  <c r="A35" i="88"/>
  <c r="A36" i="88"/>
  <c r="A37" i="88"/>
  <c r="A38" i="88"/>
  <c r="C28" i="88"/>
  <c r="A15" i="88"/>
  <c r="A16" i="88"/>
  <c r="A17" i="88"/>
  <c r="A18" i="88"/>
  <c r="A56" i="55"/>
  <c r="A57" i="55"/>
  <c r="A58" i="55"/>
  <c r="A59" i="55"/>
  <c r="A60" i="55"/>
  <c r="A8" i="58"/>
  <c r="A9" i="58"/>
  <c r="A10" i="58"/>
  <c r="A11" i="58"/>
  <c r="F72" i="75"/>
  <c r="F69" i="75"/>
  <c r="F68" i="75"/>
  <c r="E261" i="75"/>
  <c r="A68" i="88"/>
  <c r="K7" i="55"/>
  <c r="H7" i="55"/>
  <c r="E7" i="55"/>
  <c r="G7" i="55"/>
  <c r="B34" i="87"/>
  <c r="A9" i="87"/>
  <c r="A11" i="87"/>
  <c r="E41" i="87"/>
  <c r="G38" i="87"/>
  <c r="G37" i="87"/>
  <c r="A12" i="87"/>
  <c r="A13" i="87"/>
  <c r="A14" i="87"/>
  <c r="A15" i="87"/>
  <c r="A16" i="87"/>
  <c r="A17" i="87"/>
  <c r="A18" i="87"/>
  <c r="A19" i="87"/>
  <c r="A20" i="87"/>
  <c r="A21" i="87"/>
  <c r="A22" i="87"/>
  <c r="A23" i="87"/>
  <c r="A27" i="87"/>
  <c r="A28" i="87"/>
  <c r="A29" i="87"/>
  <c r="A30" i="87"/>
  <c r="A31" i="87"/>
  <c r="A32" i="87"/>
  <c r="A33" i="87"/>
  <c r="E49" i="56"/>
  <c r="C21" i="84"/>
  <c r="F276" i="75"/>
  <c r="F279" i="75"/>
  <c r="F277" i="75"/>
  <c r="A11" i="74"/>
  <c r="I50" i="77"/>
  <c r="A12" i="74"/>
  <c r="A13" i="74"/>
  <c r="I52" i="77"/>
  <c r="A14" i="74"/>
  <c r="I58" i="77"/>
  <c r="A15" i="74"/>
  <c r="D16" i="85"/>
  <c r="E16" i="85"/>
  <c r="E28" i="85"/>
  <c r="F16" i="85"/>
  <c r="G16" i="85"/>
  <c r="H16" i="85"/>
  <c r="H28" i="85"/>
  <c r="I16" i="85"/>
  <c r="J16" i="85"/>
  <c r="K16" i="85"/>
  <c r="L16" i="85"/>
  <c r="M16" i="85"/>
  <c r="M28" i="85"/>
  <c r="N16" i="85"/>
  <c r="C16" i="85"/>
  <c r="C28" i="85"/>
  <c r="E297" i="75"/>
  <c r="E296" i="75"/>
  <c r="C286" i="75"/>
  <c r="I221" i="88"/>
  <c r="B46" i="93"/>
  <c r="A189" i="88"/>
  <c r="A190" i="88"/>
  <c r="A191" i="88"/>
  <c r="C193" i="88"/>
  <c r="C191" i="88"/>
  <c r="B39" i="88"/>
  <c r="E198" i="75"/>
  <c r="E40" i="75"/>
  <c r="C283" i="75"/>
  <c r="F21" i="75"/>
  <c r="F17" i="75"/>
  <c r="F13" i="75"/>
  <c r="E115" i="75"/>
  <c r="E114" i="75"/>
  <c r="E106" i="75"/>
  <c r="F270" i="75"/>
  <c r="F269" i="75"/>
  <c r="C272" i="75"/>
  <c r="C271" i="75"/>
  <c r="A167" i="88"/>
  <c r="A169" i="88"/>
  <c r="C174" i="88"/>
  <c r="C7" i="88"/>
  <c r="C60" i="88"/>
  <c r="C120" i="88"/>
  <c r="C182" i="88"/>
  <c r="E101" i="75"/>
  <c r="E98" i="75"/>
  <c r="E97" i="75"/>
  <c r="E77" i="75"/>
  <c r="C79" i="77"/>
  <c r="C70" i="77"/>
  <c r="C63" i="77"/>
  <c r="E8" i="75"/>
  <c r="E43" i="93"/>
  <c r="E44" i="93"/>
  <c r="B44" i="93"/>
  <c r="B16" i="88"/>
  <c r="B15" i="88"/>
  <c r="D207" i="88"/>
  <c r="B32" i="85"/>
  <c r="B147" i="86"/>
  <c r="E301" i="75"/>
  <c r="E255" i="75"/>
  <c r="E254" i="75"/>
  <c r="E222" i="75"/>
  <c r="E134" i="75"/>
  <c r="E110" i="75"/>
  <c r="E104" i="75"/>
  <c r="E67" i="75"/>
  <c r="B178" i="77"/>
  <c r="A73" i="73"/>
  <c r="F101" i="75"/>
  <c r="F97" i="75"/>
  <c r="E41" i="75"/>
  <c r="E197" i="75"/>
  <c r="E199" i="75"/>
  <c r="E133" i="75"/>
  <c r="E125" i="75"/>
  <c r="G39" i="87"/>
  <c r="E34" i="87"/>
  <c r="C34" i="87"/>
  <c r="A4" i="87"/>
  <c r="A1" i="87"/>
  <c r="A43" i="56"/>
  <c r="A44" i="56"/>
  <c r="A45" i="56"/>
  <c r="A46" i="56"/>
  <c r="A47" i="56"/>
  <c r="A48" i="56"/>
  <c r="A49" i="56"/>
  <c r="D56" i="56"/>
  <c r="D57" i="56"/>
  <c r="B63" i="56"/>
  <c r="E47" i="56"/>
  <c r="E48" i="56"/>
  <c r="E43" i="56"/>
  <c r="D43" i="56"/>
  <c r="A3" i="56"/>
  <c r="A1" i="56"/>
  <c r="C66" i="55"/>
  <c r="C67" i="55"/>
  <c r="C68" i="55"/>
  <c r="F56" i="55"/>
  <c r="D56" i="55"/>
  <c r="C56" i="55"/>
  <c r="B56" i="55"/>
  <c r="A3" i="55"/>
  <c r="A1" i="55"/>
  <c r="B39" i="93"/>
  <c r="A3" i="93"/>
  <c r="A1" i="93"/>
  <c r="C25" i="74"/>
  <c r="A25" i="74"/>
  <c r="A3" i="74"/>
  <c r="A1" i="74"/>
  <c r="A1" i="67"/>
  <c r="A8" i="51"/>
  <c r="A9" i="51"/>
  <c r="A26" i="85"/>
  <c r="B29" i="85"/>
  <c r="B26" i="85"/>
  <c r="P19" i="85"/>
  <c r="B16" i="85"/>
  <c r="A3" i="85"/>
  <c r="A1" i="85"/>
  <c r="C8" i="86"/>
  <c r="C7" i="86"/>
  <c r="A3" i="86"/>
  <c r="A1" i="86"/>
  <c r="C12" i="44"/>
  <c r="A3" i="44"/>
  <c r="A1" i="44"/>
  <c r="B39" i="49"/>
  <c r="A3" i="49"/>
  <c r="A1" i="49"/>
  <c r="A3" i="57"/>
  <c r="A1" i="57"/>
  <c r="A3" i="60"/>
  <c r="A1" i="60"/>
  <c r="P8" i="58"/>
  <c r="P9" i="58"/>
  <c r="P10" i="58"/>
  <c r="P12" i="58"/>
  <c r="P13" i="58"/>
  <c r="P14" i="58"/>
  <c r="O15" i="58"/>
  <c r="N15" i="58"/>
  <c r="M15" i="58"/>
  <c r="L15" i="58"/>
  <c r="K15" i="58"/>
  <c r="J15" i="58"/>
  <c r="I15" i="58"/>
  <c r="H15" i="58"/>
  <c r="G15" i="58"/>
  <c r="F15" i="58"/>
  <c r="E15" i="58"/>
  <c r="D15" i="58"/>
  <c r="C15" i="58"/>
  <c r="A3" i="58"/>
  <c r="A1" i="58"/>
  <c r="C73" i="73"/>
  <c r="B73" i="73"/>
  <c r="B44" i="73"/>
  <c r="C42" i="73"/>
  <c r="B42" i="73"/>
  <c r="P38" i="73"/>
  <c r="K38" i="73"/>
  <c r="F38" i="73"/>
  <c r="C38" i="73"/>
  <c r="A3" i="73"/>
  <c r="A1" i="73"/>
  <c r="A9" i="91"/>
  <c r="A10" i="91"/>
  <c r="F91" i="75"/>
  <c r="A3" i="91"/>
  <c r="A1" i="91"/>
  <c r="N305" i="2"/>
  <c r="E303" i="2"/>
  <c r="D303" i="2"/>
  <c r="D305" i="2"/>
  <c r="N13" i="2"/>
  <c r="A3" i="2"/>
  <c r="A1" i="2"/>
  <c r="A8" i="84"/>
  <c r="A9" i="84"/>
  <c r="A10" i="84"/>
  <c r="A11" i="84"/>
  <c r="A12" i="84"/>
  <c r="A13" i="84"/>
  <c r="A14" i="84"/>
  <c r="A15" i="84"/>
  <c r="A16" i="84"/>
  <c r="A17" i="84"/>
  <c r="A18" i="84"/>
  <c r="A19" i="84"/>
  <c r="A20" i="84"/>
  <c r="A21" i="84"/>
  <c r="A22" i="84"/>
  <c r="F41" i="75"/>
  <c r="A3" i="84"/>
  <c r="A1" i="84"/>
  <c r="B40" i="62"/>
  <c r="B39" i="62"/>
  <c r="B38" i="62"/>
  <c r="B37" i="62"/>
  <c r="B36" i="62"/>
  <c r="B35" i="62"/>
  <c r="B34" i="62"/>
  <c r="B33" i="62"/>
  <c r="B32" i="62"/>
  <c r="B31" i="62"/>
  <c r="B30" i="62"/>
  <c r="B29" i="62"/>
  <c r="B28" i="62"/>
  <c r="A3" i="62"/>
  <c r="A1" i="62"/>
  <c r="A27" i="61"/>
  <c r="A28" i="61"/>
  <c r="A29" i="61"/>
  <c r="A30" i="61"/>
  <c r="A31" i="61"/>
  <c r="A32" i="61"/>
  <c r="B33" i="61"/>
  <c r="D27" i="61"/>
  <c r="A8" i="61"/>
  <c r="A9" i="61"/>
  <c r="D15" i="61"/>
  <c r="D10" i="61"/>
  <c r="A3" i="61"/>
  <c r="A1" i="61"/>
  <c r="C173" i="77"/>
  <c r="I171" i="77"/>
  <c r="C136" i="77"/>
  <c r="C127" i="77"/>
  <c r="I88" i="77"/>
  <c r="C88" i="77"/>
  <c r="I82" i="77"/>
  <c r="I79" i="77"/>
  <c r="I70" i="77"/>
  <c r="I63" i="77"/>
  <c r="I56" i="77"/>
  <c r="C56" i="77"/>
  <c r="I51" i="77"/>
  <c r="I49" i="77"/>
  <c r="I48" i="77"/>
  <c r="I47" i="77"/>
  <c r="C41" i="77"/>
  <c r="C30" i="77"/>
  <c r="C19" i="77"/>
  <c r="A3" i="77"/>
  <c r="A1" i="77"/>
  <c r="H22" i="78"/>
  <c r="A3" i="78"/>
  <c r="E287" i="75"/>
  <c r="E285" i="75"/>
  <c r="E284" i="75"/>
  <c r="C281" i="75"/>
  <c r="C280" i="75"/>
  <c r="C260" i="75"/>
  <c r="C244" i="75"/>
  <c r="E229" i="75"/>
  <c r="E228" i="75"/>
  <c r="E224" i="75"/>
  <c r="E223" i="75"/>
  <c r="E210" i="75"/>
  <c r="E202" i="75"/>
  <c r="E200" i="75"/>
  <c r="E193" i="75"/>
  <c r="C192" i="75"/>
  <c r="C184" i="75"/>
  <c r="F182" i="75"/>
  <c r="C180" i="75"/>
  <c r="C179" i="75"/>
  <c r="E177" i="75"/>
  <c r="F176" i="75"/>
  <c r="F174" i="75"/>
  <c r="E163" i="75"/>
  <c r="E161" i="75"/>
  <c r="E150" i="75"/>
  <c r="C143" i="75"/>
  <c r="E140" i="75"/>
  <c r="E136" i="75"/>
  <c r="E129" i="75"/>
  <c r="E126" i="75"/>
  <c r="C103" i="75"/>
  <c r="C100" i="75"/>
  <c r="E91" i="75"/>
  <c r="F90" i="75"/>
  <c r="E90" i="75"/>
  <c r="E87" i="75"/>
  <c r="C86" i="75"/>
  <c r="E84" i="75"/>
  <c r="C83" i="75"/>
  <c r="E81" i="75"/>
  <c r="E80" i="75"/>
  <c r="C74" i="75"/>
  <c r="E72" i="75"/>
  <c r="C71" i="75"/>
  <c r="C70" i="75"/>
  <c r="E69" i="75"/>
  <c r="E68" i="75"/>
  <c r="C58" i="75"/>
  <c r="E56" i="75"/>
  <c r="E53" i="75"/>
  <c r="E45" i="75"/>
  <c r="E44" i="75"/>
  <c r="B39" i="75"/>
  <c r="E34" i="75"/>
  <c r="C34" i="75"/>
  <c r="C31" i="75"/>
  <c r="E20" i="75"/>
  <c r="E16" i="75"/>
  <c r="F15" i="75"/>
  <c r="E12" i="75"/>
  <c r="F11" i="75"/>
  <c r="A3" i="75"/>
  <c r="A1" i="75"/>
  <c r="D235" i="88"/>
  <c r="D234" i="88"/>
  <c r="D233" i="88"/>
  <c r="G213" i="88"/>
  <c r="C198" i="88"/>
  <c r="C197" i="88"/>
  <c r="A193" i="88"/>
  <c r="C59" i="88"/>
  <c r="C119" i="88"/>
  <c r="C181" i="88"/>
  <c r="K179" i="88"/>
  <c r="K176" i="88"/>
  <c r="A174" i="88"/>
  <c r="C155" i="88"/>
  <c r="F141" i="88"/>
  <c r="F126" i="88"/>
  <c r="F127" i="88"/>
  <c r="F129" i="88"/>
  <c r="F131" i="88"/>
  <c r="F132" i="88"/>
  <c r="K117" i="88"/>
  <c r="K114" i="88"/>
  <c r="D66" i="88"/>
  <c r="D75" i="88"/>
  <c r="D84" i="88"/>
  <c r="D78" i="88"/>
  <c r="D69" i="88"/>
  <c r="G78" i="88"/>
  <c r="K57" i="88"/>
  <c r="K54" i="88"/>
  <c r="I52" i="88"/>
  <c r="I51" i="88"/>
  <c r="C12" i="88"/>
  <c r="G28" i="85"/>
  <c r="J61" i="55"/>
  <c r="J63" i="55"/>
  <c r="I61" i="55"/>
  <c r="I63" i="55"/>
  <c r="G11" i="2"/>
  <c r="D52" i="96"/>
  <c r="E50" i="56"/>
  <c r="J28" i="85"/>
  <c r="I28" i="85"/>
  <c r="E67" i="55"/>
  <c r="K37" i="55"/>
  <c r="K71" i="55"/>
  <c r="F304" i="2"/>
  <c r="K38" i="55"/>
  <c r="G71" i="55"/>
  <c r="J304" i="2"/>
  <c r="F48" i="87"/>
  <c r="C52" i="96"/>
  <c r="D41" i="87"/>
  <c r="E54" i="87"/>
  <c r="K140" i="2"/>
  <c r="K9" i="2"/>
  <c r="A306" i="2"/>
  <c r="A307" i="2"/>
  <c r="A308" i="2"/>
  <c r="A309" i="2"/>
  <c r="A310" i="2"/>
  <c r="A311" i="2"/>
  <c r="A312" i="2"/>
  <c r="A313" i="2"/>
  <c r="N12" i="2"/>
  <c r="D140" i="2"/>
  <c r="F153" i="2"/>
  <c r="J139" i="2"/>
  <c r="I305" i="2"/>
  <c r="I12" i="2"/>
  <c r="L11" i="2"/>
  <c r="E60" i="55"/>
  <c r="J303" i="2"/>
  <c r="K28" i="85"/>
  <c r="F57" i="56"/>
  <c r="K303" i="2"/>
  <c r="K305" i="2"/>
  <c r="K12" i="2"/>
  <c r="E51" i="77"/>
  <c r="E56" i="77"/>
  <c r="L303" i="2"/>
  <c r="L305" i="2"/>
  <c r="L12" i="2"/>
  <c r="K19" i="55"/>
  <c r="C76" i="55"/>
  <c r="H63" i="77"/>
  <c r="D61" i="55"/>
  <c r="D63" i="55"/>
  <c r="M138" i="2"/>
  <c r="M140" i="2"/>
  <c r="M9" i="2"/>
  <c r="F139" i="2"/>
  <c r="F303" i="2"/>
  <c r="J138" i="2"/>
  <c r="H30" i="55"/>
  <c r="K41" i="55"/>
  <c r="D110" i="77"/>
  <c r="N28" i="85"/>
  <c r="D63" i="77"/>
  <c r="H197" i="75"/>
  <c r="D160" i="77"/>
  <c r="D146" i="77"/>
  <c r="F34" i="87"/>
  <c r="D54" i="87"/>
  <c r="F50" i="87"/>
  <c r="G50" i="87"/>
  <c r="G13" i="87"/>
  <c r="G34" i="87"/>
  <c r="G44" i="87"/>
  <c r="F41" i="87"/>
  <c r="G47" i="87"/>
  <c r="G48" i="87"/>
  <c r="D50" i="56"/>
  <c r="F49" i="56"/>
  <c r="F56" i="56"/>
  <c r="K18" i="55"/>
  <c r="E75" i="55"/>
  <c r="E69" i="55"/>
  <c r="E74" i="55"/>
  <c r="E59" i="55"/>
  <c r="E61" i="55"/>
  <c r="H52" i="55"/>
  <c r="E62" i="55"/>
  <c r="G62" i="55"/>
  <c r="G73" i="55"/>
  <c r="K23" i="55"/>
  <c r="K22" i="55"/>
  <c r="C61" i="55"/>
  <c r="C63" i="55"/>
  <c r="E73" i="55"/>
  <c r="E70" i="55"/>
  <c r="K39" i="55"/>
  <c r="K73" i="55"/>
  <c r="G66" i="55"/>
  <c r="E66" i="55"/>
  <c r="E56" i="55"/>
  <c r="E82" i="77"/>
  <c r="E88" i="77"/>
  <c r="D88" i="77"/>
  <c r="D70" i="77"/>
  <c r="Q25" i="74"/>
  <c r="D28" i="85"/>
  <c r="L28" i="85"/>
  <c r="F28" i="85"/>
  <c r="E305" i="2"/>
  <c r="K11" i="2"/>
  <c r="M11" i="2"/>
  <c r="H303" i="2"/>
  <c r="H305" i="2"/>
  <c r="H12" i="2"/>
  <c r="L138" i="2"/>
  <c r="L140" i="2"/>
  <c r="L9" i="2"/>
  <c r="I11" i="2"/>
  <c r="J151" i="2"/>
  <c r="J153" i="2"/>
  <c r="F138" i="2"/>
  <c r="F140" i="2"/>
  <c r="F9" i="2"/>
  <c r="G226" i="75"/>
  <c r="I13" i="77"/>
  <c r="I96" i="77"/>
  <c r="A50" i="56"/>
  <c r="A51" i="56"/>
  <c r="A52" i="56"/>
  <c r="A53" i="56"/>
  <c r="A54" i="56"/>
  <c r="F198" i="75"/>
  <c r="A21" i="44"/>
  <c r="A22" i="44"/>
  <c r="A23" i="44"/>
  <c r="F45" i="75"/>
  <c r="F44" i="75"/>
  <c r="F27" i="75"/>
  <c r="I170" i="77"/>
  <c r="A24" i="62"/>
  <c r="A25" i="62"/>
  <c r="A26" i="62"/>
  <c r="A27" i="62"/>
  <c r="A28" i="62"/>
  <c r="A29" i="62"/>
  <c r="A30" i="62"/>
  <c r="A31" i="62"/>
  <c r="A32" i="62"/>
  <c r="A33" i="62"/>
  <c r="A34" i="62"/>
  <c r="A35" i="62"/>
  <c r="A36" i="62"/>
  <c r="A37" i="62"/>
  <c r="A38" i="62"/>
  <c r="A39" i="62"/>
  <c r="A40" i="62"/>
  <c r="I169" i="77"/>
  <c r="F40" i="75"/>
  <c r="A72" i="88"/>
  <c r="A75" i="88"/>
  <c r="C72" i="88"/>
  <c r="A130" i="88"/>
  <c r="A133" i="88"/>
  <c r="A136" i="88"/>
  <c r="A137" i="88"/>
  <c r="B28" i="49"/>
  <c r="B27" i="49"/>
  <c r="B26" i="49"/>
  <c r="B25" i="49"/>
  <c r="B29" i="49"/>
  <c r="B39" i="87"/>
  <c r="A39" i="87"/>
  <c r="A61" i="55"/>
  <c r="A62" i="55"/>
  <c r="B61" i="55"/>
  <c r="A16" i="74"/>
  <c r="A17" i="74"/>
  <c r="A18" i="74"/>
  <c r="I59" i="77"/>
  <c r="C19" i="88"/>
  <c r="A19" i="88"/>
  <c r="A205" i="88"/>
  <c r="A206" i="88"/>
  <c r="C207" i="88"/>
  <c r="A207" i="88"/>
  <c r="F106" i="75"/>
  <c r="A12" i="58"/>
  <c r="A13" i="58"/>
  <c r="A14" i="58"/>
  <c r="A15" i="58"/>
  <c r="H40" i="55"/>
  <c r="G74" i="55"/>
  <c r="K40" i="55"/>
  <c r="K74" i="55"/>
  <c r="D33" i="61"/>
  <c r="A33" i="61"/>
  <c r="F19" i="75"/>
  <c r="C54" i="87"/>
  <c r="A39" i="88"/>
  <c r="C39" i="88"/>
  <c r="C70" i="88"/>
  <c r="C69" i="88"/>
  <c r="C67" i="88"/>
  <c r="C66" i="88"/>
  <c r="F61" i="55"/>
  <c r="F63" i="55"/>
  <c r="G60" i="55"/>
  <c r="A22" i="61"/>
  <c r="A23" i="61"/>
  <c r="D31" i="61"/>
  <c r="D76" i="55"/>
  <c r="A10" i="96"/>
  <c r="A11" i="96"/>
  <c r="A12" i="96"/>
  <c r="A13" i="96"/>
  <c r="A14" i="96"/>
  <c r="A15" i="96"/>
  <c r="A16" i="96"/>
  <c r="A17" i="96"/>
  <c r="A18" i="96"/>
  <c r="A19" i="96"/>
  <c r="A20" i="96"/>
  <c r="A21" i="96"/>
  <c r="A22" i="96"/>
  <c r="A23" i="96"/>
  <c r="A24" i="96"/>
  <c r="A25" i="96"/>
  <c r="A26" i="96"/>
  <c r="A27" i="96"/>
  <c r="A28" i="96"/>
  <c r="A29" i="96"/>
  <c r="A30" i="96"/>
  <c r="A31" i="96"/>
  <c r="A9" i="96"/>
  <c r="I76" i="55"/>
  <c r="J76" i="55"/>
  <c r="C20" i="44"/>
  <c r="A46" i="93"/>
  <c r="A47" i="93"/>
  <c r="A48" i="93"/>
  <c r="A49" i="93"/>
  <c r="I94" i="77"/>
  <c r="I11" i="77"/>
  <c r="B63" i="51"/>
  <c r="G75" i="55"/>
  <c r="F23" i="75"/>
  <c r="A49" i="73"/>
  <c r="A50" i="73"/>
  <c r="A27" i="85"/>
  <c r="A28" i="85"/>
  <c r="I172" i="77"/>
  <c r="F98" i="75"/>
  <c r="A214" i="88"/>
  <c r="A219" i="88"/>
  <c r="C214" i="88"/>
  <c r="B64" i="51"/>
  <c r="E68" i="55"/>
  <c r="G70" i="55"/>
  <c r="F76" i="55"/>
  <c r="G69" i="55"/>
  <c r="G67" i="55"/>
  <c r="A10" i="87"/>
  <c r="C39" i="96"/>
  <c r="F52" i="87"/>
  <c r="K60" i="55"/>
  <c r="H60" i="55"/>
  <c r="E32" i="96"/>
  <c r="E46" i="96"/>
  <c r="E50" i="96"/>
  <c r="E52" i="96"/>
  <c r="O48" i="67"/>
  <c r="A23" i="78"/>
  <c r="E79" i="77"/>
  <c r="B37" i="96"/>
  <c r="A36" i="96"/>
  <c r="A37" i="96"/>
  <c r="A38" i="96"/>
  <c r="A39" i="96"/>
  <c r="A40" i="96"/>
  <c r="A41" i="96"/>
  <c r="A42" i="96"/>
  <c r="A43" i="96"/>
  <c r="A44" i="96"/>
  <c r="A45" i="96"/>
  <c r="A46" i="96"/>
  <c r="A47" i="96"/>
  <c r="A48" i="96"/>
  <c r="A49" i="96"/>
  <c r="A50" i="96"/>
  <c r="A51" i="96"/>
  <c r="A52" i="96"/>
  <c r="A23" i="85"/>
  <c r="D61" i="95"/>
  <c r="A144" i="86"/>
  <c r="A12" i="86"/>
  <c r="A143" i="86"/>
  <c r="A11" i="77"/>
  <c r="A12" i="77"/>
  <c r="A13" i="77"/>
  <c r="A14" i="77"/>
  <c r="A15" i="77"/>
  <c r="A16" i="77"/>
  <c r="A19" i="77"/>
  <c r="D56" i="77"/>
  <c r="G89" i="77"/>
  <c r="H55" i="55"/>
  <c r="D79" i="77"/>
  <c r="H89" i="77"/>
  <c r="H54" i="55"/>
  <c r="A136" i="2"/>
  <c r="I138" i="2"/>
  <c r="I140" i="2"/>
  <c r="I9" i="2"/>
  <c r="H11" i="2"/>
  <c r="G303" i="2"/>
  <c r="G305" i="2"/>
  <c r="G12" i="2"/>
  <c r="A11" i="85"/>
  <c r="H138" i="2"/>
  <c r="H140" i="2"/>
  <c r="H9" i="2"/>
  <c r="A11" i="49"/>
  <c r="A12" i="49"/>
  <c r="A13" i="49"/>
  <c r="A14" i="49"/>
  <c r="A15" i="49"/>
  <c r="A16" i="49"/>
  <c r="A17" i="49"/>
  <c r="A18" i="49"/>
  <c r="A19" i="49"/>
  <c r="A20" i="49"/>
  <c r="A21" i="49"/>
  <c r="A22" i="49"/>
  <c r="A23" i="49"/>
  <c r="A24" i="49"/>
  <c r="A25" i="49"/>
  <c r="A26" i="49"/>
  <c r="A27" i="49"/>
  <c r="A28" i="49"/>
  <c r="A29" i="49"/>
  <c r="A30" i="49"/>
  <c r="A31" i="49"/>
  <c r="A32" i="49"/>
  <c r="A33" i="49"/>
  <c r="K13" i="2"/>
  <c r="H68" i="75"/>
  <c r="H59" i="55"/>
  <c r="H61" i="55"/>
  <c r="G59" i="55"/>
  <c r="F11" i="2"/>
  <c r="K59" i="55"/>
  <c r="K61" i="55"/>
  <c r="D151" i="77"/>
  <c r="H165" i="75"/>
  <c r="H166" i="75"/>
  <c r="L13" i="2"/>
  <c r="H69" i="75"/>
  <c r="F56" i="87"/>
  <c r="G41" i="87"/>
  <c r="M13" i="2"/>
  <c r="H72" i="75"/>
  <c r="J305" i="2"/>
  <c r="J12" i="2"/>
  <c r="A231" i="2"/>
  <c r="A232" i="2"/>
  <c r="N11" i="2"/>
  <c r="J140" i="2"/>
  <c r="J9" i="2"/>
  <c r="G13" i="2"/>
  <c r="G68" i="75"/>
  <c r="F305" i="2"/>
  <c r="F12" i="2"/>
  <c r="F13" i="2"/>
  <c r="I13" i="2"/>
  <c r="G72" i="75"/>
  <c r="E89" i="77"/>
  <c r="J11" i="2"/>
  <c r="F50" i="56"/>
  <c r="E76" i="55"/>
  <c r="K69" i="55"/>
  <c r="E63" i="55"/>
  <c r="G81" i="75"/>
  <c r="H81" i="75"/>
  <c r="D107" i="77"/>
  <c r="A24" i="61"/>
  <c r="D32" i="61"/>
  <c r="A41" i="88"/>
  <c r="C41" i="88"/>
  <c r="A19" i="74"/>
  <c r="I72" i="77"/>
  <c r="A34" i="49"/>
  <c r="D89" i="77"/>
  <c r="A20" i="77"/>
  <c r="A21" i="77"/>
  <c r="F12" i="75"/>
  <c r="A52" i="73"/>
  <c r="A53" i="73"/>
  <c r="A54" i="73"/>
  <c r="A55" i="73"/>
  <c r="A56" i="73"/>
  <c r="A57" i="73"/>
  <c r="A58" i="73"/>
  <c r="A51" i="73"/>
  <c r="I89" i="77"/>
  <c r="K70" i="55"/>
  <c r="C84" i="88"/>
  <c r="A76" i="88"/>
  <c r="H13" i="2"/>
  <c r="G69" i="75"/>
  <c r="G68" i="55"/>
  <c r="K16" i="55"/>
  <c r="K68" i="55"/>
  <c r="D157" i="77"/>
  <c r="D164" i="77"/>
  <c r="G56" i="55"/>
  <c r="I95" i="77"/>
  <c r="A63" i="55"/>
  <c r="A64" i="55"/>
  <c r="A65" i="55"/>
  <c r="A66" i="55"/>
  <c r="I12" i="77"/>
  <c r="A24" i="44"/>
  <c r="A25" i="44"/>
  <c r="A26" i="44"/>
  <c r="A27" i="44"/>
  <c r="A28" i="44"/>
  <c r="A29" i="44"/>
  <c r="A30" i="44"/>
  <c r="G52" i="87"/>
  <c r="G54" i="87"/>
  <c r="F54" i="87"/>
  <c r="F284" i="75"/>
  <c r="A40" i="87"/>
  <c r="A41" i="87"/>
  <c r="A42" i="87"/>
  <c r="A43" i="87"/>
  <c r="A44" i="87"/>
  <c r="G61" i="55"/>
  <c r="G63" i="55"/>
  <c r="G76" i="55"/>
  <c r="F24" i="75"/>
  <c r="C201" i="88"/>
  <c r="A21" i="88"/>
  <c r="C23" i="88"/>
  <c r="A55" i="56"/>
  <c r="I144" i="77"/>
  <c r="G165" i="75"/>
  <c r="G166" i="75"/>
  <c r="G84" i="75"/>
  <c r="H84" i="75"/>
  <c r="E39" i="96"/>
  <c r="C137" i="88"/>
  <c r="A42" i="62"/>
  <c r="C75" i="88"/>
  <c r="C78" i="88"/>
  <c r="C76" i="88"/>
  <c r="C79" i="88"/>
  <c r="A12" i="85"/>
  <c r="A24" i="78"/>
  <c r="A25" i="78"/>
  <c r="A26" i="78"/>
  <c r="A27" i="78"/>
  <c r="A220" i="88"/>
  <c r="C221" i="88"/>
  <c r="A221" i="88"/>
  <c r="A223" i="88"/>
  <c r="A50" i="93"/>
  <c r="A140" i="88"/>
  <c r="H63" i="55"/>
  <c r="J13" i="2"/>
  <c r="A233" i="2"/>
  <c r="A234" i="2"/>
  <c r="A235" i="2"/>
  <c r="A236" i="2"/>
  <c r="A237" i="2"/>
  <c r="A238" i="2"/>
  <c r="A239" i="2"/>
  <c r="A240" i="2"/>
  <c r="A241" i="2"/>
  <c r="A242" i="2"/>
  <c r="A243" i="2"/>
  <c r="N303" i="2"/>
  <c r="K63" i="55"/>
  <c r="H56" i="55"/>
  <c r="K56" i="55"/>
  <c r="K76" i="55"/>
  <c r="A141" i="88"/>
  <c r="A142" i="88"/>
  <c r="A143" i="88"/>
  <c r="A13" i="85"/>
  <c r="I158" i="77"/>
  <c r="A56" i="56"/>
  <c r="A57" i="56"/>
  <c r="A58" i="56"/>
  <c r="A59" i="56"/>
  <c r="A60" i="56"/>
  <c r="A61" i="56"/>
  <c r="A62" i="56"/>
  <c r="A31" i="44"/>
  <c r="A32" i="44"/>
  <c r="A33" i="44"/>
  <c r="F199" i="75"/>
  <c r="G177" i="75"/>
  <c r="H177" i="75"/>
  <c r="A59" i="73"/>
  <c r="C47" i="88"/>
  <c r="C46" i="88"/>
  <c r="C48" i="88"/>
  <c r="A42" i="88"/>
  <c r="A46" i="88"/>
  <c r="A47" i="88"/>
  <c r="A48" i="88"/>
  <c r="A51" i="88"/>
  <c r="A52" i="88"/>
  <c r="C42" i="88"/>
  <c r="H78" i="55"/>
  <c r="B54" i="87"/>
  <c r="B56" i="87"/>
  <c r="A45" i="87"/>
  <c r="A46" i="87"/>
  <c r="A47" i="87"/>
  <c r="A48" i="87"/>
  <c r="A49" i="87"/>
  <c r="A50" i="87"/>
  <c r="A51" i="87"/>
  <c r="A52" i="87"/>
  <c r="A53" i="87"/>
  <c r="A54" i="87"/>
  <c r="A55" i="87"/>
  <c r="A56" i="87"/>
  <c r="A67" i="55"/>
  <c r="A35" i="49"/>
  <c r="B41" i="87"/>
  <c r="A77" i="88"/>
  <c r="C86" i="88"/>
  <c r="C85" i="88"/>
  <c r="A78" i="88"/>
  <c r="F84" i="75"/>
  <c r="F80" i="75"/>
  <c r="F81" i="75"/>
  <c r="I142" i="77"/>
  <c r="A51" i="93"/>
  <c r="F53" i="75"/>
  <c r="F28" i="75"/>
  <c r="F56" i="75"/>
  <c r="F55" i="75"/>
  <c r="F92" i="75"/>
  <c r="F58" i="75"/>
  <c r="F271" i="75"/>
  <c r="F191" i="75"/>
  <c r="F73" i="75"/>
  <c r="F183" i="75"/>
  <c r="F142" i="75"/>
  <c r="F280" i="75"/>
  <c r="F167" i="75"/>
  <c r="F102" i="75"/>
  <c r="F85" i="75"/>
  <c r="F47" i="75"/>
  <c r="A20" i="74"/>
  <c r="I73" i="77"/>
  <c r="F285" i="75"/>
  <c r="A28" i="78"/>
  <c r="A29" i="78"/>
  <c r="H29" i="78"/>
  <c r="A226" i="88"/>
  <c r="C15" i="88"/>
  <c r="C30" i="44"/>
  <c r="A22" i="77"/>
  <c r="A23" i="77"/>
  <c r="A24" i="77"/>
  <c r="A25" i="77"/>
  <c r="A26" i="77"/>
  <c r="A27" i="77"/>
  <c r="A29" i="77"/>
  <c r="A30" i="77"/>
  <c r="I30" i="77"/>
  <c r="H25" i="78"/>
  <c r="A244" i="2"/>
  <c r="A34" i="44"/>
  <c r="A35" i="44"/>
  <c r="A36" i="44"/>
  <c r="A37" i="44"/>
  <c r="A38" i="44"/>
  <c r="A39" i="44"/>
  <c r="C39" i="44"/>
  <c r="A21" i="74"/>
  <c r="I74" i="77"/>
  <c r="A36" i="49"/>
  <c r="C143" i="88"/>
  <c r="A146" i="88"/>
  <c r="I156" i="77"/>
  <c r="A52" i="93"/>
  <c r="A53" i="93"/>
  <c r="A54" i="93"/>
  <c r="A55" i="93"/>
  <c r="A56" i="93"/>
  <c r="A57" i="93"/>
  <c r="I108" i="77"/>
  <c r="A63" i="56"/>
  <c r="I35" i="77"/>
  <c r="A102" i="77"/>
  <c r="A94" i="77"/>
  <c r="A95" i="77"/>
  <c r="A96" i="77"/>
  <c r="A97" i="77"/>
  <c r="A98" i="77"/>
  <c r="A99" i="77"/>
  <c r="A100" i="77"/>
  <c r="I103" i="77"/>
  <c r="A30" i="78"/>
  <c r="A31" i="78"/>
  <c r="A32" i="78"/>
  <c r="A33" i="78"/>
  <c r="A36" i="78"/>
  <c r="A31" i="77"/>
  <c r="A32" i="77"/>
  <c r="F16" i="75"/>
  <c r="F29" i="75"/>
  <c r="A79" i="88"/>
  <c r="C87" i="88"/>
  <c r="A227" i="88"/>
  <c r="A230" i="88"/>
  <c r="I143" i="77"/>
  <c r="A68" i="55"/>
  <c r="A245" i="2"/>
  <c r="A246" i="2"/>
  <c r="A247" i="2"/>
  <c r="A248" i="2"/>
  <c r="A249" i="2"/>
  <c r="H66" i="78"/>
  <c r="A6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A22" i="74"/>
  <c r="I75" i="77"/>
  <c r="A69" i="55"/>
  <c r="A70" i="55"/>
  <c r="A71" i="55"/>
  <c r="A72" i="55"/>
  <c r="A73" i="55"/>
  <c r="A74" i="55"/>
  <c r="I157" i="77"/>
  <c r="H67" i="78"/>
  <c r="A58" i="93"/>
  <c r="B61" i="93"/>
  <c r="F32" i="75"/>
  <c r="A147" i="88"/>
  <c r="A148" i="88"/>
  <c r="A149" i="88"/>
  <c r="A150" i="88"/>
  <c r="A151" i="88"/>
  <c r="A152" i="88"/>
  <c r="A153" i="88"/>
  <c r="C153" i="88"/>
  <c r="C230" i="88"/>
  <c r="A40" i="77"/>
  <c r="A41" i="77"/>
  <c r="A33" i="77"/>
  <c r="A34" i="77"/>
  <c r="A35" i="77"/>
  <c r="A36" i="77"/>
  <c r="A37" i="77"/>
  <c r="A38" i="77"/>
  <c r="I41" i="77"/>
  <c r="I24" i="77"/>
  <c r="A64" i="56"/>
  <c r="A65" i="56"/>
  <c r="A80" i="88"/>
  <c r="C88" i="88"/>
  <c r="F129" i="75"/>
  <c r="C16" i="88"/>
  <c r="A233" i="88"/>
  <c r="A234" i="88"/>
  <c r="A235" i="88"/>
  <c r="A40" i="44"/>
  <c r="A41" i="44"/>
  <c r="F200" i="75"/>
  <c r="C45" i="44"/>
  <c r="A250" i="2"/>
  <c r="A42" i="44"/>
  <c r="A43" i="44"/>
  <c r="A44" i="44"/>
  <c r="F201" i="75"/>
  <c r="A75" i="55"/>
  <c r="B78" i="55"/>
  <c r="A106" i="77"/>
  <c r="A107" i="77"/>
  <c r="A108" i="77"/>
  <c r="A109" i="77"/>
  <c r="A110" i="77"/>
  <c r="A111" i="77"/>
  <c r="A113" i="77"/>
  <c r="I114" i="77"/>
  <c r="A156" i="88"/>
  <c r="I106" i="77"/>
  <c r="A59" i="93"/>
  <c r="I33" i="77"/>
  <c r="B59" i="93"/>
  <c r="A81" i="88"/>
  <c r="A84" i="88"/>
  <c r="C81" i="88"/>
  <c r="F179" i="75"/>
  <c r="F70" i="75"/>
  <c r="A67" i="78"/>
  <c r="A68" i="78"/>
  <c r="F291" i="75"/>
  <c r="H68" i="78"/>
  <c r="A42" i="77"/>
  <c r="A43" i="77"/>
  <c r="A44" i="77"/>
  <c r="A45" i="77"/>
  <c r="F20" i="75"/>
  <c r="A251" i="2"/>
  <c r="A252" i="2"/>
  <c r="A253" i="2"/>
  <c r="A85" i="88"/>
  <c r="A157" i="88"/>
  <c r="A158" i="88"/>
  <c r="A159" i="88"/>
  <c r="A160" i="88"/>
  <c r="A161" i="88"/>
  <c r="C162" i="88"/>
  <c r="A162" i="88"/>
  <c r="C167" i="88"/>
  <c r="A45" i="44"/>
  <c r="A46" i="44"/>
  <c r="A47" i="44"/>
  <c r="A48" i="44"/>
  <c r="F202" i="75"/>
  <c r="I107" i="77"/>
  <c r="A76" i="55"/>
  <c r="I34" i="77"/>
  <c r="B76" i="55"/>
  <c r="F140" i="75"/>
  <c r="I22" i="77"/>
  <c r="A60" i="93"/>
  <c r="A61" i="93"/>
  <c r="A62" i="93"/>
  <c r="A63" i="93"/>
  <c r="F35" i="75"/>
  <c r="A254" i="2"/>
  <c r="C48" i="44"/>
  <c r="I23" i="77"/>
  <c r="A77" i="55"/>
  <c r="A78" i="55"/>
  <c r="A117" i="77"/>
  <c r="A118" i="77"/>
  <c r="A126" i="77"/>
  <c r="I127" i="77"/>
  <c r="F99" i="75"/>
  <c r="F153" i="75"/>
  <c r="F82" i="75"/>
  <c r="A64" i="93"/>
  <c r="A65" i="93"/>
  <c r="F150" i="75"/>
  <c r="A86" i="88"/>
  <c r="A87" i="88"/>
  <c r="A88" i="88"/>
  <c r="A89" i="88"/>
  <c r="A255" i="2"/>
  <c r="A256" i="2"/>
  <c r="A257" i="2"/>
  <c r="A258" i="2"/>
  <c r="A259" i="2"/>
  <c r="A260" i="2"/>
  <c r="A261" i="2"/>
  <c r="A262" i="2"/>
  <c r="A263" i="2"/>
  <c r="A264" i="2"/>
  <c r="A265" i="2"/>
  <c r="A266" i="2"/>
  <c r="A267" i="2"/>
  <c r="A268" i="2"/>
  <c r="A269" i="2"/>
  <c r="A270" i="2"/>
  <c r="A271" i="2"/>
  <c r="A272" i="2"/>
  <c r="A273" i="2"/>
  <c r="A274" i="2"/>
  <c r="A275" i="2"/>
  <c r="A276" i="2"/>
  <c r="A277" i="2"/>
  <c r="F138" i="75"/>
  <c r="A90" i="88"/>
  <c r="C90" i="88"/>
  <c r="F42" i="75"/>
  <c r="B65" i="93"/>
  <c r="A278" i="2"/>
  <c r="A135" i="77"/>
  <c r="A131" i="77"/>
  <c r="A132" i="77"/>
  <c r="A133" i="77"/>
  <c r="I136" i="77"/>
  <c r="C68" i="88"/>
  <c r="A95" i="88"/>
  <c r="A279" i="2"/>
  <c r="F260" i="75"/>
  <c r="A97" i="88"/>
  <c r="A98" i="88"/>
  <c r="A99" i="88"/>
  <c r="A100" i="88"/>
  <c r="F146" i="75"/>
  <c r="A280" i="2"/>
  <c r="I151" i="77"/>
  <c r="A148" i="77"/>
  <c r="A151" i="77"/>
  <c r="A150" i="77"/>
  <c r="A101" i="88"/>
  <c r="C102" i="88"/>
  <c r="A102" i="88"/>
  <c r="A281" i="2"/>
  <c r="A104" i="88"/>
  <c r="A107" i="88"/>
  <c r="A152" i="77"/>
  <c r="A153" i="77"/>
  <c r="A154" i="77"/>
  <c r="A155" i="77"/>
  <c r="F165" i="75"/>
  <c r="F48" i="75"/>
  <c r="F46" i="75"/>
  <c r="A282" i="2"/>
  <c r="A108" i="88"/>
  <c r="A109" i="88"/>
  <c r="A110" i="88"/>
  <c r="C110" i="88"/>
  <c r="F50" i="75"/>
  <c r="A163" i="77"/>
  <c r="A156" i="77"/>
  <c r="A157" i="77"/>
  <c r="A158" i="77"/>
  <c r="A159" i="77"/>
  <c r="A160" i="77"/>
  <c r="A161" i="77"/>
  <c r="A164" i="77"/>
  <c r="I164" i="77"/>
  <c r="A283" i="2"/>
  <c r="A165" i="77"/>
  <c r="A166" i="77"/>
  <c r="A167" i="77"/>
  <c r="A168" i="77"/>
  <c r="F177" i="75"/>
  <c r="F31" i="75"/>
  <c r="A112" i="88"/>
  <c r="C112" i="88"/>
  <c r="A284" i="2"/>
  <c r="I173" i="77"/>
  <c r="A173" i="77"/>
  <c r="F261" i="75"/>
  <c r="A169" i="77"/>
  <c r="A170" i="77"/>
  <c r="A171" i="77"/>
  <c r="A172" i="77"/>
  <c r="A285" i="2"/>
  <c r="F57" i="75"/>
  <c r="A286" i="2"/>
  <c r="F59" i="75"/>
  <c r="A287" i="2"/>
  <c r="F61" i="75"/>
  <c r="A288" i="2"/>
  <c r="F63" i="75"/>
  <c r="A289" i="2"/>
  <c r="A290" i="2"/>
  <c r="A291" i="2"/>
  <c r="A292" i="2"/>
  <c r="A293" i="2"/>
  <c r="A294" i="2"/>
  <c r="F34" i="75"/>
  <c r="F244" i="75"/>
  <c r="A295" i="2"/>
  <c r="A296" i="2"/>
  <c r="F71" i="75"/>
  <c r="N140" i="2"/>
  <c r="A297" i="2"/>
  <c r="A298" i="2"/>
  <c r="A299" i="2"/>
  <c r="N9" i="2"/>
  <c r="F74" i="75"/>
  <c r="N151" i="2"/>
  <c r="A149" i="2"/>
  <c r="A143" i="2"/>
  <c r="F75" i="75"/>
  <c r="A144" i="2"/>
  <c r="C95" i="88"/>
  <c r="A145" i="2"/>
  <c r="A146" i="2"/>
  <c r="N153" i="2"/>
  <c r="A147" i="2"/>
  <c r="F83" i="75"/>
  <c r="N227" i="2"/>
  <c r="F86" i="75"/>
  <c r="F87" i="75"/>
  <c r="C99" i="88"/>
  <c r="F93" i="75"/>
  <c r="F94" i="75"/>
  <c r="C108" i="88"/>
  <c r="F100" i="75"/>
  <c r="F103" i="75"/>
  <c r="F104" i="75"/>
  <c r="C109" i="88"/>
  <c r="C104" i="88"/>
  <c r="F111" i="75"/>
  <c r="F116" i="75"/>
  <c r="F118" i="75"/>
  <c r="F245" i="75"/>
  <c r="F120" i="75"/>
  <c r="F246" i="75"/>
  <c r="C125" i="88"/>
  <c r="C127" i="88"/>
  <c r="C126" i="88"/>
  <c r="F130" i="75"/>
  <c r="C128" i="88"/>
  <c r="C132" i="88"/>
  <c r="F141" i="75"/>
  <c r="F143" i="75"/>
  <c r="C130" i="88"/>
  <c r="C131" i="88"/>
  <c r="F148" i="75"/>
  <c r="F152" i="75"/>
  <c r="F154" i="75"/>
  <c r="C129" i="88"/>
  <c r="F156" i="75"/>
  <c r="F109" i="75"/>
  <c r="F248" i="75"/>
  <c r="C140" i="88"/>
  <c r="F166" i="75"/>
  <c r="F168" i="75"/>
  <c r="C141" i="88"/>
  <c r="F170" i="75"/>
  <c r="F249" i="75"/>
  <c r="F178" i="75"/>
  <c r="F180" i="75"/>
  <c r="F184" i="75"/>
  <c r="F185" i="75"/>
  <c r="C146" i="88"/>
  <c r="F250" i="75"/>
  <c r="C134" i="88"/>
  <c r="F192" i="75"/>
  <c r="C135" i="88"/>
  <c r="F193" i="75"/>
  <c r="F251" i="75"/>
  <c r="C211" i="88"/>
  <c r="F208" i="75"/>
  <c r="C212" i="88"/>
  <c r="F209" i="75"/>
  <c r="F206" i="75"/>
  <c r="C213" i="88"/>
  <c r="F205" i="75"/>
  <c r="F204" i="75"/>
  <c r="F212" i="75"/>
  <c r="F213" i="75"/>
  <c r="F214" i="75"/>
  <c r="F215" i="75"/>
  <c r="F217" i="75"/>
  <c r="F252" i="75"/>
  <c r="C165" i="88"/>
  <c r="C233" i="88"/>
  <c r="C234" i="88"/>
  <c r="C235" i="88"/>
  <c r="F237" i="75"/>
  <c r="A237" i="75"/>
  <c r="A239" i="75"/>
  <c r="F239" i="75"/>
  <c r="A244" i="75"/>
  <c r="A245" i="75"/>
  <c r="A246" i="75"/>
  <c r="A248" i="75"/>
  <c r="F253" i="75"/>
  <c r="C156" i="88"/>
  <c r="A249" i="75"/>
  <c r="A250" i="75"/>
  <c r="A251" i="75"/>
  <c r="A252" i="75"/>
  <c r="A253" i="75"/>
  <c r="A254" i="75"/>
  <c r="A255" i="75"/>
  <c r="C170" i="88"/>
  <c r="A257" i="75"/>
  <c r="C173" i="88"/>
  <c r="F257" i="75"/>
  <c r="A260" i="75"/>
  <c r="F264" i="75"/>
  <c r="A261" i="75"/>
  <c r="F262" i="75"/>
  <c r="C188" i="88"/>
  <c r="A262" i="75"/>
  <c r="C189" i="88"/>
  <c r="A263" i="75"/>
  <c r="F263" i="75"/>
  <c r="A264" i="75"/>
  <c r="A265" i="75"/>
  <c r="F265" i="75"/>
  <c r="A269" i="75"/>
  <c r="A270" i="75"/>
  <c r="A271" i="75"/>
  <c r="A272" i="75"/>
  <c r="A273" i="75"/>
  <c r="F273" i="75"/>
  <c r="F272" i="75"/>
  <c r="A276" i="75"/>
  <c r="C223" i="88"/>
  <c r="A277" i="75"/>
  <c r="F278" i="75"/>
  <c r="A278" i="75"/>
  <c r="F283" i="75"/>
  <c r="A279" i="75"/>
  <c r="A280" i="75"/>
  <c r="A281" i="75"/>
  <c r="A282" i="75"/>
  <c r="F282" i="75"/>
  <c r="F281" i="75"/>
  <c r="A283" i="75"/>
  <c r="C226" i="88"/>
  <c r="A284" i="75"/>
  <c r="C227" i="88"/>
  <c r="A285" i="75"/>
  <c r="B70" i="51"/>
  <c r="C228" i="88"/>
  <c r="F286" i="75"/>
  <c r="A286" i="75"/>
  <c r="C229" i="88"/>
  <c r="A287" i="75"/>
  <c r="A289" i="75"/>
  <c r="F289" i="75"/>
  <c r="A291" i="75"/>
  <c r="F293" i="75"/>
  <c r="A293" i="75"/>
  <c r="C21" i="88"/>
  <c r="A295" i="75"/>
  <c r="A296" i="75"/>
  <c r="A297" i="75"/>
  <c r="F298" i="75"/>
  <c r="C25" i="88"/>
  <c r="A298" i="75"/>
  <c r="C26" i="88"/>
  <c r="A301" i="75"/>
  <c r="A302" i="75"/>
  <c r="C32" i="88"/>
  <c r="F302" i="75"/>
  <c r="F303" i="75"/>
  <c r="A303" i="75"/>
  <c r="O42" i="67"/>
  <c r="O23" i="67"/>
  <c r="O15" i="67"/>
  <c r="O16" i="67"/>
  <c r="O17" i="67"/>
  <c r="O18" i="67"/>
  <c r="O19" i="67"/>
  <c r="O20" i="67"/>
  <c r="O21" i="67"/>
  <c r="O22" i="67"/>
  <c r="O24" i="67"/>
  <c r="O25" i="67"/>
  <c r="O26" i="67"/>
  <c r="O27" i="67"/>
  <c r="O28" i="67"/>
  <c r="A36" i="67"/>
  <c r="B61" i="67"/>
  <c r="G279" i="75"/>
  <c r="H226" i="75"/>
  <c r="H182" i="75"/>
  <c r="H209" i="75"/>
  <c r="G212" i="88"/>
  <c r="H150" i="75"/>
  <c r="H152" i="75"/>
  <c r="G152" i="75"/>
  <c r="I53" i="67"/>
  <c r="I57" i="67"/>
  <c r="A37" i="67"/>
  <c r="A38" i="67"/>
  <c r="A42" i="67"/>
  <c r="A39" i="67"/>
  <c r="B63" i="67"/>
  <c r="A43" i="67"/>
  <c r="A44" i="67"/>
  <c r="B64" i="67"/>
  <c r="A45" i="67"/>
  <c r="A48" i="67"/>
  <c r="A49" i="67"/>
  <c r="A50" i="67"/>
  <c r="A51" i="67"/>
  <c r="A52" i="67"/>
  <c r="A53" i="67"/>
  <c r="B65" i="67"/>
  <c r="A54" i="67"/>
  <c r="A55" i="67"/>
  <c r="A56" i="67"/>
  <c r="A57" i="67"/>
  <c r="F301" i="75"/>
  <c r="B68" i="67"/>
  <c r="C8" i="51"/>
  <c r="C10" i="51"/>
  <c r="C64" i="51"/>
  <c r="D211" i="88"/>
  <c r="E65" i="56"/>
  <c r="D197" i="88"/>
  <c r="G200" i="75"/>
  <c r="G284" i="75"/>
  <c r="H53" i="67"/>
  <c r="H57" i="67"/>
  <c r="C57" i="67"/>
  <c r="H90" i="75"/>
  <c r="D61" i="93"/>
  <c r="G270" i="75"/>
  <c r="H270" i="75"/>
  <c r="F64" i="51"/>
  <c r="F9" i="86"/>
  <c r="D46" i="93"/>
  <c r="Q12" i="44"/>
  <c r="G197" i="75"/>
  <c r="G144" i="86"/>
  <c r="G57" i="67"/>
  <c r="M134" i="88"/>
  <c r="F53" i="67"/>
  <c r="F57" i="67"/>
  <c r="D53" i="67"/>
  <c r="P15" i="58"/>
  <c r="G106" i="75"/>
  <c r="M53" i="67"/>
  <c r="M57" i="67"/>
  <c r="Q20" i="44"/>
  <c r="G198" i="75"/>
  <c r="D127" i="77"/>
  <c r="G138" i="75"/>
  <c r="E23" i="62"/>
  <c r="F10" i="62"/>
  <c r="F23" i="62"/>
  <c r="E42" i="62"/>
  <c r="F42" i="62"/>
  <c r="E38" i="73"/>
  <c r="I38" i="73"/>
  <c r="M38" i="73"/>
  <c r="Q10" i="73"/>
  <c r="D45" i="73"/>
  <c r="G45" i="73"/>
  <c r="Q18" i="73"/>
  <c r="D53" i="73"/>
  <c r="G53" i="73"/>
  <c r="G73" i="73"/>
  <c r="D38" i="73"/>
  <c r="L38" i="73"/>
  <c r="Q14" i="73"/>
  <c r="D49" i="73"/>
  <c r="E49" i="73"/>
  <c r="Q17" i="73"/>
  <c r="D52" i="73"/>
  <c r="H52" i="73"/>
  <c r="Q21" i="73"/>
  <c r="D56" i="73"/>
  <c r="E56" i="73"/>
  <c r="Q22" i="73"/>
  <c r="D57" i="73"/>
  <c r="H57" i="73"/>
  <c r="O36" i="67"/>
  <c r="G38" i="73"/>
  <c r="D57" i="67"/>
  <c r="E53" i="93"/>
  <c r="E59" i="93"/>
  <c r="E39" i="93"/>
  <c r="H146" i="75"/>
  <c r="D39" i="49"/>
  <c r="F62" i="56"/>
  <c r="D108" i="77"/>
  <c r="D114" i="77"/>
  <c r="F39" i="49"/>
  <c r="D85" i="88"/>
  <c r="M67" i="88"/>
  <c r="N67" i="88"/>
  <c r="H199" i="75"/>
  <c r="H208" i="75"/>
  <c r="G211" i="88"/>
  <c r="G199" i="75"/>
  <c r="G208" i="75"/>
  <c r="D213" i="88"/>
  <c r="D214" i="88"/>
  <c r="H206" i="75"/>
  <c r="H214" i="75"/>
  <c r="G7" i="86"/>
  <c r="E9" i="86"/>
  <c r="G9" i="86"/>
  <c r="D87" i="88"/>
  <c r="M76" i="88"/>
  <c r="D81" i="88"/>
  <c r="D48" i="44"/>
  <c r="Q45" i="44"/>
  <c r="Q48" i="44"/>
  <c r="G202" i="75"/>
  <c r="G205" i="75"/>
  <c r="K53" i="67"/>
  <c r="K57" i="67"/>
  <c r="Q36" i="73"/>
  <c r="D71" i="73"/>
  <c r="H205" i="75"/>
  <c r="F53" i="56"/>
  <c r="F63" i="56"/>
  <c r="G262" i="75"/>
  <c r="G263" i="75"/>
  <c r="Q9" i="73"/>
  <c r="Q13" i="73"/>
  <c r="D48" i="73"/>
  <c r="E48" i="73"/>
  <c r="E73" i="73"/>
  <c r="L42" i="62"/>
  <c r="G28" i="75"/>
  <c r="D10" i="84"/>
  <c r="D11" i="84"/>
  <c r="D12" i="84"/>
  <c r="D13" i="84"/>
  <c r="D14" i="84"/>
  <c r="D15" i="84"/>
  <c r="D16" i="84"/>
  <c r="D17" i="84"/>
  <c r="D18" i="84"/>
  <c r="D19" i="84"/>
  <c r="D20" i="84"/>
  <c r="D22" i="84"/>
  <c r="H41" i="75"/>
  <c r="G19" i="75"/>
  <c r="H19" i="75"/>
  <c r="E63" i="56"/>
  <c r="D24" i="77"/>
  <c r="D30" i="77"/>
  <c r="E53" i="67"/>
  <c r="E57" i="67"/>
  <c r="G63" i="51"/>
  <c r="G64" i="51"/>
  <c r="H12" i="75"/>
  <c r="D198" i="88"/>
  <c r="G12" i="75"/>
  <c r="G13" i="75"/>
  <c r="H20" i="75"/>
  <c r="G20" i="75"/>
  <c r="H15" i="75"/>
  <c r="G15" i="75"/>
  <c r="H29" i="75"/>
  <c r="E40" i="51"/>
  <c r="E63" i="51"/>
  <c r="C42" i="62"/>
  <c r="G56" i="75"/>
  <c r="G57" i="75"/>
  <c r="L9" i="62"/>
  <c r="L23" i="62"/>
  <c r="G27" i="75"/>
  <c r="D57" i="51"/>
  <c r="D63" i="51"/>
  <c r="E64" i="51"/>
  <c r="G23" i="78"/>
  <c r="G25" i="78"/>
  <c r="G277" i="75"/>
  <c r="G283" i="75"/>
  <c r="H277" i="75"/>
  <c r="H283" i="75"/>
  <c r="I227" i="88"/>
  <c r="D64" i="51"/>
  <c r="G276" i="75"/>
  <c r="G278" i="75"/>
  <c r="H276" i="75"/>
  <c r="H278" i="75"/>
  <c r="H42" i="75"/>
  <c r="H260" i="75"/>
  <c r="D68" i="88"/>
  <c r="H16" i="75"/>
  <c r="G16" i="75"/>
  <c r="G213" i="75"/>
  <c r="F213" i="88"/>
  <c r="I213" i="88"/>
  <c r="F212" i="88"/>
  <c r="I212" i="88"/>
  <c r="F211" i="88"/>
  <c r="I211" i="88"/>
  <c r="I214" i="88"/>
  <c r="G29" i="75"/>
  <c r="D44" i="73"/>
  <c r="Q38" i="73"/>
  <c r="G140" i="75"/>
  <c r="H140" i="75"/>
  <c r="H148" i="75"/>
  <c r="D131" i="88"/>
  <c r="O53" i="67"/>
  <c r="G206" i="75"/>
  <c r="G214" i="75"/>
  <c r="H98" i="75"/>
  <c r="G98" i="75"/>
  <c r="H138" i="75"/>
  <c r="G141" i="75"/>
  <c r="H21" i="75"/>
  <c r="N76" i="88"/>
  <c r="H17" i="75"/>
  <c r="H23" i="75"/>
  <c r="G21" i="75"/>
  <c r="G17" i="75"/>
  <c r="H13" i="75"/>
  <c r="H213" i="75"/>
  <c r="H204" i="75"/>
  <c r="H212" i="75"/>
  <c r="H215" i="75"/>
  <c r="M85" i="88"/>
  <c r="H176" i="75"/>
  <c r="H178" i="75"/>
  <c r="G176" i="75"/>
  <c r="G178" i="75"/>
  <c r="D103" i="77"/>
  <c r="E46" i="93"/>
  <c r="O57" i="67"/>
  <c r="H301" i="75"/>
  <c r="G23" i="75"/>
  <c r="G24" i="75"/>
  <c r="G204" i="75"/>
  <c r="G212" i="75"/>
  <c r="G215" i="75"/>
  <c r="D86" i="88"/>
  <c r="D90" i="88"/>
  <c r="M68" i="88"/>
  <c r="D72" i="88"/>
  <c r="I32" i="88"/>
  <c r="I39" i="88"/>
  <c r="H24" i="75"/>
  <c r="D201" i="88"/>
  <c r="H262" i="75"/>
  <c r="H263" i="75"/>
  <c r="I188" i="88"/>
  <c r="D130" i="88"/>
  <c r="H141" i="75"/>
  <c r="H44" i="73"/>
  <c r="H73" i="73"/>
  <c r="D73" i="73"/>
  <c r="G129" i="75"/>
  <c r="G130" i="75"/>
  <c r="H129" i="75"/>
  <c r="M131" i="88"/>
  <c r="N85" i="88"/>
  <c r="D126" i="88"/>
  <c r="H130" i="75"/>
  <c r="H101" i="75"/>
  <c r="G101" i="75"/>
  <c r="H47" i="75"/>
  <c r="H48" i="75"/>
  <c r="H50" i="75"/>
  <c r="H58" i="75"/>
  <c r="H59" i="75"/>
  <c r="H61" i="75"/>
  <c r="H73" i="75"/>
  <c r="H74" i="75"/>
  <c r="H92" i="75"/>
  <c r="H93" i="75"/>
  <c r="H94" i="75"/>
  <c r="D108" i="88"/>
  <c r="H280" i="75"/>
  <c r="H281" i="75"/>
  <c r="H282" i="75"/>
  <c r="H85" i="75"/>
  <c r="H86" i="75"/>
  <c r="H183" i="75"/>
  <c r="H184" i="75"/>
  <c r="H167" i="75"/>
  <c r="H168" i="75"/>
  <c r="H102" i="75"/>
  <c r="H271" i="75"/>
  <c r="H272" i="75"/>
  <c r="H273" i="75"/>
  <c r="I223" i="88"/>
  <c r="D15" i="88"/>
  <c r="I15" i="88"/>
  <c r="H142" i="75"/>
  <c r="H143" i="75"/>
  <c r="H191" i="75"/>
  <c r="H192" i="75"/>
  <c r="I191" i="88"/>
  <c r="I193" i="88"/>
  <c r="M86" i="88"/>
  <c r="G47" i="75"/>
  <c r="G48" i="75"/>
  <c r="G50" i="75"/>
  <c r="G58" i="75"/>
  <c r="G59" i="75"/>
  <c r="G61" i="75"/>
  <c r="G271" i="75"/>
  <c r="G272" i="75"/>
  <c r="G273" i="75"/>
  <c r="G191" i="75"/>
  <c r="G192" i="75"/>
  <c r="G193" i="75"/>
  <c r="G251" i="75"/>
  <c r="G280" i="75"/>
  <c r="G281" i="75"/>
  <c r="G282" i="75"/>
  <c r="G286" i="75"/>
  <c r="G142" i="75"/>
  <c r="G143" i="75"/>
  <c r="G167" i="75"/>
  <c r="G168" i="75"/>
  <c r="G170" i="75"/>
  <c r="G249" i="75"/>
  <c r="G92" i="75"/>
  <c r="G93" i="75"/>
  <c r="G94" i="75"/>
  <c r="G73" i="75"/>
  <c r="G74" i="75"/>
  <c r="G85" i="75"/>
  <c r="G86" i="75"/>
  <c r="G102" i="75"/>
  <c r="G183" i="75"/>
  <c r="G184" i="75"/>
  <c r="L70" i="88"/>
  <c r="L198" i="88"/>
  <c r="H193" i="75"/>
  <c r="H251" i="75"/>
  <c r="D135" i="88"/>
  <c r="H170" i="75"/>
  <c r="D141" i="88"/>
  <c r="M108" i="88"/>
  <c r="G103" i="75"/>
  <c r="L79" i="88"/>
  <c r="M70" i="88"/>
  <c r="G63" i="75"/>
  <c r="G31" i="75"/>
  <c r="G32" i="75"/>
  <c r="H103" i="75"/>
  <c r="G129" i="88"/>
  <c r="F198" i="88"/>
  <c r="G198" i="88"/>
  <c r="G125" i="88"/>
  <c r="I125" i="88"/>
  <c r="G76" i="88"/>
  <c r="I76" i="88"/>
  <c r="G141" i="88"/>
  <c r="I141" i="88"/>
  <c r="G165" i="88"/>
  <c r="G95" i="88"/>
  <c r="H31" i="75"/>
  <c r="H32" i="75"/>
  <c r="H70" i="75"/>
  <c r="H71" i="75"/>
  <c r="H75" i="75"/>
  <c r="D95" i="88"/>
  <c r="I95" i="88"/>
  <c r="H63" i="75"/>
  <c r="H34" i="75"/>
  <c r="H35" i="75"/>
  <c r="H82" i="75"/>
  <c r="H83" i="75"/>
  <c r="H87" i="75"/>
  <c r="D99" i="88"/>
  <c r="G99" i="88"/>
  <c r="I99" i="88"/>
  <c r="I102" i="88"/>
  <c r="G67" i="88"/>
  <c r="I67" i="88"/>
  <c r="G108" i="88"/>
  <c r="I108" i="88"/>
  <c r="G109" i="88"/>
  <c r="H99" i="75"/>
  <c r="H100" i="75"/>
  <c r="H104" i="75"/>
  <c r="D109" i="88"/>
  <c r="I109" i="88"/>
  <c r="I110" i="88"/>
  <c r="G126" i="88"/>
  <c r="I126" i="88"/>
  <c r="G156" i="88"/>
  <c r="G134" i="88"/>
  <c r="I134" i="88"/>
  <c r="G104" i="88"/>
  <c r="I104" i="88"/>
  <c r="G131" i="88"/>
  <c r="I131" i="88"/>
  <c r="F197" i="88"/>
  <c r="G197" i="88"/>
  <c r="G68" i="88"/>
  <c r="I68" i="88"/>
  <c r="G127" i="88"/>
  <c r="I127" i="88"/>
  <c r="G140" i="88"/>
  <c r="I140" i="88"/>
  <c r="L199" i="88"/>
  <c r="G135" i="88"/>
  <c r="G146" i="88"/>
  <c r="H179" i="75"/>
  <c r="H180" i="75"/>
  <c r="H185" i="75"/>
  <c r="D146" i="88"/>
  <c r="I146" i="88"/>
  <c r="I153" i="88"/>
  <c r="M146" i="88"/>
  <c r="M153" i="88"/>
  <c r="L153" i="88"/>
  <c r="I226" i="88"/>
  <c r="I230" i="88"/>
  <c r="D16" i="88"/>
  <c r="I16" i="88"/>
  <c r="I19" i="88"/>
  <c r="L200" i="88"/>
  <c r="H286" i="75"/>
  <c r="M126" i="88"/>
  <c r="G34" i="75"/>
  <c r="G35" i="75"/>
  <c r="G244" i="75"/>
  <c r="I135" i="88"/>
  <c r="H244" i="75"/>
  <c r="M72" i="88"/>
  <c r="M79" i="88"/>
  <c r="M81" i="88"/>
  <c r="L128" i="88"/>
  <c r="M141" i="88"/>
  <c r="M143" i="88"/>
  <c r="D143" i="88"/>
  <c r="N127" i="88"/>
  <c r="O127" i="88"/>
  <c r="G179" i="75"/>
  <c r="G180" i="75"/>
  <c r="G185" i="75"/>
  <c r="G250" i="75"/>
  <c r="G70" i="75"/>
  <c r="G71" i="75"/>
  <c r="G75" i="75"/>
  <c r="N143" i="88"/>
  <c r="H249" i="75"/>
  <c r="H250" i="75"/>
  <c r="N153" i="88"/>
  <c r="L130" i="88"/>
  <c r="M128" i="88"/>
  <c r="M88" i="88"/>
  <c r="M90" i="88"/>
  <c r="G234" i="75"/>
  <c r="G235" i="75"/>
  <c r="G153" i="75"/>
  <c r="G154" i="75"/>
  <c r="G156" i="75"/>
  <c r="G82" i="75"/>
  <c r="G83" i="75"/>
  <c r="G87" i="75"/>
  <c r="G99" i="75"/>
  <c r="G100" i="75"/>
  <c r="G104" i="75"/>
  <c r="O143" i="88"/>
  <c r="H234" i="75"/>
  <c r="H235" i="75"/>
  <c r="H153" i="75"/>
  <c r="H154" i="75"/>
  <c r="M109" i="88"/>
  <c r="M110" i="88"/>
  <c r="D110" i="88"/>
  <c r="G109" i="75"/>
  <c r="G111" i="75"/>
  <c r="G118" i="75"/>
  <c r="G248" i="75"/>
  <c r="L132" i="88"/>
  <c r="M132" i="88"/>
  <c r="M130" i="88"/>
  <c r="M99" i="88"/>
  <c r="D129" i="88"/>
  <c r="H156" i="75"/>
  <c r="M95" i="88"/>
  <c r="D102" i="88"/>
  <c r="M102" i="88"/>
  <c r="M112" i="88"/>
  <c r="O153" i="88"/>
  <c r="D153" i="88"/>
  <c r="G245" i="75"/>
  <c r="G120" i="75"/>
  <c r="M129" i="88"/>
  <c r="M137" i="88"/>
  <c r="I129" i="88"/>
  <c r="D137" i="88"/>
  <c r="N137" i="88"/>
  <c r="H248" i="75"/>
  <c r="H109" i="75"/>
  <c r="H111" i="75"/>
  <c r="H118" i="75"/>
  <c r="D112" i="88"/>
  <c r="O137" i="88"/>
  <c r="G217" i="75"/>
  <c r="G246" i="75"/>
  <c r="H245" i="75"/>
  <c r="H120" i="75"/>
  <c r="G252" i="75"/>
  <c r="G237" i="75"/>
  <c r="G239" i="75"/>
  <c r="G253" i="75"/>
  <c r="N112" i="88"/>
  <c r="H246" i="75"/>
  <c r="H217" i="75"/>
  <c r="H252" i="75"/>
  <c r="N165" i="88"/>
  <c r="D165" i="88"/>
  <c r="H237" i="75"/>
  <c r="H239" i="75"/>
  <c r="G257" i="75"/>
  <c r="G264" i="75"/>
  <c r="G265" i="75"/>
  <c r="G289" i="75"/>
  <c r="G27" i="78"/>
  <c r="G29" i="78"/>
  <c r="D156" i="88"/>
  <c r="N156" i="88"/>
  <c r="H253" i="75"/>
  <c r="I165" i="88"/>
  <c r="M165" i="88"/>
  <c r="L165" i="88"/>
  <c r="O165" i="88"/>
  <c r="G45" i="78"/>
  <c r="G42" i="78"/>
  <c r="G47" i="78"/>
  <c r="G43" i="78"/>
  <c r="G46" i="78"/>
  <c r="G38" i="78"/>
  <c r="G37" i="78"/>
  <c r="H37" i="78"/>
  <c r="G44" i="78"/>
  <c r="G39" i="78"/>
  <c r="F67" i="78"/>
  <c r="G40" i="78"/>
  <c r="G48" i="78"/>
  <c r="G41" i="78"/>
  <c r="H257" i="75"/>
  <c r="H38" i="78"/>
  <c r="F37" i="78"/>
  <c r="N167" i="88"/>
  <c r="H264" i="75"/>
  <c r="H265" i="75"/>
  <c r="D162" i="88"/>
  <c r="D167" i="88"/>
  <c r="D174" i="88"/>
  <c r="I156" i="88"/>
  <c r="M156" i="88"/>
  <c r="L156" i="88"/>
  <c r="M167" i="88"/>
  <c r="O167" i="88"/>
  <c r="L174" i="88"/>
  <c r="H289" i="75"/>
  <c r="I37" i="78"/>
  <c r="H39" i="78"/>
  <c r="F39" i="78"/>
  <c r="F38" i="78"/>
  <c r="I38" i="78"/>
  <c r="I39" i="78"/>
  <c r="H40" i="78"/>
  <c r="F40" i="78"/>
  <c r="H41" i="78"/>
  <c r="F41" i="78"/>
  <c r="H42" i="78"/>
  <c r="F42" i="78"/>
  <c r="I40" i="78"/>
  <c r="I41" i="78"/>
  <c r="I42" i="78"/>
  <c r="H43" i="78"/>
  <c r="H44" i="78"/>
  <c r="F43" i="78"/>
  <c r="I43" i="78"/>
  <c r="F44" i="78"/>
  <c r="I44" i="78"/>
  <c r="H45" i="78"/>
  <c r="F45" i="78"/>
  <c r="I45" i="78"/>
  <c r="H46" i="78"/>
  <c r="F46" i="78"/>
  <c r="I46" i="78"/>
  <c r="H47" i="78"/>
  <c r="F47" i="78"/>
  <c r="H48" i="78"/>
  <c r="F48" i="78"/>
  <c r="I47" i="78"/>
  <c r="I48" i="78"/>
  <c r="H49" i="78"/>
  <c r="H50" i="78"/>
  <c r="F49" i="78"/>
  <c r="I49" i="78"/>
  <c r="H51" i="78"/>
  <c r="F51" i="78"/>
  <c r="F50" i="78"/>
  <c r="I50" i="78"/>
  <c r="I51" i="78"/>
  <c r="H52" i="78"/>
  <c r="H53" i="78"/>
  <c r="F52" i="78"/>
  <c r="I52" i="78"/>
  <c r="H54" i="78"/>
  <c r="F54" i="78"/>
  <c r="F53" i="78"/>
  <c r="I53" i="78"/>
  <c r="I54" i="78"/>
  <c r="H55" i="78"/>
  <c r="H56" i="78"/>
  <c r="F55" i="78"/>
  <c r="I55" i="78"/>
  <c r="F56" i="78"/>
  <c r="I56" i="78"/>
  <c r="H57" i="78"/>
  <c r="F57" i="78"/>
  <c r="I57" i="78"/>
  <c r="H58" i="78"/>
  <c r="F58" i="78"/>
  <c r="I58" i="78"/>
  <c r="H59" i="78"/>
  <c r="H60" i="78"/>
  <c r="F60" i="78"/>
  <c r="F59" i="78"/>
  <c r="I59" i="78"/>
  <c r="I60" i="78"/>
  <c r="H61" i="78"/>
  <c r="F61" i="78"/>
  <c r="I61" i="78"/>
  <c r="H62" i="78"/>
  <c r="H63" i="78"/>
  <c r="F63" i="78"/>
  <c r="F62" i="78"/>
  <c r="I62" i="78"/>
  <c r="I63" i="78"/>
  <c r="H64" i="78"/>
  <c r="F64" i="78"/>
  <c r="F66" i="78"/>
  <c r="F68" i="78"/>
  <c r="H291" i="75"/>
  <c r="I64" i="78"/>
  <c r="I65" i="78"/>
  <c r="D21" i="88"/>
  <c r="I21" i="88"/>
  <c r="M21" i="88"/>
  <c r="H293" i="75"/>
  <c r="M28" i="88"/>
  <c r="H298" i="75"/>
  <c r="H302" i="75"/>
  <c r="H303" i="75"/>
  <c r="M23" i="88"/>
  <c r="N21" i="88"/>
  <c r="I143" i="88"/>
  <c r="L143" i="88"/>
  <c r="I162" i="88"/>
  <c r="G201" i="88"/>
  <c r="I201" i="88"/>
  <c r="G128" i="88"/>
  <c r="I128" i="88"/>
  <c r="G130" i="88"/>
  <c r="I130" i="88"/>
  <c r="G132" i="88"/>
  <c r="I132" i="88"/>
  <c r="I137" i="88"/>
  <c r="I85" i="88"/>
  <c r="I86" i="88"/>
  <c r="G70" i="88"/>
  <c r="I70" i="88"/>
  <c r="G79" i="88"/>
  <c r="I79" i="88"/>
  <c r="I88" i="88"/>
  <c r="I90" i="88"/>
  <c r="I112" i="88"/>
  <c r="I81" i="88"/>
  <c r="J8" i="108"/>
  <c r="J12" i="108"/>
  <c r="N7" i="108"/>
  <c r="L12" i="108"/>
  <c r="K12" i="108"/>
  <c r="C12" i="108"/>
  <c r="N8" i="108"/>
  <c r="N9" i="108"/>
  <c r="L137" i="88"/>
  <c r="I167" i="88"/>
  <c r="I174" i="88"/>
  <c r="I72" i="88"/>
  <c r="I12" i="88"/>
  <c r="I23" i="88"/>
  <c r="M174" i="88"/>
  <c r="I28" i="88"/>
  <c r="N23" i="88"/>
  <c r="N28" i="88"/>
  <c r="D41" i="88"/>
  <c r="D42" i="88"/>
  <c r="D48" i="88"/>
  <c r="D47" i="88"/>
  <c r="D46" i="88"/>
  <c r="I47" i="88"/>
  <c r="I46" i="88"/>
  <c r="I48" i="88"/>
</calcChain>
</file>

<file path=xl/sharedStrings.xml><?xml version="1.0" encoding="utf-8"?>
<sst xmlns="http://schemas.openxmlformats.org/spreadsheetml/2006/main" count="4111" uniqueCount="2134">
  <si>
    <t>Other.</t>
  </si>
  <si>
    <t>Liberalized tax depreciation.</t>
  </si>
  <si>
    <t>Plant basis difference.</t>
  </si>
  <si>
    <t>Intangible and General plant</t>
  </si>
  <si>
    <t>Securitized Plant Related.</t>
  </si>
  <si>
    <t>Mark to market of purchase power contracts.</t>
  </si>
  <si>
    <t>Miscellaneous including Account 186</t>
  </si>
  <si>
    <t>Transmission related costs deducted as repairs for tax and capitalized for books.</t>
  </si>
  <si>
    <t>Prepaid costs in FERC account 165 that were deducted for tax.</t>
  </si>
  <si>
    <t xml:space="preserve">Total </t>
  </si>
  <si>
    <t>Taxes Other Than Income</t>
  </si>
  <si>
    <t>FICA</t>
  </si>
  <si>
    <t>State Unemployment</t>
  </si>
  <si>
    <t>Gross Receipts &amp; Sales Tax</t>
  </si>
  <si>
    <t>Use Tax</t>
  </si>
  <si>
    <t>Gross Receipts Privilege Tax</t>
  </si>
  <si>
    <t>State Excise Tax</t>
  </si>
  <si>
    <t>Federal Excise Tax</t>
  </si>
  <si>
    <t>Regulatory commission</t>
  </si>
  <si>
    <t>Non Income Taxes</t>
  </si>
  <si>
    <t>Distribution</t>
  </si>
  <si>
    <t xml:space="preserve">Composite Income Taxes                                                                                                       </t>
  </si>
  <si>
    <t>Annual Point-to-Point Transmission Rate</t>
  </si>
  <si>
    <t>Net Adjusted Revenue Requirement</t>
  </si>
  <si>
    <t>T = 1-{[(1-SIT) * (1-FIT)]/(1-SIT * FIT * p)}</t>
  </si>
  <si>
    <t>Year</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</si>
  <si>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</si>
  <si>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</si>
  <si>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</si>
  <si>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</si>
  <si>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</si>
  <si>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</si>
  <si>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</si>
  <si>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</si>
  <si>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</si>
  <si>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</si>
  <si>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</si>
  <si>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</si>
  <si>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</si>
  <si>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</si>
  <si>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</si>
  <si>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</si>
  <si>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</si>
  <si>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</si>
  <si>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</si>
  <si>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</si>
  <si>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</si>
  <si>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</si>
  <si>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</si>
  <si>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</si>
  <si>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</si>
  <si>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</si>
  <si>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</si>
  <si>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</si>
  <si>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</si>
  <si>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</si>
  <si>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</si>
  <si>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</si>
  <si>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</si>
  <si>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</si>
  <si>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</si>
  <si>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</si>
  <si>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</si>
  <si>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</si>
  <si>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</si>
  <si>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</si>
  <si>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</si>
  <si>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</si>
  <si>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</si>
  <si>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</si>
  <si>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</si>
  <si>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</si>
  <si>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</si>
  <si>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</si>
  <si>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</si>
  <si>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</si>
  <si>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</si>
  <si>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</si>
  <si>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</si>
  <si>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</si>
  <si>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</si>
  <si>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</si>
  <si>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</si>
  <si>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</si>
  <si>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</si>
  <si>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</si>
  <si>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</si>
  <si>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</si>
  <si>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</si>
  <si>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</si>
  <si>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</si>
  <si>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</si>
  <si>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</si>
  <si>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</si>
  <si>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</si>
  <si>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</si>
  <si>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</si>
  <si>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</si>
  <si>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</si>
  <si>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</si>
  <si>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</si>
  <si>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</si>
  <si>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</si>
  <si>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</si>
  <si>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</si>
  <si>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</si>
  <si>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</si>
  <si>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</si>
  <si>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</si>
  <si>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</si>
  <si>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</si>
  <si>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</si>
  <si>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</si>
  <si>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</si>
  <si>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</si>
  <si>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</si>
  <si>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</si>
  <si>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</si>
  <si>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</si>
  <si>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</si>
  <si>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</si>
  <si>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</si>
  <si>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</si>
  <si>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</si>
  <si>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</si>
  <si>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</si>
  <si>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</si>
  <si>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</si>
  <si>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</si>
  <si>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</si>
  <si>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</si>
  <si>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</si>
  <si>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</si>
  <si>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</si>
  <si>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</si>
  <si>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</si>
  <si>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</si>
  <si>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</si>
  <si>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</si>
  <si>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</si>
  <si>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</si>
  <si>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</si>
  <si>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</si>
  <si>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</si>
  <si>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</si>
  <si>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</si>
  <si>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</si>
  <si>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</si>
  <si>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</si>
  <si>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</si>
  <si>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</si>
  <si>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</si>
  <si>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</si>
  <si>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</si>
  <si>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</si>
  <si>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</si>
  <si>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</si>
  <si>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</si>
  <si>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</si>
  <si>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</si>
  <si>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</si>
  <si>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</si>
  <si>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</si>
  <si>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</si>
  <si>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</si>
  <si>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</si>
  <si>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H</t>
  </si>
  <si>
    <t>(1)</t>
  </si>
  <si>
    <t>Generation</t>
  </si>
  <si>
    <t>General Plant</t>
  </si>
  <si>
    <t>Attachment O</t>
  </si>
  <si>
    <t>Account</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</si>
  <si>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</si>
  <si>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</si>
  <si>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</si>
  <si>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</si>
  <si>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</si>
  <si>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</si>
  <si>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</si>
  <si>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</si>
  <si>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</si>
  <si>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</si>
  <si>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</si>
  <si>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</si>
  <si>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</si>
  <si>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Steam Production</t>
  </si>
  <si>
    <t>Nuclear Production</t>
  </si>
  <si>
    <t>Hydraulic Production</t>
  </si>
  <si>
    <t>RTMO</t>
  </si>
  <si>
    <t>General</t>
  </si>
  <si>
    <t>Note:</t>
  </si>
  <si>
    <t>Nuclear plant related.</t>
  </si>
  <si>
    <t>Reserve for Property insurance - a book accrual.</t>
  </si>
  <si>
    <t>Property O&amp;M repair costs for book required to be depreciated for tax.</t>
  </si>
  <si>
    <t>Reserve for Injuries and Damages - a book accrual.</t>
  </si>
  <si>
    <t>Customer deposit recorded in account 253</t>
  </si>
  <si>
    <t>Employee Benefit</t>
  </si>
  <si>
    <t>Production related.</t>
  </si>
  <si>
    <t>Net negative salvage is related to plant.</t>
  </si>
  <si>
    <t>FERC account 144 - Book reserve for uncollectible accounts.</t>
  </si>
  <si>
    <t>Rounding</t>
  </si>
  <si>
    <t>Unregulated partnership interest.</t>
  </si>
  <si>
    <t>Deferred Revenue FERC account 242500</t>
  </si>
  <si>
    <t>FERC Accounts 228400 and 228403</t>
  </si>
  <si>
    <t>Deferred directors compensation.</t>
  </si>
  <si>
    <t>FASB 109 is removed from filing.</t>
  </si>
  <si>
    <t>Charitable contributions deduction carried forward.</t>
  </si>
  <si>
    <t>OpCo</t>
  </si>
  <si>
    <t>ESI</t>
  </si>
  <si>
    <t>ESI - Production</t>
  </si>
  <si>
    <t>ESI - Transmission</t>
  </si>
  <si>
    <t>ESI - Regional Market</t>
  </si>
  <si>
    <t>ESI - Distribution</t>
  </si>
  <si>
    <t>ESI - Customer Accounts</t>
  </si>
  <si>
    <t>ESI - Customer Service</t>
  </si>
  <si>
    <t>ESI - Sales</t>
  </si>
  <si>
    <t>EOI - Payroll</t>
  </si>
  <si>
    <t>EOI - A&amp;G</t>
  </si>
  <si>
    <t>Accrued interest on tax deficiencies - FIN48 accrued interest.</t>
  </si>
  <si>
    <t>Difference between unbilled revenue reported for tax and book.</t>
  </si>
  <si>
    <t>ADIT- 281</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</si>
  <si>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</si>
  <si>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</si>
  <si>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</si>
  <si>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</si>
  <si>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</si>
  <si>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</si>
  <si>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</si>
  <si>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</si>
  <si>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</si>
  <si>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</si>
  <si>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</si>
  <si>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</si>
  <si>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</si>
  <si>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</si>
  <si>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</si>
  <si>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</si>
  <si>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</si>
  <si>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</si>
  <si>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</si>
  <si>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</si>
  <si>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</si>
  <si>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399_0_ Other Tangible Property</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</si>
  <si>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</si>
  <si>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</si>
  <si>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</si>
  <si>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</si>
  <si>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</si>
  <si>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</si>
  <si>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</si>
  <si>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</si>
  <si>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</si>
  <si>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</si>
  <si>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</si>
  <si>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</si>
  <si>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359_0_Roads &amp; Trails - Trans</t>
  </si>
  <si>
    <t>Utility Account and Description</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</si>
  <si>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</si>
  <si>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</si>
  <si>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</si>
  <si>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</si>
  <si>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</si>
  <si>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</si>
  <si>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</si>
  <si>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</si>
  <si>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Ad Valorem Tax</t>
  </si>
  <si>
    <t>*</t>
  </si>
  <si>
    <t>13 Month Average</t>
  </si>
  <si>
    <t>Interconnection Facilities</t>
  </si>
  <si>
    <t>Account Name</t>
  </si>
  <si>
    <t>Cumulative</t>
  </si>
  <si>
    <t>301-Organization (5 year life)</t>
  </si>
  <si>
    <t>302-Franchises and Consents (30 year life)</t>
  </si>
  <si>
    <t>302-Franchises and Consents (50 year life)</t>
  </si>
  <si>
    <t>303-Miscellaneous Intangible Plant (5 year life)</t>
  </si>
  <si>
    <t>303-Miscellaneous Intangible Plant (10 year life)</t>
  </si>
  <si>
    <t>ESI - Administrative &amp; General</t>
  </si>
  <si>
    <t>FERC Form 1  Page # or Reference</t>
  </si>
  <si>
    <t>Tax deduction when reacquired, book amortizes to expense.</t>
  </si>
  <si>
    <t>Ln</t>
  </si>
  <si>
    <t>Debt Capitalization</t>
  </si>
  <si>
    <t>Preferred Capitalization</t>
  </si>
  <si>
    <t>Common Capitalization</t>
  </si>
  <si>
    <t>FERC Annual Interest Rate</t>
  </si>
  <si>
    <t>X</t>
  </si>
  <si>
    <t>Y</t>
  </si>
  <si>
    <t>Z</t>
  </si>
  <si>
    <t>AA</t>
  </si>
  <si>
    <t>W</t>
  </si>
  <si>
    <t>Average of the 12 CP (kW)</t>
  </si>
  <si>
    <t>Less Attachment GG Adj.</t>
  </si>
  <si>
    <t>Less Attachment MM Adj.</t>
  </si>
  <si>
    <t>Asset Location</t>
  </si>
  <si>
    <t>930.2 - Misc. General Expense</t>
  </si>
  <si>
    <t>931 - Rents</t>
  </si>
  <si>
    <t>VSP (Severance)</t>
  </si>
  <si>
    <t>Account 1823HC - HCM Deferral</t>
  </si>
  <si>
    <t>MISO cost deferral account 1823MD.</t>
  </si>
  <si>
    <t>Notes:</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</si>
  <si>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</si>
  <si>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</si>
  <si>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</si>
  <si>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</si>
  <si>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</si>
  <si>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</si>
  <si>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</si>
  <si>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</si>
  <si>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</si>
  <si>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</si>
  <si>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</si>
  <si>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</si>
  <si>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</si>
  <si>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</si>
  <si>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</si>
  <si>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</si>
  <si>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</si>
  <si>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</si>
  <si>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</si>
  <si>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</si>
  <si>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</si>
  <si>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</si>
  <si>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</si>
  <si>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</si>
  <si>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</si>
  <si>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</si>
  <si>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</si>
  <si>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</si>
  <si>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</si>
  <si>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</si>
  <si>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</si>
  <si>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</si>
  <si>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</si>
  <si>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</si>
  <si>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</si>
  <si>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</si>
  <si>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</si>
  <si>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</si>
  <si>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</si>
  <si>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</si>
  <si>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</si>
  <si>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</si>
  <si>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</si>
  <si>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</si>
  <si>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</si>
  <si>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</si>
  <si>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</si>
  <si>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</si>
  <si>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</si>
  <si>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</si>
  <si>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</si>
  <si>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</si>
  <si>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</si>
  <si>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</si>
  <si>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</si>
  <si>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</si>
  <si>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</si>
  <si>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</si>
  <si>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</si>
  <si>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</si>
  <si>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</si>
  <si>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</si>
  <si>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</si>
  <si>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</si>
  <si>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</si>
  <si>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</si>
  <si>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</si>
  <si>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</si>
  <si>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</si>
  <si>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</si>
  <si>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</si>
  <si>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</si>
  <si>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</si>
  <si>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</si>
  <si>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</si>
  <si>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</si>
  <si>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</si>
  <si>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</si>
  <si>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</si>
  <si>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</si>
  <si>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</si>
  <si>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</si>
  <si>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</si>
  <si>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</si>
  <si>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</si>
  <si>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</si>
  <si>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</si>
  <si>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</si>
  <si>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</si>
  <si>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</si>
  <si>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</si>
  <si>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</si>
  <si>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</si>
  <si>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</si>
  <si>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</si>
  <si>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</si>
  <si>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</si>
  <si>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</si>
  <si>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</si>
  <si>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</si>
  <si>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</si>
  <si>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</si>
  <si>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</si>
  <si>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</si>
  <si>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</si>
  <si>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</si>
  <si>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</si>
  <si>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</si>
  <si>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</si>
  <si>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</si>
  <si>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</si>
  <si>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Included Transmission</t>
  </si>
  <si>
    <t>Excluded Transmission</t>
  </si>
  <si>
    <t>Production</t>
  </si>
  <si>
    <t>Intangible</t>
  </si>
  <si>
    <t>13-Mo Avg</t>
  </si>
  <si>
    <t xml:space="preserve">I </t>
  </si>
  <si>
    <t>Adjustments To Rate Base</t>
  </si>
  <si>
    <t>Alt Min tax credit carry forwards caused by a preference on tax depreciation.</t>
  </si>
  <si>
    <t>Subtotal ADIT</t>
  </si>
  <si>
    <t>Gas, Prod Or Other Related</t>
  </si>
  <si>
    <t>Transmission Only Related</t>
  </si>
  <si>
    <t>Projected: End of Year</t>
  </si>
  <si>
    <t>N/A</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</si>
  <si>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</si>
  <si>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</si>
  <si>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</si>
  <si>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</si>
  <si>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</si>
  <si>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</si>
  <si>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</si>
  <si>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</si>
  <si>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</si>
  <si>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</si>
  <si>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</si>
  <si>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</si>
  <si>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</si>
  <si>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</si>
  <si>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Transmission Pricing Zone</t>
  </si>
  <si>
    <t>Avg 12 CP</t>
  </si>
  <si>
    <t>Peak Day</t>
  </si>
  <si>
    <t>Peak Hr</t>
  </si>
  <si>
    <t>Network Customers</t>
  </si>
  <si>
    <t>Long Term Firm PTP</t>
  </si>
  <si>
    <t>OpCo Native Load</t>
  </si>
  <si>
    <t xml:space="preserve"> I</t>
  </si>
  <si>
    <t xml:space="preserve"> J</t>
  </si>
  <si>
    <t xml:space="preserve"> K</t>
  </si>
  <si>
    <t xml:space="preserve"> L</t>
  </si>
  <si>
    <t xml:space="preserve"> M</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</si>
  <si>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</si>
  <si>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</si>
  <si>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</si>
  <si>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</si>
  <si>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</si>
  <si>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</si>
  <si>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</si>
  <si>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</si>
  <si>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</si>
  <si>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</si>
  <si>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</si>
  <si>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</si>
  <si>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</si>
  <si>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</si>
  <si>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</si>
  <si>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</si>
  <si>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</si>
  <si>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</si>
  <si>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228151 - Insurance Proceeds-O&amp;M</t>
  </si>
  <si>
    <t>2281LB - Storm Damage Reserve Lock Box</t>
  </si>
  <si>
    <t>Accumulated Provision for Property Insurance</t>
  </si>
  <si>
    <t>Accumulated Provision for Pensions and Benefits</t>
  </si>
  <si>
    <t>Accumulated Miscellaneous Operating Provisions</t>
  </si>
  <si>
    <t>Income Tax Adjustments</t>
  </si>
  <si>
    <t>Total General &amp; Intangible Accumulated Depreciation</t>
  </si>
  <si>
    <t>Transmission O&amp;M (EOY)</t>
  </si>
  <si>
    <t>Allocated General Expenses (EOY)</t>
  </si>
  <si>
    <t>Adjusted A&amp;G</t>
  </si>
  <si>
    <t>Depreciation Expense (EOY)</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</si>
  <si>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</si>
  <si>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</si>
  <si>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</si>
  <si>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</si>
  <si>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</si>
  <si>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</si>
  <si>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</si>
  <si>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</si>
  <si>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</si>
  <si>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</si>
  <si>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</si>
  <si>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</si>
  <si>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</si>
  <si>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</si>
  <si>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Total O&amp;M Adjustments</t>
  </si>
  <si>
    <t xml:space="preserve">Total A&amp;G Adjustments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</si>
  <si>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</si>
  <si>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</si>
  <si>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</si>
  <si>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</si>
  <si>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</si>
  <si>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</si>
  <si>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</si>
  <si>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</si>
  <si>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</si>
  <si>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</si>
  <si>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</si>
  <si>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</si>
  <si>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</si>
  <si>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</si>
  <si>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</si>
  <si>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</si>
  <si>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</si>
  <si>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</si>
  <si>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</si>
  <si>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</si>
  <si>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</si>
  <si>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</si>
  <si>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</si>
  <si>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</si>
  <si>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</si>
  <si>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</si>
  <si>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</si>
  <si>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</si>
  <si>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</si>
  <si>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</si>
  <si>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</si>
  <si>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</si>
  <si>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</si>
  <si>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</si>
  <si>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</si>
  <si>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</si>
  <si>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</si>
  <si>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</si>
  <si>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</si>
  <si>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</si>
  <si>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</si>
  <si>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</si>
  <si>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</si>
  <si>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</si>
  <si>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</si>
  <si>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</si>
  <si>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</si>
  <si>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</si>
  <si>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FF</t>
  </si>
  <si>
    <t>GG</t>
  </si>
  <si>
    <t>HH</t>
  </si>
  <si>
    <t>II</t>
  </si>
  <si>
    <t>JJ</t>
  </si>
  <si>
    <t>KK</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</si>
  <si>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</si>
  <si>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</si>
  <si>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</si>
  <si>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</si>
  <si>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</si>
  <si>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</si>
  <si>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</si>
  <si>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</si>
  <si>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</si>
  <si>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</si>
  <si>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</si>
  <si>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</si>
  <si>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</si>
  <si>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</si>
  <si>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</si>
  <si>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</si>
  <si>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</si>
  <si>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p.214.47.d</t>
  </si>
  <si>
    <t>Less FASB 109 Above (Footnote p.234)</t>
  </si>
  <si>
    <t>Less FASB 109 p.276 &amp; 277 Footnote</t>
  </si>
  <si>
    <t>Total ADIT 283 Less FASB 109</t>
  </si>
  <si>
    <t>Related</t>
  </si>
  <si>
    <t>Account 561</t>
  </si>
  <si>
    <t>p. 351.h</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</si>
  <si>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</si>
  <si>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</si>
  <si>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</si>
  <si>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</si>
  <si>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</si>
  <si>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</si>
  <si>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</si>
  <si>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</si>
  <si>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</si>
  <si>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</si>
  <si>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</si>
  <si>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</si>
  <si>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</si>
  <si>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</si>
  <si>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</si>
  <si>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</si>
  <si>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p.400.1.b</t>
  </si>
  <si>
    <t>p.400.2.b</t>
  </si>
  <si>
    <t>p.400.3.b</t>
  </si>
  <si>
    <t>p.400.5.b</t>
  </si>
  <si>
    <t>p.400.6.b</t>
  </si>
  <si>
    <t>p.400.7.b</t>
  </si>
  <si>
    <t>p.400.9.b</t>
  </si>
  <si>
    <t>p.400.10.b</t>
  </si>
  <si>
    <t>p.400.11.b</t>
  </si>
  <si>
    <t>p.400.13.b</t>
  </si>
  <si>
    <t>p.400.14.b</t>
  </si>
  <si>
    <t>p.400.15.b</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</si>
  <si>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</si>
  <si>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</si>
  <si>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</si>
  <si>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</si>
  <si>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</si>
  <si>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</si>
  <si>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</si>
  <si>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</si>
  <si>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</si>
  <si>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</si>
  <si>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</si>
  <si>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</si>
  <si>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</si>
  <si>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</si>
  <si>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</si>
  <si>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</si>
  <si>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</si>
  <si>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</si>
  <si>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</si>
  <si>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</si>
  <si>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</si>
  <si>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</si>
  <si>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</si>
  <si>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</si>
  <si>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</si>
  <si>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</si>
  <si>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</si>
  <si>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</si>
  <si>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</si>
  <si>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</si>
  <si>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</si>
  <si>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</si>
  <si>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</si>
  <si>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</si>
  <si>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</si>
  <si>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</si>
  <si>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</si>
  <si>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</si>
  <si>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</si>
  <si>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</si>
  <si>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</si>
  <si>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</si>
  <si>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</si>
  <si>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</si>
  <si>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</si>
  <si>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</si>
  <si>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</si>
  <si>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</si>
  <si>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</si>
  <si>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</si>
  <si>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</si>
  <si>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</si>
  <si>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</si>
  <si>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</si>
  <si>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</si>
  <si>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</si>
  <si>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</si>
  <si>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</si>
  <si>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</si>
  <si>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</si>
  <si>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</si>
  <si>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</si>
  <si>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</si>
  <si>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</si>
  <si>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</si>
  <si>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</si>
  <si>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</si>
  <si>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</si>
  <si>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</si>
  <si>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</si>
  <si>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</si>
  <si>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</si>
  <si>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</si>
  <si>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</si>
  <si>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</si>
  <si>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</si>
  <si>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</si>
  <si>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</si>
  <si>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</si>
  <si>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</si>
  <si>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</si>
  <si>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</si>
  <si>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</si>
  <si>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</si>
  <si>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</si>
  <si>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</si>
  <si>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</si>
  <si>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</si>
  <si>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</si>
  <si>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</si>
  <si>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</si>
  <si>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</si>
  <si>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</si>
  <si>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</si>
  <si>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WP02 - Cost Support</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</si>
  <si>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</si>
  <si>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</si>
  <si>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</si>
  <si>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</si>
  <si>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</si>
  <si>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</si>
  <si>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</si>
  <si>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</si>
  <si>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</si>
  <si>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</si>
  <si>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</si>
  <si>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</si>
  <si>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</si>
  <si>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</si>
  <si>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</si>
  <si>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</si>
  <si>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</si>
  <si>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</si>
  <si>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</si>
  <si>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</si>
  <si>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</si>
  <si>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</si>
  <si>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</si>
  <si>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</si>
  <si>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</si>
  <si>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</si>
  <si>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</si>
  <si>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</si>
  <si>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</si>
  <si>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</si>
  <si>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</si>
  <si>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</si>
  <si>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</si>
  <si>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</si>
  <si>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</si>
  <si>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</si>
  <si>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</si>
  <si>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</si>
  <si>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</si>
  <si>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</si>
  <si>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</si>
  <si>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</si>
  <si>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</si>
  <si>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</si>
  <si>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</si>
  <si>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</si>
  <si>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</si>
  <si>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</si>
  <si>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</si>
  <si>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</si>
  <si>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</si>
  <si>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</si>
  <si>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</si>
  <si>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</si>
  <si>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</si>
  <si>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</si>
  <si>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</si>
  <si>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</si>
  <si>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</si>
  <si>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</si>
  <si>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</si>
  <si>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</si>
  <si>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</si>
  <si>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</si>
  <si>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</si>
  <si>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</si>
  <si>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</si>
  <si>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</si>
  <si>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</si>
  <si>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</si>
  <si>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</si>
  <si>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</si>
  <si>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</si>
  <si>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</si>
  <si>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</si>
  <si>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</si>
  <si>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</si>
  <si>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</si>
  <si>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</si>
  <si>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</si>
  <si>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</si>
  <si>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</si>
  <si>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</si>
  <si>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</si>
  <si>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</si>
  <si>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</si>
  <si>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</si>
  <si>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</si>
  <si>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</si>
  <si>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</si>
  <si>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</si>
  <si>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</si>
  <si>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</si>
  <si>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</si>
  <si>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</si>
  <si>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</si>
  <si>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 xml:space="preserve">FERC Energy Regulatory Commission Annual Charges (4) </t>
  </si>
  <si>
    <t xml:space="preserve"> A/C 2281 Storm Reserve Accrual Reclassification To Transm. O&amp;M</t>
  </si>
  <si>
    <t xml:space="preserve"> MISO Implementation Costs Deferral</t>
  </si>
  <si>
    <t xml:space="preserve"> A/C 2281 Storm Reserve Accrual Reclassification</t>
  </si>
  <si>
    <t xml:space="preserve"> Storm A/C 2281 Storm Reserve Accrual Reclassification</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</si>
  <si>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</si>
  <si>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</si>
  <si>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</si>
  <si>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</si>
  <si>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</si>
  <si>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</si>
  <si>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</si>
  <si>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</si>
  <si>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</si>
  <si>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</si>
  <si>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</si>
  <si>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</si>
  <si>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</si>
  <si>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</si>
  <si>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Based on gross receipts</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</si>
  <si>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</si>
  <si>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</si>
  <si>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</si>
  <si>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228153 - Securitization Proceeds</t>
  </si>
  <si>
    <t>Network Customer OATT Section 30.9 Facilities Credits</t>
  </si>
  <si>
    <t xml:space="preserve">  Less Adjustments  </t>
  </si>
  <si>
    <t>p. 351.3.h</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</si>
  <si>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</si>
  <si>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</si>
  <si>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</si>
  <si>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</si>
  <si>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</si>
  <si>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Deferral (3)</t>
  </si>
  <si>
    <t>Amortization (3)</t>
  </si>
  <si>
    <t>Total  Sum Line 1 Subparts</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</si>
  <si>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</si>
  <si>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</si>
  <si>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</si>
  <si>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</si>
  <si>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</si>
  <si>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</si>
  <si>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</si>
  <si>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</si>
  <si>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</si>
  <si>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</si>
  <si>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</si>
  <si>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</si>
  <si>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</si>
  <si>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</si>
  <si>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</si>
  <si>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</si>
  <si>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</si>
  <si>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</si>
  <si>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</si>
  <si>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</si>
  <si>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</si>
  <si>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</si>
  <si>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</si>
  <si>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</si>
  <si>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Sum of (FF1 300.b.21 + 300.b.22) for total above.</t>
  </si>
  <si>
    <t>Fiber Optics Equalization Revenue and Fiber Optics expense in Account 921010 are allocated on the Wages &amp; Salary Allocator.</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</si>
  <si>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</si>
  <si>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</si>
  <si>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</si>
  <si>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</si>
  <si>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</si>
  <si>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</si>
  <si>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</si>
  <si>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</si>
  <si>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This is a retail-only deferral reflected on the Company's books and in FERC Form 1.  For FERC purposes, deferral amounts and amortization amounts are reversed in the year in which they occurred.</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</si>
  <si>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</si>
  <si>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</si>
  <si>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</si>
  <si>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</si>
  <si>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</si>
  <si>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</si>
  <si>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</si>
  <si>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</si>
  <si>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</si>
  <si>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</si>
  <si>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r>
      <t xml:space="preserve">Include only the balances associated with long-term debt and </t>
    </r>
    <r>
      <rPr>
        <sz val="12"/>
        <rFont val="Arial"/>
        <family val="2"/>
      </rPr>
      <t>exclude balances associated with short-term debt.</t>
    </r>
  </si>
  <si>
    <t xml:space="preserve">Revenue Requirement associated with credits received by Network Customers for their integrated transmission facilities under Section 30.9. </t>
  </si>
  <si>
    <t>Year 1 (3)</t>
  </si>
  <si>
    <t>Year 2 (3)</t>
  </si>
  <si>
    <t>Non - Payroll</t>
  </si>
  <si>
    <t>All Incremental; No Payroll</t>
  </si>
  <si>
    <t>HCM Retail-Only Deferral Adjustment</t>
  </si>
  <si>
    <t xml:space="preserve">D </t>
  </si>
  <si>
    <t>C + D</t>
  </si>
  <si>
    <t>B + E</t>
  </si>
  <si>
    <t>See MISO May 31, 2013 filing in FERC Docket ER13-945 for Grandfathered status.</t>
  </si>
  <si>
    <t>Payroll Loading</t>
  </si>
  <si>
    <t>Entergy Services, Inc. 408155 Franchise Tax-Misc  (Ln 4)</t>
  </si>
  <si>
    <t>A positive result when subtracted in Appendix A or MISO Cover will lower O&amp;M.  A negative result will increase O&amp;M.</t>
  </si>
  <si>
    <t>Source Acct 253190 Employment Litigation Liab</t>
  </si>
  <si>
    <t>Units of Property Deduction - transmission</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</si>
  <si>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</si>
  <si>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</si>
  <si>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</si>
  <si>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</si>
  <si>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</si>
  <si>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</si>
  <si>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</si>
  <si>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</si>
  <si>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</si>
  <si>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</si>
  <si>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</si>
  <si>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</si>
  <si>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</si>
  <si>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</si>
  <si>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</si>
  <si>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Production O&amp;M (Accounts 500 - 557)</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</si>
  <si>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</si>
  <si>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</si>
  <si>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</si>
  <si>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</si>
  <si>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</si>
  <si>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</si>
  <si>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</si>
  <si>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</si>
  <si>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</si>
  <si>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</si>
  <si>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</si>
  <si>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</si>
  <si>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</si>
  <si>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</si>
  <si>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</si>
  <si>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</si>
  <si>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</si>
  <si>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</si>
  <si>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</si>
  <si>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</si>
  <si>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Transmission Net</t>
  </si>
  <si>
    <t>(Over) / Under Collections Balance (3)</t>
  </si>
  <si>
    <t>Other Revenue Requirement Adjustment(s) (4)</t>
  </si>
  <si>
    <t>…</t>
  </si>
  <si>
    <t>….</t>
  </si>
  <si>
    <t>4.XX</t>
  </si>
  <si>
    <t>2.XX</t>
  </si>
  <si>
    <t>7.XX</t>
  </si>
  <si>
    <t>1.XX</t>
  </si>
  <si>
    <t>6.XX</t>
  </si>
  <si>
    <t>8.XX</t>
  </si>
  <si>
    <t>11.XX</t>
  </si>
  <si>
    <t>14.XX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</si>
  <si>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</si>
  <si>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</si>
  <si>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</si>
  <si>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</si>
  <si>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</si>
  <si>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</si>
  <si>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</si>
  <si>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t>Adjustments (7)</t>
  </si>
  <si>
    <t>p. 335.11.b</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</si>
  <si>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</si>
  <si>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</si>
  <si>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</si>
  <si>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</si>
  <si>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</si>
  <si>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</si>
  <si>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</si>
  <si>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WP AJ3 - Human Capital Management Retail Deferral &amp; Amortization (1) (2) (3)</t>
  </si>
  <si>
    <t>FF1 p321 Sum Lines 85 to 92 Column B</t>
  </si>
  <si>
    <t>Plus Account 565 - Transmission Equalization Payments to Associated Companies</t>
  </si>
  <si>
    <t xml:space="preserve"> FF1 p332.h</t>
  </si>
  <si>
    <t>ADIT net of FASB 109 Allocated to Transmission</t>
  </si>
  <si>
    <t>WP AJ5 - Acadia PB2 Deferral Amortization (1)</t>
  </si>
  <si>
    <t>Total Transmission O&amp;M Add sum of line numbers</t>
  </si>
  <si>
    <t>Total All Add sum of line numbers</t>
  </si>
  <si>
    <t>Reversal of the retail deferral and amortization expenses for transmission improvements associated with Acadia PB2.</t>
  </si>
  <si>
    <t>Entergy Louisiana, LLC</t>
  </si>
  <si>
    <t>Attachment O-ELL</t>
  </si>
  <si>
    <t>WP AJ4 - EGSL &amp; ELL Merger Costs (1) (2)</t>
  </si>
  <si>
    <t>Nonpayroll Costs</t>
  </si>
  <si>
    <t>Transmission O&amp;M Excluding Acct 561 (Accts 560 through 574)</t>
  </si>
  <si>
    <t>Payroll O&amp;M Excl A&amp;G  Sum (Ln 12 Thru Ln 20)</t>
  </si>
  <si>
    <t>Entergy is not seeking recovery at FERC of the EGSL and ELL merger expenses that are included in FERC Form 1.</t>
  </si>
  <si>
    <t>The deferral only includes incremental, non-payroll costs.</t>
  </si>
  <si>
    <t>ELTO</t>
  </si>
  <si>
    <t>ELMP</t>
  </si>
  <si>
    <t>Acadia Block 2 Unit   ELL - 0751</t>
  </si>
  <si>
    <t>Acadia 138kV Switching Station - TSL - ELI - C205</t>
  </si>
  <si>
    <t>Acadia-Richard 138kV L3 - TLA - ELI - 0303</t>
  </si>
  <si>
    <t>Acadia-Richard 138kV L4 - TLA - ELI - 0304</t>
  </si>
  <si>
    <t>Lg-Snake Farm-Orleans Airline - TLA - ELI - 0187</t>
  </si>
  <si>
    <t>LPL - 0549</t>
  </si>
  <si>
    <t>Norco (North) 115Kv Sub - TSL - ELI - 0549</t>
  </si>
  <si>
    <t>Amite-Bogalusa - TLA - ELI - 0114</t>
  </si>
  <si>
    <t>LPL - 0562</t>
  </si>
  <si>
    <t>Bogalusa (Camelia) 115Kv Sub - TSL - ELI - 0562</t>
  </si>
  <si>
    <t>Port Nickel-Carisle 115kv - TLA - ELI - 0168</t>
  </si>
  <si>
    <t>LPL - 0608</t>
  </si>
  <si>
    <t>Port Nickel 115Kv Sub - TSL - ELI - 0608</t>
  </si>
  <si>
    <t>Waterford 230Kv Sub - TSL - ELI - 0627</t>
  </si>
  <si>
    <t>LPL - 0627</t>
  </si>
  <si>
    <t>Lg-Bayou Steel - TLA - ELI - 0240</t>
  </si>
  <si>
    <t>LPL - 0240</t>
  </si>
  <si>
    <t>Winnfield-Hodge - TLA - ELI - 0112</t>
  </si>
  <si>
    <t>LPL - 0426</t>
  </si>
  <si>
    <t>Jonesboro 115Kv Sub - TSL - ELI - 0426</t>
  </si>
  <si>
    <t>Vienna-Ruston - TLA - ELI - 0173</t>
  </si>
  <si>
    <t>LPL - 0173</t>
  </si>
  <si>
    <t>Clovelly-Loop - TLA - ELI - 0236</t>
  </si>
  <si>
    <t>LPL - 0236</t>
  </si>
  <si>
    <t>Alliance to Happy Jack 115kV Transmission Line - TLA - ELI - 0268</t>
  </si>
  <si>
    <t>LPL - 0408</t>
  </si>
  <si>
    <t>Happy Jack 115kV Substation - TSL - ELI - 0408</t>
  </si>
  <si>
    <t>Minden-La Ordinance Plant - TLA - ELI - 0138</t>
  </si>
  <si>
    <t>LPL - 0425</t>
  </si>
  <si>
    <t>La Ordnance Plant 115Kv Sub - TSL - ELI - 0425</t>
  </si>
  <si>
    <t>Sarepta-Cullen - TLA - ELI - 0132</t>
  </si>
  <si>
    <t>LPL - 0453</t>
  </si>
  <si>
    <t>Internatl Paper Co 115Kv Sub - TSL - ELI - 0453</t>
  </si>
  <si>
    <t>Monroe 69Kv System - TLA - ELI - 0225</t>
  </si>
  <si>
    <t>LPL - 0481</t>
  </si>
  <si>
    <t>Buckhorn 69Kv Sub - TSL - ELI - 0481</t>
  </si>
  <si>
    <t>Jena-Midway - TLA - ELI - 0165</t>
  </si>
  <si>
    <t>LPL - 0486</t>
  </si>
  <si>
    <t>Midway 115Kv Sub - TSL - ELI - 0486</t>
  </si>
  <si>
    <t>Sorrento-Burnside - TLA - ELI - 0152</t>
  </si>
  <si>
    <t>LPL - 0539</t>
  </si>
  <si>
    <t>Burnside 115Kv Sub - TSL - ELI - 0539</t>
  </si>
  <si>
    <t>Leeville-Caminada - TLA - ELI - 0169</t>
  </si>
  <si>
    <t>LPL - 0169</t>
  </si>
  <si>
    <t>Alliance-Buras - TLA - ELI - 0234</t>
  </si>
  <si>
    <t>LPL - 0234</t>
  </si>
  <si>
    <t>Grand Isle 34.5Kv Sub - TSL - ELI - 0654</t>
  </si>
  <si>
    <t>LPL - 0654</t>
  </si>
  <si>
    <t>Venice 34.5Kv Sub (Inactive) - DSL - ELI - 6824</t>
  </si>
  <si>
    <t>LPL - 6824</t>
  </si>
  <si>
    <t>Poydras-Yscloskey (Inactive) - TLA - ELI - 0167</t>
  </si>
  <si>
    <t>LPL - 0167</t>
  </si>
  <si>
    <t>Ninemile Point Generator #6: 115kV (Ln.305) Circuit 6A &amp; 6B - TLA - ELL - 0305</t>
  </si>
  <si>
    <t>ELL - 0305</t>
  </si>
  <si>
    <t>Ninemile Point Generator #6: 230kV (Ln.306) Circuit 6C - TLA - ELL - 0306</t>
  </si>
  <si>
    <t>ELL - 0306</t>
  </si>
  <si>
    <t>Occupational License</t>
  </si>
  <si>
    <t>Inspection &amp; Supervision Fee</t>
  </si>
  <si>
    <t xml:space="preserve">Accrued interest on tax deficiencies - FIN48 accrued interest. </t>
  </si>
  <si>
    <t>Regulatory liability regarding securitized storm costs.</t>
  </si>
  <si>
    <t>This represents the inclusion in taxable income of system agreement rough production cost equalization payments received.</t>
  </si>
  <si>
    <t>CIAC is related to plant.</t>
  </si>
  <si>
    <t>Step up in tax basis of intangible plant.</t>
  </si>
  <si>
    <t>Step up in tax basis of plant.</t>
  </si>
  <si>
    <t>Securitzed Plant related.</t>
  </si>
  <si>
    <t>Regulatory liability regarding retail costs.</t>
  </si>
  <si>
    <t>Rate Refund accts 1823IL, 229000, 242010, 253000, 253060</t>
  </si>
  <si>
    <t>Source Account 232RET</t>
  </si>
  <si>
    <t>W3 SGR Disallowance</t>
  </si>
  <si>
    <t>Federal NOL carry forward is related to tax depreciation.</t>
  </si>
  <si>
    <t>Federal Net Operating Loss carryforward is related to all tax deductions including bonus tax depreciation</t>
  </si>
  <si>
    <t>State Net Operating Loss carryforward is related to all tax deductions including bonus tax depreciation</t>
  </si>
  <si>
    <t>Employee tax credit carryforwards.</t>
  </si>
  <si>
    <t>Federal ADIT on state tax accruals is related to net operating loss carryforward.</t>
  </si>
  <si>
    <t>Pensions capitalized to plant for book deducted for tax.</t>
  </si>
  <si>
    <t>Taxes capitalized to plant for book deducted for tax.</t>
  </si>
  <si>
    <t>Plant related - account 432000</t>
  </si>
  <si>
    <t>General Plant related</t>
  </si>
  <si>
    <t>Intangible Plant basis difference.</t>
  </si>
  <si>
    <t>Nuclear</t>
  </si>
  <si>
    <t>128313 - Prefund prop ins escrw Gus/Ike</t>
  </si>
  <si>
    <t>Storm Rider SCO (182)</t>
  </si>
  <si>
    <t>MISO cost deferral account 1823MN.</t>
  </si>
  <si>
    <t>Miscellaneous</t>
  </si>
  <si>
    <t>Regulatory Asset</t>
  </si>
  <si>
    <t>Nuclear related.</t>
  </si>
  <si>
    <t>WP AJ4 LA Merger Ln 8 Col. C</t>
  </si>
  <si>
    <t>WP AJ4 LA Merger Ln 22 Col. C</t>
  </si>
  <si>
    <t>WP AJ4 LA Merger Ln 21 Col. C</t>
  </si>
  <si>
    <t>WP AJ4 LA Merger Ln 21 Col. D</t>
  </si>
  <si>
    <t>MTM Vidalia Initial Tax Year</t>
  </si>
  <si>
    <t>Little Gypsy Securitization</t>
  </si>
  <si>
    <t>WP AJ4 LA Merger Ln 14 Col. D</t>
  </si>
  <si>
    <t>WP AJ4 LA Merger Ln 13 Col. D</t>
  </si>
  <si>
    <t>p.207.58g</t>
  </si>
  <si>
    <t>5.  Deferred income taxes arise when items are included in taxable income in different periods than they are included in rates, therefore if the item giving rise to the ADIT is not included in the formula, the associated ADIT amount shall be excluded</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</si>
  <si>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</si>
  <si>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Adjustments as applicable or needed.</t>
  </si>
  <si>
    <t>WP AJ1 - RTO/MISO Start-up Costs (1) (4)</t>
  </si>
  <si>
    <t>MISO Cover</t>
  </si>
  <si>
    <t>READ ME: Cell L6 is a toggle in the Excel workbook. It switches between the Projected Rate results and the True-up results.</t>
  </si>
  <si>
    <t>True-up</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</si>
  <si>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</si>
  <si>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</si>
  <si>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The components of capitalization for the Projected Rate determined in the Annual Update shall be based on end-of-year values for the historical calendar year.  The True-up for the same historical calendar year shall be based upon 13-month average balances.</t>
  </si>
  <si>
    <t>Use average of beginning-of-year and end-of-year balances for the True-up column.  Use end-of-year balances for Projected column.</t>
  </si>
  <si>
    <t>Use 13-month average balance for both the True-up and Projected columns.</t>
  </si>
  <si>
    <t>WP01 True-up: Interest &amp; Amortization for Attachment O Transmission Revenue Requirement Over/Under Collection Balance (1)</t>
  </si>
  <si>
    <t>Imputed True-up Year Revenues</t>
  </si>
  <si>
    <t>Total Imputed True-up Year Revenues</t>
  </si>
  <si>
    <t xml:space="preserve">Attachment O Revenues for True-up purposes are those Bundled Load Exemption, Network, and Long-Term Firm revenues whose demands are summed in the peak demand calculations and are the denominator in the Point-to-Point rate calculation. </t>
  </si>
  <si>
    <t>Radial Lines (BOY/EOY Average Used for True-up)</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</si>
  <si>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</si>
  <si>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True-up: Average Beginning of Year and End of Year</t>
  </si>
  <si>
    <t>Credit for Transmission Customer Network Service revenues is applied in the True-up calculation and Projected calculation.</t>
  </si>
  <si>
    <t>Net RTO/MISO related Start-Up costs recorded in True-up Year</t>
  </si>
  <si>
    <t>Reversal of deferrals not approved by FERC are entered as positive amounts so that the full amount of the deferral is reflected in the True-up Year values.  True-up Year amortizations of deferrals not approved by FERC are entered as negative amounts to decrease O&amp;M.</t>
  </si>
  <si>
    <t>Appendix A True-up Column Line 193</t>
  </si>
  <si>
    <t>B=C+D+E+F</t>
  </si>
  <si>
    <t>F=G+H</t>
  </si>
  <si>
    <t>Sum of (MISO Schedule 42a Revenue + MISO Schedule 42b Revenue) = Account 456142</t>
  </si>
  <si>
    <t>(8)</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</si>
  <si>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</si>
  <si>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r>
      <t>Property Insurance excludes prior period adjustments for the first year, calendar year 2014, of the formula's operation</t>
    </r>
    <r>
      <rPr>
        <sz val="12"/>
        <rFont val="Arial"/>
        <family val="2"/>
      </rPr>
      <t>.  Property Insurance includes prior period adjustments, if any, in calendar year 2015 and subsequent years .</t>
    </r>
  </si>
  <si>
    <r>
      <t>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t>
    </r>
    <r>
      <rPr>
        <sz val="12"/>
        <rFont val="Arial"/>
        <family val="2"/>
      </rPr>
      <t xml:space="preserve"> facilities constructed or purchased by Entergy on or after March 15, 2000 (FERC Order 2003: Docket RM02-1-000, Issued July 24, 2003, page 154).</t>
    </r>
  </si>
  <si>
    <r>
      <t>Charges to Account 930.2 shall be subject to review and challenge as part of the protocols procedures.  Notwithstanding the specific</t>
    </r>
    <r>
      <rPr>
        <b/>
        <strike/>
        <u/>
        <sz val="12"/>
        <rFont val="Arial"/>
        <family val="2"/>
      </rPr>
      <t xml:space="preserve"> </t>
    </r>
    <r>
      <rPr>
        <sz val="12"/>
        <rFont val="Arial"/>
        <family val="2"/>
      </rPr>
      <t xml:space="preserve">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</si>
  <si>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 xml:space="preserve">Less True-up Amount Billed in True-up Year (2) </t>
  </si>
  <si>
    <t>Attachment O Revenues For True-up (1)</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</si>
  <si>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</si>
  <si>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</si>
  <si>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</si>
  <si>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</si>
  <si>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Rounded amounts are reported on Page 400, FERC Form 1.</t>
  </si>
  <si>
    <r>
      <t xml:space="preserve">Load For Rate Development  </t>
    </r>
    <r>
      <rPr>
        <sz val="8.8000000000000007"/>
        <rFont val="Arial"/>
        <family val="2"/>
      </rPr>
      <t>(8)</t>
    </r>
  </si>
  <si>
    <t>F (6)</t>
  </si>
  <si>
    <t>G (7)</t>
  </si>
  <si>
    <r>
      <rPr>
        <sz val="10"/>
        <rFont val="Arial"/>
        <family val="2"/>
      </rPr>
      <t>Total True-up Amount</t>
    </r>
  </si>
  <si>
    <t>Total True Up Amount with Interest</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</si>
  <si>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</si>
  <si>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</si>
  <si>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</si>
  <si>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</si>
  <si>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True-up with Interest</t>
  </si>
  <si>
    <t>For Checking Purposes Only –Do Not Print</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</si>
  <si>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</si>
  <si>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t>Total Transmission O&amp;M (Line 7 + Line 8)</t>
  </si>
  <si>
    <r>
      <t xml:space="preserve">In conformance with Section II of the Entergy Operating Company's Annual </t>
    </r>
    <r>
      <rPr>
        <sz val="10.8"/>
        <rFont val="Arial"/>
        <family val="2"/>
      </rPr>
      <t>Update</t>
    </r>
    <r>
      <rPr>
        <sz val="12"/>
        <rFont val="Arial"/>
        <family val="2"/>
      </rPr>
      <t>, Information Exchange and Challenge Procedures, Entergy shall provide a supporting work paper with accompanying detailed descriptions of the need for each adjustment.  Entergy will include in the description</t>
    </r>
    <r>
      <rPr>
        <b/>
        <sz val="12"/>
        <rFont val="Arial"/>
        <family val="2"/>
      </rPr>
      <t xml:space="preserve"> </t>
    </r>
    <r>
      <rPr>
        <sz val="12"/>
        <rFont val="Arial"/>
        <family val="2"/>
      </rPr>
      <t>the docket number in which FERC approved each adjustment.  No adjustments will be included absent FERC approval.</t>
    </r>
  </si>
  <si>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</si>
  <si>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t>ITC Transaction Charge                                          (Enter as Negative)</t>
  </si>
  <si>
    <t>EGSL/ELL Merger Expense Adjustment                   (Enter as Negative)</t>
  </si>
  <si>
    <t>ITC Transaction Costs Not Charged to Customers    (Enter as Negative)</t>
  </si>
  <si>
    <r>
      <t xml:space="preserve">Acadia Power Block 2 Deferral Adjustment              </t>
    </r>
    <r>
      <rPr>
        <b/>
        <sz val="10"/>
        <rFont val="Arial"/>
        <family val="2"/>
      </rPr>
      <t xml:space="preserve"> </t>
    </r>
    <r>
      <rPr>
        <sz val="10"/>
        <rFont val="Arial"/>
        <family val="2"/>
      </rPr>
      <t>(Enter as Negative)</t>
    </r>
  </si>
  <si>
    <t>p. 335.13.b</t>
  </si>
  <si>
    <t>Retail-related prepayments, such as taxes imposed on retail customers, services, operations or revenues, are excluded from allocation in the transmission revenue requirement and assigned to the “Other” category.</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</si>
  <si>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</si>
  <si>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See Appendix A Note D. For the accrual OpCo's (EAI, EMI, ENOI, and ETI), the difference is the annual Account 926 accrual amount less Entergy's annual FERC 205 PBOP filing amount (FERC allowed expenses).</t>
  </si>
  <si>
    <t xml:space="preserve">Positive values above result in decreases to O&amp;M expense.  Similarly, negative amounts are increases to O&amp;M expense. </t>
  </si>
  <si>
    <t>WP AJ3 HCM Ln 13 Column F</t>
  </si>
  <si>
    <t xml:space="preserve">WP AJ3 HCM Ln 14 Column F </t>
  </si>
  <si>
    <t>DO NOT PRINT</t>
  </si>
  <si>
    <t>Agreement with Joint Customers and MISO to complete the Description of the Group on the Blank Template and to leave Col C highlighted because the Group could change</t>
  </si>
  <si>
    <t>WP AJ3 HCM Ln 21 Column F</t>
  </si>
  <si>
    <t>Co-owner Big Cajun</t>
  </si>
  <si>
    <t>Co-owner credits</t>
  </si>
  <si>
    <t>FERC Account 253017</t>
  </si>
  <si>
    <t>FERC Account 253018</t>
  </si>
  <si>
    <t>Mark to market of purchase power contracts</t>
  </si>
  <si>
    <t>This represents the elimination of book expenses for the future clean up of hazardous waste at various locations. These costs are not deductible for tax purposes until actually incurred. (Account 242U95)</t>
  </si>
  <si>
    <t>This represents the elimination of book expenses for the future clean up of hazardous waste at various locations. These costs are not deductible for tax purposes until actually incurred. (Account 253U09 &amp; 253U25)</t>
  </si>
  <si>
    <t>Nuclear Related</t>
  </si>
  <si>
    <t>Abeyed River Bend</t>
  </si>
  <si>
    <t>Production Related</t>
  </si>
  <si>
    <t>Reference FF1 p.272.8.b &amp; 273.8.k</t>
  </si>
  <si>
    <t>Total ADIT - 281 Less FASB 109 Above</t>
  </si>
  <si>
    <t>Nuclear plant related</t>
  </si>
  <si>
    <t>Relates to Nelson 6 generator, included in rate basis</t>
  </si>
  <si>
    <t>RiverBend related</t>
  </si>
  <si>
    <t>Accounts 182348 &amp; 253348-Current balance amt owed to ETI</t>
  </si>
  <si>
    <t>Southern Gulf Railway</t>
  </si>
  <si>
    <t>ADIT- 281 (amounts are entered as sign opposite of FF1 presentation)</t>
  </si>
  <si>
    <t>Seventy Second Substation - TSL - EGSI - 37008</t>
  </si>
  <si>
    <t>GSU - 37008</t>
  </si>
  <si>
    <t>Jaguar To Mickens 69Kv Ln - TLA - EGSI - 67370</t>
  </si>
  <si>
    <t>Baker Substation - TSL - EGSI - 37030</t>
  </si>
  <si>
    <t>GSU - 37030</t>
  </si>
  <si>
    <t>Maurice Substation - TSL - EGSI - 38019</t>
  </si>
  <si>
    <t>GSU - 38019</t>
  </si>
  <si>
    <t>Ford Substation - TSL - EGSI - 38148</t>
  </si>
  <si>
    <t>GSU - 38148</t>
  </si>
  <si>
    <t>East Broad To Lake 69Kv Ln - TLA - EGSI - 67624</t>
  </si>
  <si>
    <t>Lone Star - TSL - EGSI - 38174</t>
  </si>
  <si>
    <t>GSU - 38174</t>
  </si>
  <si>
    <t>Line #15 To Lone Star Cement 6 - TLA - EGSI - 67293R</t>
  </si>
  <si>
    <t>Carlin Trans. Metering Sub-Lak - TSL - EGSI - 28284</t>
  </si>
  <si>
    <t>GSU - 28284</t>
  </si>
  <si>
    <t>Line #280 To Texas Erath 69Kv - TLA - EGSI - 67281R</t>
  </si>
  <si>
    <t>Duson Substation - TSL - EGSI - 38024</t>
  </si>
  <si>
    <t>GSU - 38024</t>
  </si>
  <si>
    <t>Dixie Suplhur Substation - TSL - EGSI - 38056</t>
  </si>
  <si>
    <t>GSU - 38056</t>
  </si>
  <si>
    <t>Line #630 To Hillebrandt 69Kv - TLA - EGSI - 67231R</t>
  </si>
  <si>
    <t>Parks Substation - TSL - EGSI - 38062</t>
  </si>
  <si>
    <t>GSU - 38062</t>
  </si>
  <si>
    <t>Cecelia To Moril 69Kv Ln - TLA - EGSI - 67625</t>
  </si>
  <si>
    <t>St Martinville Substation - TSL - EGSI - 38076</t>
  </si>
  <si>
    <t>GSU - 38076</t>
  </si>
  <si>
    <t>Line #220 To St Martinville 69 - TLA - EGSI - 67294</t>
  </si>
  <si>
    <t>Colonial L C Substation - TSL - EGSI - 38078</t>
  </si>
  <si>
    <t>GSU - 38078</t>
  </si>
  <si>
    <t>Line #285-Colonial Lake Charle - TLA - EGSI - 67633R</t>
  </si>
  <si>
    <t>Maplewood Substation - TSL - EGSI - 38087</t>
  </si>
  <si>
    <t>GSU - 38087</t>
  </si>
  <si>
    <t>Sulphur Switching To Mossville - TLA - EGSI - 67227</t>
  </si>
  <si>
    <t>Air Force Base - TSL - EGSI - 38100</t>
  </si>
  <si>
    <t>GSU - 38100</t>
  </si>
  <si>
    <t>Chlomal To Smith 69Kv Ln - TLA - EGSI - 67278</t>
  </si>
  <si>
    <t>Egan Substation - TSL - EGSI - 38181</t>
  </si>
  <si>
    <t>GSU - 38181</t>
  </si>
  <si>
    <t>Jennings To Scott 69Kv Ln - TLA - EGSI - 67018</t>
  </si>
  <si>
    <t>Line #623 To Alligator 69Kv Ln - TLA - EGSI - 67208</t>
  </si>
  <si>
    <t>GSU - 38211</t>
  </si>
  <si>
    <t>Pci To Hercules #2 69Kv Ln - TLA - EGSI - 67284</t>
  </si>
  <si>
    <t>GSU - 38305</t>
  </si>
  <si>
    <t>Port Barre Substation - TSL - EGSI - 38044</t>
  </si>
  <si>
    <t>GSU - 38044</t>
  </si>
  <si>
    <t>Line #637 To Ort Barre 69Kv Ln - TLA - EGSI - 67632R</t>
  </si>
  <si>
    <t>Colonial Springs - TSL - EGSI - 38123</t>
  </si>
  <si>
    <t>GSU - 38123</t>
  </si>
  <si>
    <t>Line #641 To Colonial Springs - TLA - EGSI - 64642R</t>
  </si>
  <si>
    <t>Butadiene To Cities Service 69 - TLA - EGSI - 67291R</t>
  </si>
  <si>
    <t>GSU - 38193</t>
  </si>
  <si>
    <t>Expline Substation - TSL - EGSI - 38210</t>
  </si>
  <si>
    <t>GSU - 38210</t>
  </si>
  <si>
    <t>Line #292 To Expline 69Kv Ln - TLA - EGSI - 67285</t>
  </si>
  <si>
    <t>Sweet Crude Substation - TSL - EGSI - 38300</t>
  </si>
  <si>
    <t>GSU - 38300</t>
  </si>
  <si>
    <t>Line #292 To Sweet Crude Sub 6 - TLA - EGSI - 67238R</t>
  </si>
  <si>
    <t>Sidco Substation - TSL - EGSI - 37166</t>
  </si>
  <si>
    <t>GSU - 37166</t>
  </si>
  <si>
    <t>Line #739 To Sidco 69Kv Ln - TLA - EGSI - 67725R</t>
  </si>
  <si>
    <t>Gillis Gas - TSL - EGSI - 38264</t>
  </si>
  <si>
    <t>GSU - 38264</t>
  </si>
  <si>
    <t>Line #602 To Gillis Gas 69Kv L - TLA - EGSI - 67673R</t>
  </si>
  <si>
    <t>Plantation Pipe Line - TSL - EGSI - 38311</t>
  </si>
  <si>
    <t>GSU - 38311</t>
  </si>
  <si>
    <t>Starhill Substation - TSL - EGSI - 37091</t>
  </si>
  <si>
    <t>GSU - 37091</t>
  </si>
  <si>
    <t>Line #368 To Starhill 138Kv Ln - TLA - EGSI - 64338R</t>
  </si>
  <si>
    <t>Grant Substation - TSL - EGSI - 37199</t>
  </si>
  <si>
    <t>GSU - 37199</t>
  </si>
  <si>
    <t>Line #723 To Grant 69Kv Ln - TLA - EGSI - 67724R</t>
  </si>
  <si>
    <t>Interstate Pipe Line Substatio - TSL - EGSI - 38021</t>
  </si>
  <si>
    <t>GSU - 38021</t>
  </si>
  <si>
    <t>Line #216 To Interstate Pipeli - TLA - EGSI - 67622R</t>
  </si>
  <si>
    <t>Iowa Substation - TSL - EGSI - 38093</t>
  </si>
  <si>
    <t>GSU - 38093</t>
  </si>
  <si>
    <t>Line 288-La - TLA - EGSI - 67288</t>
  </si>
  <si>
    <t>Cokhan Substation - TSL - EGSI - 38118</t>
  </si>
  <si>
    <t>GSU - 38118</t>
  </si>
  <si>
    <t>Line #282 To Cokhan 69Kv Ln - TLA - EGSI - 67655R</t>
  </si>
  <si>
    <t>Dixie Breaux Substation - TSL - EGSI - 38054</t>
  </si>
  <si>
    <t>GSU - 38054</t>
  </si>
  <si>
    <t>Line #259 To Dixie Breaux 69Kv - TLA - EGSI - 67626R</t>
  </si>
  <si>
    <t>Angola Substation - TSL - EGSI - 37018</t>
  </si>
  <si>
    <t>GSU - 37018</t>
  </si>
  <si>
    <t>Francis To Angola 69Kv Ln - TLA - EGSI - 67386R</t>
  </si>
  <si>
    <t>Salt Dome Substation - TSL - EGSI - 37019</t>
  </si>
  <si>
    <t>GSU - 37019</t>
  </si>
  <si>
    <t>Line #739 To Salt Dome 69Kv Ln - TLA - EGSI - 67310R</t>
  </si>
  <si>
    <t>Dixie Baker Substation - TSL - EGSI - 37028</t>
  </si>
  <si>
    <t>GSU - 37028</t>
  </si>
  <si>
    <t>Colfel Substation - TSL - EGSI - 37085</t>
  </si>
  <si>
    <t>GSU - 37085</t>
  </si>
  <si>
    <t>Coly To Colfel 230Kv Ln - TLA - EGSI - 62747</t>
  </si>
  <si>
    <t>Fairground Substation - TSL - EGSI - 37185</t>
  </si>
  <si>
    <t>GSU - 37185</t>
  </si>
  <si>
    <t>Coly To Fairground 69Kv Ln - TLA - EGSI - 67360R</t>
  </si>
  <si>
    <t>Nesser Substation - TSL - EGSI - 37188</t>
  </si>
  <si>
    <t>GSU - 37188</t>
  </si>
  <si>
    <t>Nesser To Line #399 69Kv Ln - TLA - EGSI - 67372R</t>
  </si>
  <si>
    <t>Pam Substation - TSL - EGSI - 37228</t>
  </si>
  <si>
    <t>GSU - 37228</t>
  </si>
  <si>
    <t>Line #739 To Pam 69Kv Ln - TLA - EGSI - 67349R</t>
  </si>
  <si>
    <t>Church Substation - TSL - EGSI - 38006</t>
  </si>
  <si>
    <t>GSU - 38006</t>
  </si>
  <si>
    <t>Jennings To Church 69Kv Ln - TLA - EGSI - 67611R</t>
  </si>
  <si>
    <t>Estherwood Substation - TSL - EGSI - 38046</t>
  </si>
  <si>
    <t>GSU - 38046</t>
  </si>
  <si>
    <t>Line #18 To Estherwood 69Kv Ln - TLA - EGSI - 67045R</t>
  </si>
  <si>
    <t>Texas Erath Substation - TSL - EGSI - 38058</t>
  </si>
  <si>
    <t>GSU - 38058</t>
  </si>
  <si>
    <t>Barnett Oil Mill Substation - TSL - EGSI - 38059</t>
  </si>
  <si>
    <t>GSU - 38059</t>
  </si>
  <si>
    <t>Line #217 To Barnet Oil Mill 6 - TLA - EGSI - 67658</t>
  </si>
  <si>
    <t>Gulf Krotz Substation - TSL - EGSI - 38064</t>
  </si>
  <si>
    <t>GSU - 38064</t>
  </si>
  <si>
    <t>Champagne To Str #294 69Kv Ln - TLA - EGSI - 67612</t>
  </si>
  <si>
    <t>Line #216 To Gulk Krotz 69Kv L - TLA - EGSI - 67689R</t>
  </si>
  <si>
    <t>Dischler Substation - TSL - EGSI - 38065</t>
  </si>
  <si>
    <t>GSU - 38065</t>
  </si>
  <si>
    <t>Line #18 To Dischler 69Kv Ln - TLA - EGSI - 67212R</t>
  </si>
  <si>
    <t>Jungle Gardens Substation - TSL - EGSI - 38074</t>
  </si>
  <si>
    <t>GSU - 38074</t>
  </si>
  <si>
    <t>Line #224 To Jungle Gardens 69 - TLA - EGSI - 67635R</t>
  </si>
  <si>
    <t>Colonial Welsh Substation - TSL - EGSI - 38122</t>
  </si>
  <si>
    <t>GSU - 38122</t>
  </si>
  <si>
    <t>Line #298 To Colonial Welsh 13 - TLA - EGSI - 64640R</t>
  </si>
  <si>
    <t>Averico Substation - TSL - EGSI - 38129</t>
  </si>
  <si>
    <t>GSU - 38129</t>
  </si>
  <si>
    <t>Line #249 To Averico 69Kv Ln - TLA - EGSI - 67645</t>
  </si>
  <si>
    <t>Ellis Substation - TSL - EGSI - 38176</t>
  </si>
  <si>
    <t>GSU - 38176</t>
  </si>
  <si>
    <t>Line #18 To Ellis 69Kv Ln - TLA - EGSI - 67662R</t>
  </si>
  <si>
    <t>International Substation - TSL - EGSI - 38202</t>
  </si>
  <si>
    <t>GSU - 38202</t>
  </si>
  <si>
    <t>Mobil To International 69Kv Ln - TLA - EGSI - 67224R</t>
  </si>
  <si>
    <t>Mermentau Sub - TSL - EGSI - 38223</t>
  </si>
  <si>
    <t>GSU - 38223</t>
  </si>
  <si>
    <t>Opel Substation - TSL - EGSI - 38205</t>
  </si>
  <si>
    <t>GSU - 38205</t>
  </si>
  <si>
    <t>Sunset To Champagne 69Kv Ln - TLA - EGSI - 67217</t>
  </si>
  <si>
    <t>Brittany - Westlake #1 230Kv Line (Ln. 239) - TLA - EGSL - 62239</t>
  </si>
  <si>
    <t>EGSL - 62239</t>
  </si>
  <si>
    <t>Brittany - Westlake #2 230Kv Line (Ln. 246) - TLA - EGSL - 62246</t>
  </si>
  <si>
    <t>EGSL - 62246</t>
  </si>
  <si>
    <t>Brittany - Westlake #3 230Kv Line (Ln. 261) - TLA - EGSL - 62261</t>
  </si>
  <si>
    <t>EGSL - 62261</t>
  </si>
  <si>
    <t>Calcasieu Generation Facility Common - CGC - EGSI - 0150</t>
  </si>
  <si>
    <t>Calcasieu Generation Facility Unit 2 - CG2 - EGSI - 0152</t>
  </si>
  <si>
    <t>Calcasieu Generation Facility Unit 1 - CG1 - EGSI - 0151</t>
  </si>
  <si>
    <t>Ouachita Plant Unit 3 - Prod. Other - EGSL - 1503</t>
  </si>
  <si>
    <t>Merged from EGSL Template</t>
  </si>
  <si>
    <t>Do Not Print</t>
  </si>
  <si>
    <t>Added 2015</t>
  </si>
  <si>
    <t xml:space="preserve">Description </t>
  </si>
  <si>
    <t>Business Combination of EGSL &amp; ELL</t>
  </si>
  <si>
    <t>Federal NOL carryforward related to tax attributes left at old company</t>
  </si>
  <si>
    <t>State NOL carryforward related to tax attributes left at old company</t>
  </si>
  <si>
    <t>ADIT for tax attributes left at old company</t>
  </si>
  <si>
    <t>Justification corrected</t>
  </si>
  <si>
    <t>Corporate Franchise Tax</t>
  </si>
  <si>
    <t>Federal Unemployment Tax</t>
  </si>
  <si>
    <t>Pipeline Safety Inspect Fee</t>
  </si>
  <si>
    <t xml:space="preserve">State and Local Use Taxes </t>
  </si>
  <si>
    <t>Corrected formula 3/38/2016</t>
  </si>
  <si>
    <t>corrected functionalization 3/18/2016</t>
  </si>
  <si>
    <t>added functionalization 3/18/2016</t>
  </si>
  <si>
    <t>Added formula to "End of Year" 3/18/2016</t>
  </si>
  <si>
    <t>Includes all Regulatory Commission Expenses.</t>
  </si>
  <si>
    <t>Electric portion only.</t>
  </si>
  <si>
    <t>Cash working capital allowance is 0.00% of O&amp;M.</t>
  </si>
  <si>
    <r>
      <t>AEP</t>
    </r>
    <r>
      <rPr>
        <b/>
        <sz val="10"/>
        <color rgb="FFFF0000"/>
        <rFont val="Arial"/>
        <family val="2"/>
      </rPr>
      <t/>
    </r>
  </si>
  <si>
    <t>AEP MINDEN</t>
  </si>
  <si>
    <r>
      <t>CLECO NORTHLAKE</t>
    </r>
    <r>
      <rPr>
        <b/>
        <sz val="10"/>
        <rFont val="Arial"/>
        <family val="2"/>
      </rPr>
      <t/>
    </r>
  </si>
  <si>
    <t>CLECO VALLEY</t>
  </si>
  <si>
    <t>EWOM/SRMPA</t>
  </si>
  <si>
    <r>
      <t>LAGEN</t>
    </r>
    <r>
      <rPr>
        <b/>
        <sz val="10"/>
        <rFont val="Arial"/>
        <family val="2"/>
      </rPr>
      <t/>
    </r>
  </si>
  <si>
    <t>DEMCO</t>
  </si>
  <si>
    <t>LEPA</t>
  </si>
  <si>
    <r>
      <t>RUSTON</t>
    </r>
    <r>
      <rPr>
        <b/>
        <sz val="10"/>
        <rFont val="Arial"/>
        <family val="2"/>
      </rPr>
      <t/>
    </r>
  </si>
  <si>
    <t>CLECO ABBEVILLE</t>
  </si>
  <si>
    <r>
      <t>CLECO STMVL</t>
    </r>
    <r>
      <rPr>
        <b/>
        <sz val="10"/>
        <rFont val="Arial"/>
        <family val="2"/>
      </rPr>
      <t/>
    </r>
  </si>
  <si>
    <t>LAGEN</t>
  </si>
  <si>
    <r>
      <t>DEMCO</t>
    </r>
    <r>
      <rPr>
        <b/>
        <sz val="10"/>
        <rFont val="Arial"/>
        <family val="2"/>
      </rPr>
      <t/>
    </r>
  </si>
  <si>
    <r>
      <t>LEPA</t>
    </r>
    <r>
      <rPr>
        <b/>
        <sz val="10"/>
        <rFont val="Arial"/>
        <family val="2"/>
      </rPr>
      <t/>
    </r>
  </si>
  <si>
    <t>190111: Intrst/Tax-Tax Deficienci-Fed</t>
  </si>
  <si>
    <t>190112: Intrst/Tax-Tax Deficienci-St</t>
  </si>
  <si>
    <t>190115: New Nuclear DevelopmntCost-Fed</t>
  </si>
  <si>
    <t>190116: New Nuclear Developmnt Cost-St</t>
  </si>
  <si>
    <t>190143: Securitization-Cont Saving-Fed</t>
  </si>
  <si>
    <t>190144: Securitization-Cont Saving-St</t>
  </si>
  <si>
    <t>190151: Taxable Unbilled Revenue-Fed</t>
  </si>
  <si>
    <t>190152: Taxable Unbilled Revenue-St</t>
  </si>
  <si>
    <t>190161: Property Ins Reserve-Fed</t>
  </si>
  <si>
    <t>190162: Property Ins Reserve-State</t>
  </si>
  <si>
    <t>190163: Capitalized Repairs - Fed</t>
  </si>
  <si>
    <t>190164: Capitalized Repairs - State</t>
  </si>
  <si>
    <t>190171: Inj &amp; Damages Reserve-Fed</t>
  </si>
  <si>
    <t>190172: Inj &amp; Damages Reserve-State</t>
  </si>
  <si>
    <t>190181: Contrib In Aid Of Constr-Fed</t>
  </si>
  <si>
    <t>190182: Contrib In Aid Of Constr-St</t>
  </si>
  <si>
    <t>190211: Unfunded Pension Exp-Fed</t>
  </si>
  <si>
    <t>190212: Unfunded Pension Exp-State</t>
  </si>
  <si>
    <t>190213: SFAS 158 Def Tax Asset - Fed</t>
  </si>
  <si>
    <t>190214: SFAS 158 Def Tax Asset - State</t>
  </si>
  <si>
    <t>190215: Supplemental Pension Plan-Fed</t>
  </si>
  <si>
    <t>190216: Supplemental Pension Plan-St</t>
  </si>
  <si>
    <t>190221: Fas 106 Other Retire Ben-Fed</t>
  </si>
  <si>
    <t>190222: Fas 106 Other Retire Ben-State</t>
  </si>
  <si>
    <t>190241: Deferred Fuel/Gas-Fed</t>
  </si>
  <si>
    <t>190242: Deferred Fuel/Gas-St</t>
  </si>
  <si>
    <t>190251: Removal Cost - Fed</t>
  </si>
  <si>
    <t>190252: Removal Cost - State</t>
  </si>
  <si>
    <t>190307: Sale/Leaseback-Fed</t>
  </si>
  <si>
    <t>190308: Sale/Leaseback-State</t>
  </si>
  <si>
    <t>190311: Decommissioning-Fed</t>
  </si>
  <si>
    <t>190312: Decommissioning-State</t>
  </si>
  <si>
    <t>190317: Fas 143 - Federal</t>
  </si>
  <si>
    <t>190318: Fas 143 - State</t>
  </si>
  <si>
    <t>190325: Litigation Settlement - Fed</t>
  </si>
  <si>
    <t>190326: Litigation Settlement - State</t>
  </si>
  <si>
    <t>190331: Accrued Medical Claims-Fed</t>
  </si>
  <si>
    <t>190332: Accrued Medical Claims-State</t>
  </si>
  <si>
    <t>190351: Uncollect Accts Reserve-Fed</t>
  </si>
  <si>
    <t>190352: Uncollect Accts Reserve-St</t>
  </si>
  <si>
    <t>190355: Restructuring StepUp Intan-Fed</t>
  </si>
  <si>
    <t>190356: Restructuring StepUp Intang-St</t>
  </si>
  <si>
    <t>190357: Restructuring Basis StepUp-Fed</t>
  </si>
  <si>
    <t>190358: Restructuring Basis Step Up-St</t>
  </si>
  <si>
    <t>190359: ACT 55 TPP 481a - Fed</t>
  </si>
  <si>
    <t>190363: Basis Step Up - Fed</t>
  </si>
  <si>
    <t>190364: Basis Step Up - State</t>
  </si>
  <si>
    <t>190375: Regulatory Liability-Federal</t>
  </si>
  <si>
    <t>190376: Regulatory Liability-State</t>
  </si>
  <si>
    <t>190381: Partnership Income/Loss - Fed</t>
  </si>
  <si>
    <t>190382: Partnership Income/Loss-State</t>
  </si>
  <si>
    <t>190391: Contract Def Revenue-Fed</t>
  </si>
  <si>
    <t>190392: Contract Def Revenue-State</t>
  </si>
  <si>
    <t>190397: Def. Misc. Services - Fed</t>
  </si>
  <si>
    <t>190398: Def. Misc. Services - State</t>
  </si>
  <si>
    <t>190421: Environmental Reserve-Fed</t>
  </si>
  <si>
    <t>190422: Environmental Reserve-State</t>
  </si>
  <si>
    <t>190443: Waste Site Clean Up Costs Fed</t>
  </si>
  <si>
    <t>190444: Waste Site Clean Up Cost State</t>
  </si>
  <si>
    <t>190445: Waste Disposal Reserve - Fed</t>
  </si>
  <si>
    <t>190446: Waste Disposal Reserve - State</t>
  </si>
  <si>
    <t>190451: Incentive-Fed</t>
  </si>
  <si>
    <t>190452: Incentive-State</t>
  </si>
  <si>
    <t>190519: Stock Options - Federal</t>
  </si>
  <si>
    <t>190520: Stock Options - State</t>
  </si>
  <si>
    <t>190523: Stock Options Exercised-Fed</t>
  </si>
  <si>
    <t>190524: Stock Options Excerised-St</t>
  </si>
  <si>
    <t>190525: Restricted Stock Awards-Fed</t>
  </si>
  <si>
    <t>190526: Restricted Stock Awards-State</t>
  </si>
  <si>
    <t>190561: Def Compensation - Fed</t>
  </si>
  <si>
    <t>190562: Def Compensation - State</t>
  </si>
  <si>
    <t>190603: Rate Refund-Federal</t>
  </si>
  <si>
    <t>190604: Rate Refund-State</t>
  </si>
  <si>
    <t>190609: Sale Of Epa Allowances - Fed</t>
  </si>
  <si>
    <t>190610: Sale Of Epa Allowances - St</t>
  </si>
  <si>
    <t>190611: Retention Accrual- Fed</t>
  </si>
  <si>
    <t>190612: Retention Accrual-State</t>
  </si>
  <si>
    <t>190613: Severance Accrual - Federal</t>
  </si>
  <si>
    <t>190614: Severance Accrual - State</t>
  </si>
  <si>
    <t>190631: Outage Accrual-Fed</t>
  </si>
  <si>
    <t>190632: Outage Accrual-State</t>
  </si>
  <si>
    <t>190653: Retroact. Rate Red Cont - Fed</t>
  </si>
  <si>
    <t>190654: Retroact. Rate Red Cont - St</t>
  </si>
  <si>
    <t>190655: W/O-Plant - Fed</t>
  </si>
  <si>
    <t>190656: W/O-Plant - St</t>
  </si>
  <si>
    <t>190701: Fas 109 Adjustment - Fed</t>
  </si>
  <si>
    <t>190702: Fas 109 Adjustment - State</t>
  </si>
  <si>
    <t>190731: Adit Wholesale Fed</t>
  </si>
  <si>
    <t>190732: Adit Wholesale Stat</t>
  </si>
  <si>
    <t>190791: Tax Attribute-NOL/CR C/F-Fed</t>
  </si>
  <si>
    <t>190871: ADIT-NOL-SRLY/Dec Fed NonCur</t>
  </si>
  <si>
    <t>190880: LA ADIT on Deferred FITD</t>
  </si>
  <si>
    <t>190881: ADIT-NOL C/F-TAP-FED - Current</t>
  </si>
  <si>
    <t>190882: Adit-Nol C/F - State-Current</t>
  </si>
  <si>
    <t>190884: ADIT-Tax CR C/F-TAP-Fed-NonCur</t>
  </si>
  <si>
    <t>190886: ADIT-AMT Cr C/F-TAP-Fed-NonCur</t>
  </si>
  <si>
    <t>190887: Fed Offset-St NonCur Carryover</t>
  </si>
  <si>
    <t>190983: ADIT-NOL C/F TAP-Fed-Non-curr</t>
  </si>
  <si>
    <t>190984: ADIT-NOL C/F-State-Non-current</t>
  </si>
  <si>
    <t>190986: ADIT-Contrib C/F St Non-Cur</t>
  </si>
  <si>
    <t>190P51: ADIT-Ben-Potnt Disall UTPs Res</t>
  </si>
  <si>
    <t>190145: Securitization-Guarnty Sav-Fed</t>
  </si>
  <si>
    <t>190146: Securitization-Guarnty Sav-St</t>
  </si>
  <si>
    <t>190165: Syst Agrmt Equal Reg Liab-Fed</t>
  </si>
  <si>
    <t>190166: Sys Agrmt Equal Reg Liab-State</t>
  </si>
  <si>
    <t>190191: Customer Deposits-Fed</t>
  </si>
  <si>
    <t>190192: Customer Depsoits-State</t>
  </si>
  <si>
    <t>190261: Obsolete Inventory - Fed</t>
  </si>
  <si>
    <t>190361: Nsep Expenses-Fed</t>
  </si>
  <si>
    <t>190362: Nsep Expenses-State</t>
  </si>
  <si>
    <t>190427: Mark to Market - Oth Contract - Fed</t>
  </si>
  <si>
    <t>190428: Mark to Market - Oth Contract - State</t>
  </si>
  <si>
    <t>190531: Deferred Director'S Fees-Fed</t>
  </si>
  <si>
    <t>190532: Deferred Director'S Fees-St</t>
  </si>
  <si>
    <t>190792: Tax Attribute-NOL/CR C/F-St</t>
  </si>
  <si>
    <t>190883: ADIT-Contribution C/F-TAP-FED</t>
  </si>
  <si>
    <t>281121: Start Up Costs-Fed</t>
  </si>
  <si>
    <t>281122: Start Up Costs-State</t>
  </si>
  <si>
    <t>281123: Start Up Costs-Fed-Retail</t>
  </si>
  <si>
    <t>281124: Start Up Costs-State-Retail</t>
  </si>
  <si>
    <t>282111: Liberalized Depreciation-Fed</t>
  </si>
  <si>
    <t>282112: Liberalized Deprec - State</t>
  </si>
  <si>
    <t>282116: Liberalized Deprec-State-Whlse</t>
  </si>
  <si>
    <t>282117: Section 481A Adj Fed</t>
  </si>
  <si>
    <t>282121: W3 Nuclear Plant Depr - Fed</t>
  </si>
  <si>
    <t>282122: W3 Nuclear Plant Depr-St</t>
  </si>
  <si>
    <t>282151: Pensions Capitalized - Fed</t>
  </si>
  <si>
    <t>282152: Pensions Capitalized - State</t>
  </si>
  <si>
    <t>282161: Taxes Capitalized - Fed</t>
  </si>
  <si>
    <t>282162: Taxes Capitalized - State</t>
  </si>
  <si>
    <t>282171: Interest Cap - Afdc - Fed</t>
  </si>
  <si>
    <t>282172: Interest Cap - Afdc - State</t>
  </si>
  <si>
    <t>282185: Nonbase - Federal - Whlse</t>
  </si>
  <si>
    <t>282201: Nuclear Plant Deprec-Fed</t>
  </si>
  <si>
    <t>282204: Nuclear Plant Deprec-St-Retail</t>
  </si>
  <si>
    <t>282206: Nuclear Plant Deprec-St-Whsale</t>
  </si>
  <si>
    <t>282211: Nuclear Fuel - Federal</t>
  </si>
  <si>
    <t>282212: Nuclear Fuel - State</t>
  </si>
  <si>
    <t>282221: Fiber Optics-Fed</t>
  </si>
  <si>
    <t>282222: Fiber Optics - State</t>
  </si>
  <si>
    <t>282223: Repairs &amp; Maint Exp - Federal</t>
  </si>
  <si>
    <t>282224: Repairs &amp; Maint Exp - State</t>
  </si>
  <si>
    <t>282241: R&amp;E Deduction - Fed</t>
  </si>
  <si>
    <t>282242: R&amp;E Deduction - St</t>
  </si>
  <si>
    <t>282245: Warranty Expense - Federal</t>
  </si>
  <si>
    <t>282246: Warranty Expense - State</t>
  </si>
  <si>
    <t>282311: Int Inc Pol Control Bonds - Fed</t>
  </si>
  <si>
    <t>282312: Int Inc Pol Control Bonds - State</t>
  </si>
  <si>
    <t>282331: Misc Intangible Plant-Federal</t>
  </si>
  <si>
    <t>282332: Misc Intangible Plant-State</t>
  </si>
  <si>
    <t>282351: Tax Int (Avoided Cost)-Fed</t>
  </si>
  <si>
    <t>282352: Tax Int (Avoided Cost) - St</t>
  </si>
  <si>
    <t>282451: Contract Termination Costs-Fed</t>
  </si>
  <si>
    <t>282452: Contract Termination Costs-St</t>
  </si>
  <si>
    <t>282455: Business Dev Costs Cap- Fed</t>
  </si>
  <si>
    <t>282456: Business Dev Costs Cap- St</t>
  </si>
  <si>
    <t>282461: Computer Software Cap - Fed</t>
  </si>
  <si>
    <t>282462: Computer Software Cap - State</t>
  </si>
  <si>
    <t>282469: Comm Dev Block Grant-Federal</t>
  </si>
  <si>
    <t>282470: Comm Dev Block Grant-State</t>
  </si>
  <si>
    <t>282475: Contra Securitization -Federal</t>
  </si>
  <si>
    <t>282476: Contra Securitization - State</t>
  </si>
  <si>
    <t>282515: Spec Assigned-Fed Ws</t>
  </si>
  <si>
    <t>282533: Casualty Loss Deduction-Fed</t>
  </si>
  <si>
    <t>282534: Casualty Loss Deduction-St</t>
  </si>
  <si>
    <t>282535: Adl Straight Line-Fed Ws</t>
  </si>
  <si>
    <t>282543: Reg Asset-Spec Assign-Fed</t>
  </si>
  <si>
    <t>282701: Fas 109 Adjustment - Fed</t>
  </si>
  <si>
    <t>282702: Fas 109 Adjustment - State</t>
  </si>
  <si>
    <t>282713: Fas 109 Adj -Fed-Retail-Abeyed</t>
  </si>
  <si>
    <t>282723: Fas 109 Adj -Fed-Retail-Disall</t>
  </si>
  <si>
    <t>282733: Fas 109 Adj -State-Retail-Unre</t>
  </si>
  <si>
    <t>282901: 263A Method Change-DSC - Fed</t>
  </si>
  <si>
    <t>282902: 263A Method Change - DSC-State</t>
  </si>
  <si>
    <t>282903: Units of Production Ded - Fed</t>
  </si>
  <si>
    <t>282904: Units of Production Ded - St</t>
  </si>
  <si>
    <t>282905: Tangible Prop Regs-481 Adj-Fed</t>
  </si>
  <si>
    <t>282906: Tangible Prop Regs-481-St</t>
  </si>
  <si>
    <t>282907: Unit of Property Ded-Trans-Fed</t>
  </si>
  <si>
    <t>282908: Unit of Property Ded-Trans-St</t>
  </si>
  <si>
    <t>282975: Depreciation Expense - Fed</t>
  </si>
  <si>
    <t>282976: Depreciation Expense - State</t>
  </si>
  <si>
    <t>2823NW: New Nuclear-DIT</t>
  </si>
  <si>
    <t>283245: Distribution Maintenance - Fed</t>
  </si>
  <si>
    <t>283246: Distribution Maintenance - St</t>
  </si>
  <si>
    <t>283371: Decon &amp; Decomm Fund - Fed</t>
  </si>
  <si>
    <t>283372: Decon &amp; Decomm Fund - St</t>
  </si>
  <si>
    <t>283561: Adit-Vidalia Contract - Fed</t>
  </si>
  <si>
    <t>283562: Adit-Vidalia Contract-State</t>
  </si>
  <si>
    <t>283565: Federal DIT LLC Formation</t>
  </si>
  <si>
    <t>283901: 263A Method Change - Fed</t>
  </si>
  <si>
    <t>283902: 263A Method Change - State</t>
  </si>
  <si>
    <t>283111: Deferred Fuel/Gas - Fed</t>
  </si>
  <si>
    <t>283112: Deferred Fuel/Gas - State</t>
  </si>
  <si>
    <t>283151: Regulatory Asset - Federal</t>
  </si>
  <si>
    <t>283152: Regulatory Asset - State</t>
  </si>
  <si>
    <t>283153: Reg Asset-LG3-Fed</t>
  </si>
  <si>
    <t>283154: Reg Asset-LG3-State</t>
  </si>
  <si>
    <t>283155: Reg Asset LG3 O/U-Fed</t>
  </si>
  <si>
    <t>283156: Reg Asset LG3 O/U-State</t>
  </si>
  <si>
    <t>283157: Regulatory Asset-MISO-Fed</t>
  </si>
  <si>
    <t>283158: Regulatory Asset-MISO-State</t>
  </si>
  <si>
    <t>283165: Syst Agrmt Equal Reg Asset-Fed</t>
  </si>
  <si>
    <t>283166: Syst Agrmt Equal Reg Asset-St</t>
  </si>
  <si>
    <t>283181: Maint/Refueling - Fed</t>
  </si>
  <si>
    <t>283182: Maint/Refueling - St</t>
  </si>
  <si>
    <t>283213: SFAS 158 Def Tax Liability-Fed</t>
  </si>
  <si>
    <t>283214: SFAS 158 Def Tax Liability-St</t>
  </si>
  <si>
    <t>283215: Pension - Federal</t>
  </si>
  <si>
    <t>283216: Pension - State</t>
  </si>
  <si>
    <t>283221: Bond Reacquisition Loss - Fed</t>
  </si>
  <si>
    <t>283222: Bond Reacquisition Loss - St</t>
  </si>
  <si>
    <t>283225: Section 475 Adjustment-Fed</t>
  </si>
  <si>
    <t>283226: Section 475 Adjustment-St</t>
  </si>
  <si>
    <t>283247: Transco Costs - Federal</t>
  </si>
  <si>
    <t>283248: Transco Costs - State</t>
  </si>
  <si>
    <t>283249: Deferred Storm Costs - Federal</t>
  </si>
  <si>
    <t>283250: Deferred Storm costs - State</t>
  </si>
  <si>
    <t>283261: Amort W-3 Design Basis - Fed</t>
  </si>
  <si>
    <t>283262: Amort W-3 Design Basis - St</t>
  </si>
  <si>
    <t>283273: Rider SCO - Federal</t>
  </si>
  <si>
    <t>283274: Rider SCO - State</t>
  </si>
  <si>
    <t>283301: Regulatory Asset-HCM-Fed</t>
  </si>
  <si>
    <t>283302: Regulatory Asset-HCM-State</t>
  </si>
  <si>
    <t>283303: Reg Asset-MISO Non Fuel-Fed</t>
  </si>
  <si>
    <t>283304: Reg Asset-MISO Non Fuel-State</t>
  </si>
  <si>
    <t>283345: Misc Cap Costs-Fed</t>
  </si>
  <si>
    <t>283346: Misc Cap Costs-State</t>
  </si>
  <si>
    <t>283349: Reg Asset-Storm Costs-Fed</t>
  </si>
  <si>
    <t>283350: Reg Asset-Storm Costs-State</t>
  </si>
  <si>
    <t>283361: Prepaid Expenses Federal</t>
  </si>
  <si>
    <t>283362: Prepaid Expenses State</t>
  </si>
  <si>
    <t>283401: Acc Dfit Turgen</t>
  </si>
  <si>
    <t>283402: Acc Dsit Turgen</t>
  </si>
  <si>
    <t>283411: Acc Dfit Gideon</t>
  </si>
  <si>
    <t>283412: Acc Dsit Gideon</t>
  </si>
  <si>
    <t>283457: Spindletop Capital Cost-Federa</t>
  </si>
  <si>
    <t>283458: Spindletop Capital Cost-State</t>
  </si>
  <si>
    <t>283471: Interest Cap-Fuel Burn-Fed</t>
  </si>
  <si>
    <t>283472: Interest Cap-Fuel Burn-State</t>
  </si>
  <si>
    <t>283535: Sgr Spur Capital Costs-Federal</t>
  </si>
  <si>
    <t>283536: Sgr Spur Capital Costs-State</t>
  </si>
  <si>
    <t>283537: Rb Litigation Settlement-Fed</t>
  </si>
  <si>
    <t>283538: Rb Litigation Settlement - Sta</t>
  </si>
  <si>
    <t>283701: Fas 109 Adjustment - Fed</t>
  </si>
  <si>
    <t>283702: Fas 109 Adjustment - State</t>
  </si>
  <si>
    <t>283707: Fas 109 Adj-Retl Unregultd-Fed</t>
  </si>
  <si>
    <t>283708: Fas 109 Adj-Retl Unregulatd-St</t>
  </si>
  <si>
    <t>283F48: FIN 48 adjustment</t>
  </si>
  <si>
    <t>165000: Prepayments</t>
  </si>
  <si>
    <t>165100: Prepaid Insurance</t>
  </si>
  <si>
    <t>165222: Toledo Bend Power Account</t>
  </si>
  <si>
    <t>165400: Prepaid Ins Directors&amp;Officers</t>
  </si>
  <si>
    <t>165408: Pp Taxes - Gas Safety Fee</t>
  </si>
  <si>
    <t>165506: Prepaid Dues - INPO</t>
  </si>
  <si>
    <t>165507: Prepaid Dues - Nuc Energy Inst</t>
  </si>
  <si>
    <t>165508: Prepaid Fees - FEMA</t>
  </si>
  <si>
    <t>165510: Prepaid Dues to EEI</t>
  </si>
  <si>
    <t>165520: Ad Valorem Taxes</t>
  </si>
  <si>
    <t>165603: PPD IQNavigator, Inc</t>
  </si>
  <si>
    <t>165730: Pp Tax-Lic-Occup</t>
  </si>
  <si>
    <t>165RNT: Prepaid Rent Expense</t>
  </si>
  <si>
    <t>165SAI: PrePaid Designated Servic-SAIC</t>
  </si>
  <si>
    <t>165U39: Prepaid Life Insurance   Kidco</t>
  </si>
  <si>
    <t>Franchise Tax- Local</t>
  </si>
  <si>
    <t>Ouachita 500KV Switch Yard-EAI-LA - 2019</t>
  </si>
  <si>
    <t>456000: Other Electric Revenues</t>
  </si>
  <si>
    <t>456001: Fees-Gustav/Ike Securitization</t>
  </si>
  <si>
    <t>456002: Distribution Substation Svc.</t>
  </si>
  <si>
    <t>456003: MISO Mkt Sch 11 Wholesale Dist</t>
  </si>
  <si>
    <t>456010: Misc Rec - Ouachita Upgrades</t>
  </si>
  <si>
    <t>4560MS: Third Party Sales of Inventory</t>
  </si>
  <si>
    <t>456100: Miscellaneous Revenue</t>
  </si>
  <si>
    <t>456101: Side Lights</t>
  </si>
  <si>
    <t>456102: Gia Annual Fees</t>
  </si>
  <si>
    <t>456104: Cwl Transmission Revenue</t>
  </si>
  <si>
    <t>456105: Transmisn Service Rev-Non Firm</t>
  </si>
  <si>
    <t>456107: Network Transmission Revenue</t>
  </si>
  <si>
    <t>456107: Network Transmission Revenue- Nits Dist. Sub</t>
  </si>
  <si>
    <t>456108: Schdlg Syst Control &amp; Dispatch</t>
  </si>
  <si>
    <t>456110: Ar Gross Receipts Tax</t>
  </si>
  <si>
    <t>456111: Non-Firm Transmission Revenue</t>
  </si>
  <si>
    <t>456112: Short Term Firm Transm Revenue</t>
  </si>
  <si>
    <t>456113: Long Term Firm Transm Revenue</t>
  </si>
  <si>
    <t>456117: Reg &amp; Freq Response Trans Rev</t>
  </si>
  <si>
    <t>456118: Spinning Reserve Ptp Tran Rev</t>
  </si>
  <si>
    <t>456119: Suppl Reserve Ptp Tran Rev</t>
  </si>
  <si>
    <t>456120: Fiber Optics (1)</t>
  </si>
  <si>
    <t>456127: RTO &amp; ICT Operations Costs Rec</t>
  </si>
  <si>
    <t>456136: MISO Sch 7 Firm PTP - ST</t>
  </si>
  <si>
    <t>456137: MISO Sch 7 Firm PTP - LT</t>
  </si>
  <si>
    <t>456138: MISO Sch 8 Non-firm</t>
  </si>
  <si>
    <t>456139: MISO Sch 9 Network</t>
  </si>
  <si>
    <t>456141: MISO Sch 41 Stm Securitization</t>
  </si>
  <si>
    <t>456142: MISO Sch 42 Int/AFUDC Amort</t>
  </si>
  <si>
    <t>456147: MISO Sch47 Transition Cost Rec</t>
  </si>
  <si>
    <t>4561A9: AECC MISO Sch 9 Network</t>
  </si>
  <si>
    <t>4561FR: FFR Transm Revenue</t>
  </si>
  <si>
    <t>456200: Unbilled Revenue</t>
  </si>
  <si>
    <t>456300: Unbilled Revenue-Wholesale</t>
  </si>
  <si>
    <t>456410: Trans Equal Charges</t>
  </si>
  <si>
    <t>456420: Affiliate service fee revenue</t>
  </si>
  <si>
    <t>456500: Other Elec Rev - Discounts</t>
  </si>
  <si>
    <t>228101: Int on Accum Prov for Prop Ins</t>
  </si>
  <si>
    <t>228153: Securitization proceeds</t>
  </si>
  <si>
    <t>228100: Accum Prov For Prop Insurance</t>
  </si>
  <si>
    <t>228151: Insurance proceeds-O&amp;M</t>
  </si>
  <si>
    <t>2281FR: Property Ins. Prov. Reclass</t>
  </si>
  <si>
    <t>2281LB: Storm Damage Reserve Lock Box</t>
  </si>
  <si>
    <t>228200: Accum Prov For Injuries &amp; Dam</t>
  </si>
  <si>
    <t>228210: Reserve For Inj &amp; Dam - Legal</t>
  </si>
  <si>
    <t>228301: Acc Prov-Pen&amp;Ben-Hosp Res-Adj</t>
  </si>
  <si>
    <t>228308: AccProv-OPEB Liab-FundedStatus</t>
  </si>
  <si>
    <t>228400: Acc Misc-Operating Prov</t>
  </si>
  <si>
    <t>228401: Accum Prov - Coal Car Maint</t>
  </si>
  <si>
    <t>228402: Ltd - Decomm &amp; Decontam</t>
  </si>
  <si>
    <t>228403: Acc Provision-Commer Litigatio</t>
  </si>
  <si>
    <t>143983: Aecc Co-Owner</t>
  </si>
  <si>
    <t>143985: Conway Co-Owner</t>
  </si>
  <si>
    <t>143987: Jonesboro Co-Owner</t>
  </si>
  <si>
    <t>143995: West Memphis Utilities Co-Own</t>
  </si>
  <si>
    <t>4031AM: Deprec Exp billed from Serv Co</t>
  </si>
  <si>
    <t>408110: Employment Taxes</t>
  </si>
  <si>
    <t>500000: Oper Supervision &amp; Engineerin</t>
  </si>
  <si>
    <t>506000: Misc Steam Power Expenses</t>
  </si>
  <si>
    <t>507000: Rents - Steam Power Generation</t>
  </si>
  <si>
    <t>510000: Maintenance Supr &amp; Engineerin</t>
  </si>
  <si>
    <t>556000: System Control &amp; Load Disp.</t>
  </si>
  <si>
    <t>557000: Other Expenses</t>
  </si>
  <si>
    <t>560000: Oper Super &amp; Engineering</t>
  </si>
  <si>
    <t>561100: Load dispatch - reliability</t>
  </si>
  <si>
    <t>561200: Load Dispatch- transm system</t>
  </si>
  <si>
    <t>5612BA: LBA Schedule 24 Recoverable</t>
  </si>
  <si>
    <t>561300: Load disptch-transm serv &amp; sch</t>
  </si>
  <si>
    <t>561500: Syst plan &amp; standards devlpmnt</t>
  </si>
  <si>
    <t>562000: Station Expenses</t>
  </si>
  <si>
    <t>566000: Misc. Transmission Expenses</t>
  </si>
  <si>
    <t>567000: Rents - Transmission System</t>
  </si>
  <si>
    <t>568000: Maint. Supervision &amp; Engineer</t>
  </si>
  <si>
    <t>569000: Maintenance Of Structures</t>
  </si>
  <si>
    <t>569100: Maint Transm Computer&amp;Telecom</t>
  </si>
  <si>
    <t>573000: Maint Misc Transmission Plant</t>
  </si>
  <si>
    <t>575100: Regional Energy Mkts-Oper Supv</t>
  </si>
  <si>
    <t>903002: Collection Expense</t>
  </si>
  <si>
    <t>905000: Misc Customer Accounts Exp</t>
  </si>
  <si>
    <t>909000: Information &amp; Instruct Adv Ex</t>
  </si>
  <si>
    <t>912000: Demon. &amp; Selling Exp.</t>
  </si>
  <si>
    <t>920000: Adm &amp; General Salaries</t>
  </si>
  <si>
    <t>921000: Office Supplies And Expenses</t>
  </si>
  <si>
    <t>923000: Outside Services Employed</t>
  </si>
  <si>
    <t>924000: Property Insurance Expense</t>
  </si>
  <si>
    <t>925000: Injuries &amp; Damages Expense</t>
  </si>
  <si>
    <t>926000: Employee Pension &amp; Benefits</t>
  </si>
  <si>
    <t>928000: Regulatory Commission Expense</t>
  </si>
  <si>
    <t>930100: General Advertising Expenses</t>
  </si>
  <si>
    <t>930200: Miscellaneous General Expense</t>
  </si>
  <si>
    <t>931000: Rents-Cust Accts,Serv,Sales,GA</t>
  </si>
  <si>
    <t>935000: Maintenance Of General Plant</t>
  </si>
  <si>
    <t>511000: Maintenance Of Structures</t>
  </si>
  <si>
    <t>514000: Maintenance Of Misc Steam Plt</t>
  </si>
  <si>
    <t>517000: Operation, Supervision &amp; Engr</t>
  </si>
  <si>
    <t>524000: Misc. Nuclear Power Expenses</t>
  </si>
  <si>
    <t>549000: Misc Oth Pwr Generation Exps</t>
  </si>
  <si>
    <t>554000: Maint-Misc Other Pwr Gen Plt</t>
  </si>
  <si>
    <t>570000: Maint. Of Station Equipment</t>
  </si>
  <si>
    <t>419100: Afudc - Other Funds</t>
  </si>
  <si>
    <t>432000: Afudc -Borrowed Funds - Cr.</t>
  </si>
  <si>
    <t>407348: Regulatory Debits</t>
  </si>
  <si>
    <t>546000: Operation Superv &amp; Engineerin</t>
  </si>
  <si>
    <t>580000: Operation Supervision&amp;Enginee</t>
  </si>
  <si>
    <t>586000: Meter Expenses</t>
  </si>
  <si>
    <t>588000: Misc Distribution Expense</t>
  </si>
  <si>
    <t>907000: Supervision</t>
  </si>
  <si>
    <t>913000: Advertising Expense</t>
  </si>
  <si>
    <t>163000: Stores Expenses Undistributed</t>
  </si>
  <si>
    <t>184001: Operations  Vehicle</t>
  </si>
  <si>
    <t>417100: Expenses- Nonutility Oper</t>
  </si>
  <si>
    <t>592000: Maint. Of Station Equipment</t>
  </si>
  <si>
    <t>903001: Customer Records</t>
  </si>
  <si>
    <t>517000: Nuclear Oper Super &amp; Engineering</t>
  </si>
  <si>
    <t>524000: Nuclear Misc Expenses</t>
  </si>
  <si>
    <t>546000: Other Power Oper Super &amp; Engineering</t>
  </si>
  <si>
    <t>549000: Other Power Misc Expenses</t>
  </si>
  <si>
    <t>560000: Transm Oper Super &amp; Engineering</t>
  </si>
  <si>
    <t>569000: Transm Maint of Structures</t>
  </si>
  <si>
    <t>573000: Transm Maint of Misc Plant</t>
  </si>
  <si>
    <t>913000: Customer Serv Adver Expense</t>
  </si>
  <si>
    <t>931000: Rents</t>
  </si>
  <si>
    <t>935000: Maint of General Plant</t>
  </si>
  <si>
    <t>165576: Ppd Contract OSI Software Inc</t>
  </si>
  <si>
    <t>165004: Pp Taxes-Regulatory Commis.</t>
  </si>
  <si>
    <t>165201: Pp Tax-Hwy Use Tax</t>
  </si>
  <si>
    <t>165518: PPD GP Strategies Corp</t>
  </si>
  <si>
    <t>165588: Prepaid Contract- Net IQ</t>
  </si>
  <si>
    <t>165611: PPD all GE companies</t>
  </si>
  <si>
    <t>165612: PPD HCL America</t>
  </si>
  <si>
    <t>WP AJ6 - ELL General Plant Reserve Deficiency 15-Year Amortization (1)</t>
  </si>
  <si>
    <t>D = B - C</t>
  </si>
  <si>
    <t>Balance (3)</t>
  </si>
  <si>
    <t>Amortization</t>
  </si>
  <si>
    <t>Amortization Year</t>
  </si>
  <si>
    <t>Starting</t>
  </si>
  <si>
    <t>Ending</t>
  </si>
  <si>
    <t>Annual (2)</t>
  </si>
  <si>
    <t>Depreciation Expense (Account 403)</t>
  </si>
  <si>
    <t>Entergy shall recover 100% of the General Plant Reserve Deficiency amounts over a 15-year period for the years 2016 through 2030, but will not recover any return on the General Plant Reserve Depreciation amounts per the Settlement Agreement in ER16-227.</t>
  </si>
  <si>
    <t>Rounded amount.</t>
  </si>
  <si>
    <t>See Appendix A Note "LL".  The General Plant Reserve Deficiency adjustment amount is $132,845,637.</t>
  </si>
  <si>
    <t>For  the 12 Months Ended 12/31/2016</t>
  </si>
  <si>
    <t>303-Miscellaneous Intangible Plant (15 year life)</t>
  </si>
  <si>
    <t>303-Miscellaneous Intangible Plant (20 year life)</t>
  </si>
  <si>
    <t>2.92% / 3.00%</t>
  </si>
  <si>
    <t>2.44% / 2.47% / 2.50%</t>
  </si>
  <si>
    <t>The 303-Miscellanous Intangible Plant (30 year life) category reflects amortization periods ranging from 33 to 34.25 years.</t>
  </si>
  <si>
    <t>The 303-Miscellanous Intangible Plant (40 year life) category reflects amortization periods ranging from 39.83 to 41 years.</t>
  </si>
  <si>
    <t>FERC Liberalized Depreciation Adjustment</t>
  </si>
  <si>
    <t>Liberalized tax depreciation adjustment for FERC-only (7)</t>
  </si>
  <si>
    <t>7. A supporting work paper with additional detail for this value will be provided.</t>
  </si>
  <si>
    <t>See the supporting workpaper for wholesale-only accumulated depreciation and amortization balances for production plant, transmission plant, intangible, and general plant.  The wholesale-only General Plant balances exclude General Plant Reserve Deficiency amounts that are separately amortized within Attachment O.</t>
  </si>
  <si>
    <t>General Plant Reserve Deficiency Amortization</t>
  </si>
  <si>
    <t>LL</t>
  </si>
  <si>
    <t>In accordance with the Settlement Agreement in Docket ER16-227-000, effective January 1, 2016, the General Plant Accumulated Depreciation Reserves shall be adjusted by $132,845,637 for Entergy Louisiana, LLC. to reflect the exclusion of the General Plant Reserve Deficiency.  In addition, that $132,845,637 General Plant Reserve Deficiency adjustment shall be amortized over the 15-year period starting with calendar year 2016 through 2030, and the amortization amounts added to the General Plant Depreciation Expense during the amortization period.</t>
  </si>
  <si>
    <t>CLECO GUEYDAN</t>
  </si>
  <si>
    <t>ENOI Network Load</t>
  </si>
  <si>
    <t>ERATH</t>
  </si>
  <si>
    <t>NEW ROADS</t>
  </si>
  <si>
    <t>The base ROE shall be as established by FERC and is subject to change consistent with the outcome of proceedings in FERC Docket No. EL15-45, a final order concerning the ROE issue raised in MDEA v. FERC, (D.C. Circuit Case No. 14-1030), and otherwise subject to change pursuant to a FPA section 205 or 206 proceeding. A 50 basis point adder for RTO participation may be added to the ROE provided the total or maximum ROE may not to exceed the upper end of the zone of reasonableness established by FERC in EL14-12 or other proceeding.</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</si>
  <si>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</si>
  <si>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B + C + D + E</t>
  </si>
  <si>
    <t>Def Amort</t>
  </si>
  <si>
    <t>407348: Reg Debits</t>
  </si>
  <si>
    <t>407403: Reg Credits</t>
  </si>
  <si>
    <t>Cane River-Cajun/Vemco 115Kv T - TLA - ELI - 0247</t>
  </si>
  <si>
    <t>LPL - 0247</t>
  </si>
  <si>
    <t>Merged from EGSL Template for 2016 rate update</t>
  </si>
  <si>
    <t>New for 2017 rate update</t>
  </si>
  <si>
    <t>Mount Olive to  Woods 230Kv Ln - TLA - ELI - 0279</t>
  </si>
  <si>
    <t>New for 2016 rate update</t>
  </si>
  <si>
    <t>FF1 page 234 , Line 8</t>
  </si>
  <si>
    <t>Steam Amount</t>
  </si>
  <si>
    <t>FF1 page 234, Line 8 without Steam</t>
  </si>
  <si>
    <t>Account 190:</t>
  </si>
  <si>
    <t>Account 282:</t>
  </si>
  <si>
    <t>FF1 page 274.2b and 275.2.k w/out  Steam</t>
  </si>
  <si>
    <t>Account 283</t>
  </si>
  <si>
    <t>FF1 Page 276.9.b and 277.9.k without steam</t>
  </si>
  <si>
    <t>FF1 Reconciliation for the 12 Month Ended 12/31/16</t>
  </si>
  <si>
    <t>Fee revenue that does not appear in GL but is added per FF1 300.21 notes page</t>
  </si>
  <si>
    <t>WP17 Revenue Support - Account 456 Out-of-Period Revenue for ER13-948 2014 Test Year True-up</t>
  </si>
  <si>
    <t>Ln.</t>
  </si>
  <si>
    <t>Amount (1)</t>
  </si>
  <si>
    <t>Period</t>
  </si>
  <si>
    <t>Schedule 7</t>
  </si>
  <si>
    <t>SCH07 FERC ORDER ER13-948 RESETTLEMENT</t>
  </si>
  <si>
    <t>DEC13-MAY14</t>
  </si>
  <si>
    <t>JUN14-DEC14</t>
  </si>
  <si>
    <t>INTEREST - SCH07 FERC ORDER ER13-948 RESETTLEMENT</t>
  </si>
  <si>
    <t>Schedule 8</t>
  </si>
  <si>
    <t>SCH08 FERC ORDER ER13-948 RESETTLEMENT</t>
  </si>
  <si>
    <t>INTEREST - SCH08 FERC ORDER ER13-948 RESETTLEMENT</t>
  </si>
  <si>
    <t>Schedule 9</t>
  </si>
  <si>
    <t>SCH09 FERC ORDER ER13-948 RESETTLEMENT</t>
  </si>
  <si>
    <t>DEC13-MAR14</t>
  </si>
  <si>
    <t>INTEREST - SCH09 FERC ORDER ER13-948 RESETTLEMENT</t>
  </si>
  <si>
    <t>JUN14</t>
  </si>
  <si>
    <t>JUL14-SEP14</t>
  </si>
  <si>
    <t>Reclassify True-up amounts from either "Revenue Credits" or "Network Revenue" to "Other"</t>
  </si>
  <si>
    <t xml:space="preserve">Allocate Schedule 7 to LT &amp; ST based 2016 per book Schedule 7 revenue </t>
  </si>
  <si>
    <t>Total Schedule Out of Period Amount</t>
  </si>
  <si>
    <t>Sch 7 ER13-948 True-up - Out of Period</t>
  </si>
  <si>
    <t>Sch 8 ER13-948 True-up - Out of Period</t>
  </si>
  <si>
    <t>Sch 9 ER13-948 True-up - Out of Period</t>
  </si>
  <si>
    <t>Other Revenue - Service to Non-Associate</t>
  </si>
  <si>
    <t>2/12/2014: MISO-wide ROE was changed in EL14-12; Tariff compliance filing in ER17-215</t>
  </si>
  <si>
    <t>2017-02-12 Revised ER16-227</t>
  </si>
  <si>
    <t>2017-02-12 Added per ER16-227</t>
  </si>
  <si>
    <t>ROE</t>
  </si>
  <si>
    <t>Days</t>
  </si>
  <si>
    <t>Effective ROE</t>
  </si>
  <si>
    <t>C = A x B/366</t>
  </si>
  <si>
    <t>Appendix A Support</t>
  </si>
  <si>
    <t>Rate</t>
  </si>
  <si>
    <t>Expense</t>
  </si>
  <si>
    <t>WP18 - Depreciation &amp; Amortization Rates &amp; Annual FERC Depreciation &amp; Amortization Expense (1)</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</si>
  <si>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</si>
  <si>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Total ADIT Adjusted</t>
  </si>
  <si>
    <t>Function</t>
  </si>
  <si>
    <t>Depreciation</t>
  </si>
  <si>
    <t>BOY (1)</t>
  </si>
  <si>
    <t>EOY (2)</t>
  </si>
  <si>
    <t>Blended</t>
  </si>
  <si>
    <t>Wholesale</t>
  </si>
  <si>
    <t>WP04 Ln 23 &amp; 35 (3)</t>
  </si>
  <si>
    <t>Net</t>
  </si>
  <si>
    <t>Composite Tax Rate</t>
  </si>
  <si>
    <t>App A Ln 150</t>
  </si>
  <si>
    <t xml:space="preserve">"BOY" (Beginning of Year) is the value in the prior test year's FERC Form 1. </t>
  </si>
  <si>
    <t>"EOY" (End of Year) is the value in the current test year's FERC Form 1.</t>
  </si>
  <si>
    <t>Adjustment to Liberalized Depreciation</t>
  </si>
  <si>
    <t>See WP04 Col. B - Intang, Col. F - Transm, Col. I - Distrib, Col. E - Prod, &amp; Col. J - General.</t>
  </si>
  <si>
    <t>WP06 - ADIT Support - Liberalized Depreciation Adjustment</t>
  </si>
  <si>
    <t>2017-02-12 Added ER16-227</t>
  </si>
  <si>
    <t>2017-02-12 Deleted ER16-227</t>
  </si>
  <si>
    <t xml:space="preserve">See the new note for an additional non-tariff workpaper. </t>
  </si>
  <si>
    <t>WP04 - 13-Month Average Plant In Service &amp; Accumulated Depreciation &amp; Amortization Balances</t>
  </si>
  <si>
    <t>Accumulated Depreciation (1) (2)</t>
  </si>
  <si>
    <t>Depreciation Expense &amp; General Plant Reserve Deficiency Amortization Expense</t>
  </si>
  <si>
    <t>2017-02-12: MISO-wide ROE changed in EL14-12; Tariff compliance filing in ER17-215</t>
  </si>
  <si>
    <t>2017-02-12 Revised data source</t>
  </si>
  <si>
    <t>2017-02-12 Revised title</t>
  </si>
  <si>
    <t>Other Adjustments Depreciation Expense &amp; GPRD Amortization</t>
  </si>
  <si>
    <t>2017-02-12 Added note "LL" per ER16-227</t>
  </si>
  <si>
    <t>2017-02-12 Added ER16-227, Entergy will provide a separate workpaper showing how this amount is computed.</t>
  </si>
  <si>
    <t>2017-02-12 Revised for ER16-227</t>
  </si>
  <si>
    <t>WP21 - Pension</t>
  </si>
  <si>
    <t>F = C+D+E</t>
  </si>
  <si>
    <t>K = G+H+I+J</t>
  </si>
  <si>
    <t>Qualified Pension</t>
  </si>
  <si>
    <t>Non-Qualified Pension</t>
  </si>
  <si>
    <t>Account 253012
Funded Status</t>
  </si>
  <si>
    <t>Account 182381- Resource Code 300
Regulatory Asset - Unrecognized Gains/(Losses)</t>
  </si>
  <si>
    <t>Account 219381-Resouce Code 300
Accum Other Comprehensive Income- Unrecognized Gains/(Losses)</t>
  </si>
  <si>
    <t>Qualified Pension
Prepaid Pension Asset/
(Accrued Pension Liability)</t>
  </si>
  <si>
    <t>Account 242309 - Current Portion of Non-Qualified Pension</t>
  </si>
  <si>
    <t xml:space="preserve"> Account 253013 Non-Qualified Pension</t>
  </si>
  <si>
    <t>Account 182381-Resouce Code 299
Regulatory Asset - Unrecognized Gains/(Losses)</t>
  </si>
  <si>
    <t>Account 219381-Resouce Code 299
Accum Other Comprehensive Income- Unrecognized Gains/(Losses)</t>
  </si>
  <si>
    <t>Non-Qualified Pension
Prepaid Pension Asset/
(Accrued Pension Liability)</t>
  </si>
  <si>
    <t>13-Mo Avg (3)</t>
  </si>
  <si>
    <t xml:space="preserve">p.269.f Amounts are entered as negative of FERC Form 1 </t>
  </si>
  <si>
    <t>(Sum of Line 4 though Line 16) / 13</t>
  </si>
  <si>
    <t>WP22 - Income Tax Adjustments</t>
  </si>
  <si>
    <t>Excess Deferred Income Taxes</t>
  </si>
  <si>
    <t>Permanent Differences in Income Tax</t>
  </si>
  <si>
    <t>(1) See Note I to Appendix A.  Enter as negative.</t>
  </si>
  <si>
    <t>(2) See Note I to Appendix A.</t>
  </si>
  <si>
    <t>2017-01-10: ER15-1436 Changed from Other to Labor</t>
  </si>
  <si>
    <t>Qualified Pension Prepaid Asset / Liability</t>
  </si>
  <si>
    <t>2017-01-12: ER15-1436 Added Line</t>
  </si>
  <si>
    <t>Non-Qualified Pension Prepaid Asset / Liability</t>
  </si>
  <si>
    <t>2017-01-12: Added new Line</t>
  </si>
  <si>
    <t>Total Tax Adjustments</t>
  </si>
  <si>
    <t>2017-01-12: Added new line for "Total"</t>
  </si>
  <si>
    <t>Total Allocated Income Tax Adjustments</t>
  </si>
  <si>
    <t>2017-01-12 Revised Formula from Line 152 to 155 to include new Lines</t>
  </si>
  <si>
    <t>The currently effective income tax rate, where FIT is the Federal income tax rate; SIT is the State income tax rate, and p = "the percentage of federal income tax deductible for state income taxes".  If the utility includes taxes in more than one state, it must explain in a Worksheet 7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Excess Deferred Income Taxes reduce income tax expense revenue requirement by the amount of the expense multiplied by 1/(1-T).  Permanent Differences in Income Taxes increases income tax expense revenue requirement by the amount of the expense multiplied by 1/(1-T) for differences in the income taxes due under the Federal and State calculations and the income taxes recorded on the Company's financial statements.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</si>
  <si>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2017-01-10: ER15-1436 Added text</t>
  </si>
  <si>
    <t>For  the 12 Months Ended 12/31/2015</t>
  </si>
  <si>
    <t>See WP01 TU Support for True-up Amount Billed</t>
  </si>
  <si>
    <t>(9)</t>
  </si>
  <si>
    <t>The January 2015 through October 2015 interest rate is 0%</t>
  </si>
  <si>
    <t>pursuant to the July 31, 2015 Settlement Agreement and the</t>
  </si>
  <si>
    <t>September 28, 2015 Procedures for Initial Transition Period filed</t>
  </si>
  <si>
    <t>in Docket No. ER13-948.</t>
  </si>
  <si>
    <t xml:space="preserve">Revenues updated to reflect ROE from EL14-12 &amp; MISO re-billings </t>
  </si>
  <si>
    <t>Monthly interest rate updated to reflect most recent FERC Quarterly Interest Rates</t>
  </si>
  <si>
    <t>2/12/2017: EL14-12 changed MISO-wide ROE 9/28/2016; Compliance filing in ER17-215</t>
  </si>
  <si>
    <t>None at this time</t>
  </si>
  <si>
    <t>Typically zero (0)</t>
  </si>
  <si>
    <t>Input by MISO - DEMCO</t>
  </si>
  <si>
    <t>See Ln 152. Entergy chose to include the A/C 255 ADIT annual credit in the income tax calculation rather than the rate base balance</t>
  </si>
  <si>
    <t>Not Used</t>
  </si>
  <si>
    <t>Entergy System Agreement ended 8/31/2016</t>
  </si>
  <si>
    <t>Renewable requests for proposal for delivery of electric capacity energy and ot</t>
  </si>
  <si>
    <t>Amoritzation of MISO Costs</t>
  </si>
  <si>
    <t>Union Power Station write off</t>
  </si>
  <si>
    <t>p. 335.18.b</t>
  </si>
  <si>
    <t>p. 335.14.b</t>
  </si>
  <si>
    <t>p. 335.16.b</t>
  </si>
  <si>
    <t>p. 335.17.b</t>
  </si>
  <si>
    <t>Other FERC Transmission Dockets</t>
  </si>
  <si>
    <t>OpCo Transmission</t>
  </si>
  <si>
    <t>ESI Transmission</t>
  </si>
  <si>
    <t>OpCo Total Wages</t>
  </si>
  <si>
    <t>ESI Production</t>
  </si>
  <si>
    <t>ESI Distribution</t>
  </si>
  <si>
    <t>ESI Customer Accounts</t>
  </si>
  <si>
    <t>ESI Customer Service</t>
  </si>
  <si>
    <t>ESI Sales</t>
  </si>
  <si>
    <t>ESI Administrative &amp; General</t>
  </si>
  <si>
    <t>EOI Administrative &amp; General</t>
  </si>
  <si>
    <t>EOI Payroll</t>
  </si>
  <si>
    <t>ESI Regional Market</t>
  </si>
  <si>
    <t>OpCo Administrative &amp; General</t>
  </si>
  <si>
    <t>Supporting Workpaper for Cost of Capital Premium on Capital Stock and Capital Stock Expense</t>
  </si>
  <si>
    <t>Account Desc</t>
  </si>
  <si>
    <t>Project Desc</t>
  </si>
  <si>
    <t>207000</t>
  </si>
  <si>
    <t>Premium On Capital Stock</t>
  </si>
  <si>
    <t>[1]</t>
  </si>
  <si>
    <t>4.16% $100 PAR</t>
  </si>
  <si>
    <t>4.44% $100 PAR</t>
  </si>
  <si>
    <t>4.96% $100 PAR</t>
  </si>
  <si>
    <t>5.16% $100 PAR</t>
  </si>
  <si>
    <t>5.40% $100 PAR</t>
  </si>
  <si>
    <t>6.44% $100 PAR</t>
  </si>
  <si>
    <t>7.36% $100 PAR</t>
  </si>
  <si>
    <t>7.84% $100 PAR</t>
  </si>
  <si>
    <t>8.56% $100 PAR</t>
  </si>
  <si>
    <t>207000 Total</t>
  </si>
  <si>
    <t>207806</t>
  </si>
  <si>
    <t>PIC - Restricted Stock Awards</t>
  </si>
  <si>
    <t>207806 Total</t>
  </si>
  <si>
    <t>214000</t>
  </si>
  <si>
    <t>Capital Stock Expense</t>
  </si>
  <si>
    <t>12.64% $25 PAR</t>
  </si>
  <si>
    <t>7.00% $100 PAR</t>
  </si>
  <si>
    <t>8.00% $100 PAR</t>
  </si>
  <si>
    <t>9.68% $25 PAR</t>
  </si>
  <si>
    <t>214000 Total</t>
  </si>
  <si>
    <t>214001</t>
  </si>
  <si>
    <t>Capital Stock Expense-Common</t>
  </si>
  <si>
    <t>214001 Total</t>
  </si>
  <si>
    <t>214CPD</t>
  </si>
  <si>
    <t>Capital Stock Expense (CPD)</t>
  </si>
  <si>
    <t>ELI $100M 6.95% Cum Pref Mbrshp Int</t>
  </si>
  <si>
    <t>214CPD Total</t>
  </si>
  <si>
    <t>[3]</t>
  </si>
  <si>
    <t>Reconciliation to FERC Form 1:</t>
  </si>
  <si>
    <t>General Ledger:</t>
  </si>
  <si>
    <t>FERC Form 1:</t>
  </si>
  <si>
    <t>[1] Premium on Preferred Stock</t>
  </si>
  <si>
    <t>[2] Premium on Common Stock</t>
  </si>
  <si>
    <t>p.112.6.c &amp; d</t>
  </si>
  <si>
    <t>[3] Capital Stock Expense - Preferred</t>
  </si>
  <si>
    <t>[4] Capital Stock Expense - Common</t>
  </si>
  <si>
    <t>p.254.b</t>
  </si>
  <si>
    <t>Acadia PowerBlock 2 Transmission Upgrades LPSC Docket No.U-32708, 18.5 Yr Amort Effective Dec 2014</t>
  </si>
  <si>
    <t>870000: Operation Supervision &amp; Eng</t>
  </si>
  <si>
    <t>880000: Other Expenses</t>
  </si>
  <si>
    <t>The ITC project ended in 2015.</t>
  </si>
  <si>
    <t>421000: Misc Nonoperating Income</t>
  </si>
  <si>
    <t>303-Miscellaneous Intangible Plant (30 year life)</t>
  </si>
  <si>
    <t>303-Miscellaneous Intangible Plant (40 year life)</t>
  </si>
  <si>
    <t>AEP (ELL)</t>
  </si>
  <si>
    <t>AEP MINDEN (ELL)</t>
  </si>
  <si>
    <t>CLECO NORTHLAKE (ELL)</t>
  </si>
  <si>
    <t>CLECO VALLEY (ELL)</t>
  </si>
  <si>
    <t>LAGEN (ELL)</t>
  </si>
  <si>
    <t>DEMCO (ELL)</t>
  </si>
  <si>
    <t>LEPA (ELL)</t>
  </si>
  <si>
    <t>RUSTON</t>
  </si>
  <si>
    <t>CLECO STMVL</t>
  </si>
  <si>
    <t>Total Native Load</t>
  </si>
  <si>
    <t>CLECO GUEYDAN (ELL)</t>
  </si>
  <si>
    <t>ENOI Network Load (ELL)</t>
  </si>
  <si>
    <t>ERATH (ELL)</t>
  </si>
  <si>
    <t>NEW ROADS (ELL)</t>
  </si>
  <si>
    <t>4560UP: Trans-Union Contract Revenue</t>
  </si>
  <si>
    <t>456TPZ: ELL Receipts- TPZ Settlement</t>
  </si>
  <si>
    <t>Vinton Transmission &amp; Ancillary Services</t>
  </si>
  <si>
    <t>Adj for revenues included in A/C 456136 &amp; 456137 for ER13-948 True-up Adjustments paid in 2016 for the 2014TY</t>
  </si>
  <si>
    <t>Adj for revenues included in A/C 456138 for ER13-948 True-up Adjustments paid in 2016 for the 2014TY</t>
  </si>
  <si>
    <t>Adj for revenues included in A/C 456139 for ER13-948 True-up Adjustments paid in 2016 for the 2014TY</t>
  </si>
  <si>
    <t>ER13-948 TPZ Out of Period Adjustment paid in 2016 for the 2014TY</t>
  </si>
  <si>
    <t>Blount To Zachary 69Kv Ln - TLA - EGSI - 67332</t>
  </si>
  <si>
    <t>Misspelling corrected 2017-04</t>
  </si>
  <si>
    <t>Cecelia To Kirk 69Kv Ln - TLA - EGSI - 67625</t>
  </si>
  <si>
    <t>Fed Unemployment</t>
  </si>
  <si>
    <t>263.4.i</t>
  </si>
  <si>
    <t>263.2.i</t>
  </si>
  <si>
    <t>263.3.i</t>
  </si>
  <si>
    <t>263.5.i</t>
  </si>
  <si>
    <t>263.15.i</t>
  </si>
  <si>
    <t>263.9.i</t>
  </si>
  <si>
    <t>263.11.i</t>
  </si>
  <si>
    <t>263.13.i</t>
  </si>
  <si>
    <t>263.18.i</t>
  </si>
  <si>
    <t>263.16.i</t>
  </si>
  <si>
    <t>263.17.i</t>
  </si>
  <si>
    <t>263.14.i</t>
  </si>
  <si>
    <t>263.21.i</t>
  </si>
  <si>
    <t>263.34.i</t>
  </si>
  <si>
    <t>263.30.i</t>
  </si>
  <si>
    <t>Note (7)</t>
  </si>
  <si>
    <t>165508: PPD Emergency Planning Fees</t>
  </si>
  <si>
    <t>165622: PPD Environmental Systems Corp</t>
  </si>
  <si>
    <t>165623: PPD AR DEQ</t>
  </si>
  <si>
    <t>165628: PPD Acadian Gas Pipeline Systm</t>
  </si>
  <si>
    <t>165631: PPD Motorola Solutions</t>
  </si>
  <si>
    <t>Imputed Revenues adjusted to reflect Out of Period revenues for 2014TY True-up per ER13-948</t>
  </si>
  <si>
    <t>Service Revenues adjusted on WP17 to reflect Out of Period revenues for 2014TY True-up per ER13-948</t>
  </si>
  <si>
    <t>FERC interest updated per FERC website.</t>
  </si>
  <si>
    <t>2015 End Reserve Bal</t>
  </si>
  <si>
    <t>2016 Depr Exp</t>
  </si>
  <si>
    <t>2016 Retirements</t>
  </si>
  <si>
    <t>2016 GPRD Adj</t>
  </si>
  <si>
    <t>2016 Missing RET Adj</t>
  </si>
  <si>
    <t>2016 Incremental Adj</t>
  </si>
  <si>
    <t>Removal / Salvage</t>
  </si>
  <si>
    <t>Added 2017-05-10 per ER16-227 Settlement</t>
  </si>
  <si>
    <t>2016 End Reserve</t>
  </si>
  <si>
    <t>See WP04 Line 23 for starting balances</t>
  </si>
  <si>
    <t>See WP04 Line 35 for ending balances</t>
  </si>
  <si>
    <t>WP04 Support - Accumulated Depreciation &amp; Amortization Balances</t>
  </si>
  <si>
    <t>2016  Storm Contra Adj</t>
  </si>
  <si>
    <t>282537: Accum DFIT Steam Plant</t>
  </si>
  <si>
    <t>282538: Accum DSIT Steam Plant</t>
  </si>
  <si>
    <t>282705: FAS 109 Adj - Fed - Steam</t>
  </si>
  <si>
    <t>282706: FAS 109 Adj - State - Steam</t>
  </si>
  <si>
    <t>CONTIGUOUS</t>
  </si>
  <si>
    <t>Exclude</t>
  </si>
  <si>
    <t>CUSTOMER &amp; GEN</t>
  </si>
  <si>
    <t>2016</t>
  </si>
  <si>
    <t>p.219.20.c - 24.c</t>
  </si>
  <si>
    <t>p.219.26.c</t>
  </si>
  <si>
    <t>p.219.28.c</t>
  </si>
  <si>
    <t>p.219.25.c</t>
  </si>
  <si>
    <t>p.200.21.c</t>
  </si>
  <si>
    <t xml:space="preserve">Attachment O </t>
  </si>
  <si>
    <t>Explanatory Statements</t>
  </si>
  <si>
    <t>WP01 TU Support</t>
  </si>
  <si>
    <t>The January 2015 through October 2015 interest rate is 0% pursuant to the July 31, 2015 Settlement Agreement and the September 28, 2015 Procedures for Initial Transition Period filed in Docket No. ER13-948.</t>
  </si>
  <si>
    <t>WP17 Revenues</t>
  </si>
  <si>
    <t>WP AJ1 MISO</t>
  </si>
  <si>
    <t>The Company is not seeking recovery of MISO implementation costs.</t>
  </si>
  <si>
    <t>WP AJ2 ITC</t>
  </si>
  <si>
    <t>WP AJ2 ITC was intentionally left blank. That project was closed in 2015 and no charges were made in 2016.</t>
  </si>
  <si>
    <t>WP AJ3 HCM</t>
  </si>
  <si>
    <t>The Company is not seeking recovery of the HCM expenses</t>
  </si>
  <si>
    <t>WP AJ6 GPRD</t>
  </si>
  <si>
    <t>The Company is recovering a General Plant Reserve Deficiency amount through a 15-year amoritization.  The GPRD was removed from the general plant depreciation reserves for general plant assets that were retired at the end of their useful lives but before their book-life depreciation was fully recovered.</t>
  </si>
  <si>
    <t>WP AJ5 Acadia PB2</t>
  </si>
  <si>
    <t>The Company is not seeking recovery of an 18.5 year amortization starting December 2014 for Acadia PowerBlock 2 associated transmission upgrades documented in LPSC Docket No.U-32708.</t>
  </si>
  <si>
    <t>WP AJ4 LA Merger</t>
  </si>
  <si>
    <t>The Company is not seeking recovery of expenses associated with ELL and EGSL's business combination.</t>
  </si>
  <si>
    <t>Deleted 302-Franchises and Consents (5 year life) - Not in filing or on books</t>
  </si>
  <si>
    <t>Added yellow shading to Col C for inputs</t>
  </si>
  <si>
    <t>Should be Col  "F"  Add to Explanatory Statements</t>
  </si>
  <si>
    <t>Corrected amount</t>
  </si>
  <si>
    <t>Should be "Enter as Negative"  Add to Explanatory Statements</t>
  </si>
  <si>
    <t>Check if this includes Gas &amp; if it can be split.</t>
  </si>
  <si>
    <t>Check on Negative Balance</t>
  </si>
  <si>
    <t>Add to Tariff Clean-up</t>
  </si>
  <si>
    <t>Needs note to enter values as negative</t>
  </si>
  <si>
    <t xml:space="preserve">Amounts identified that should have been included in the accumulated depreciation reserve balance after the books are closed for the year are separately included in the reserve balance. </t>
  </si>
  <si>
    <t>An adjustment to the reserve balance was made for miscellaneous items.</t>
  </si>
  <si>
    <t>Amounts associated with Storm Contra amounts and identified after the books are closed for the year are separately included in the reserve balance.</t>
  </si>
  <si>
    <t>ER17-1549: Page "A - 2016 Summary"</t>
  </si>
  <si>
    <t>ER17-1549: Page "B - Account 926 Detail", Col 6 + Col 10 = 4,461,266 + 1,751,550 = 6,212,816</t>
  </si>
  <si>
    <t>WP02 Support</t>
  </si>
  <si>
    <t>Source file is: S5 ELL Template FERC Att O 2015TY (2016-09-28).xlsx but updated for 2017-03-15 Informational Update WP AJ6 adjustments</t>
  </si>
  <si>
    <t>(11)</t>
  </si>
  <si>
    <t>Only the True-up amounts for the months of June - December 2016 will be reflected in the 2017 Update based on the 2016TY.  The remaining 2015TY True-up amounts will be collected in January - May 2017 and reflected in the 2018 Update based on a 2017 TY True-up calculation.</t>
  </si>
  <si>
    <t>Source file is: Appendix A Line 193 of S5 ELL Template FERC Att O 2015TY (2016-09-28).xlsx but updated to include 2017-03-15 Informational Update adjustments detailed in WP AJ6.</t>
  </si>
  <si>
    <t>Production excluding ARO</t>
  </si>
  <si>
    <t>(D+G+H+I)</t>
  </si>
  <si>
    <t>See FF1: Intangible - 205.5.d; Production - 205.46.d; Transmission - 207.58.d; Distribution - 207.75.d; &amp; General Plant - 207.99.d</t>
  </si>
  <si>
    <t>See WP AJ3 GPRD Adjustment for General Plant Reserve Deficiency</t>
  </si>
  <si>
    <t xml:space="preserve">Total for column is the sum of FF1 219.13.c + 219.14.c (enter as a negative) </t>
  </si>
  <si>
    <t>See WP18 &amp; WP18 Support for Depreciation Expense balances</t>
  </si>
  <si>
    <t>Sum (C thru J)</t>
  </si>
  <si>
    <r>
      <t xml:space="preserve">Source file is: </t>
    </r>
    <r>
      <rPr>
        <i/>
        <sz val="10"/>
        <rFont val="Arial"/>
        <family val="2"/>
      </rPr>
      <t>S5 ELL Template FERC Att O 2015TY (2016-09-28).xlsx</t>
    </r>
    <r>
      <rPr>
        <sz val="10"/>
        <rFont val="Arial"/>
        <family val="2"/>
      </rPr>
      <t xml:space="preserve"> but updated to include 2017-03-15 Informational Update adjustments.</t>
    </r>
  </si>
  <si>
    <t>"Enter as Negative" instruction needed for WP AJ3 HCM amounts which are reductions to expense.</t>
  </si>
  <si>
    <t>Ln 34.5 &amp; 47.5 Merger Expense reference should be to Col "F" instead of "D".</t>
  </si>
  <si>
    <t>In Docket No. ER13-948, any Attachment O surcharges for the period December 19, 2013 to December 31, 2014 were separately calculated and billed by MISO in 2016 and booked in Account 456.  Additional lines were added to the WP17 Account 456 detail to reclassify True-up revenues by Schedule from "Revenue Credits" and "Network Revenues" to "Other".  Schedule 7 surcharge revenues were split between Schedule 7 LT and Schedule 7 ST in the same proportion as those revenues were booked in 2016.</t>
  </si>
  <si>
    <t>A split of Schedule 42A/B revenues in A/C 456142 &amp; 4561A4 has been included for additional information.</t>
  </si>
  <si>
    <t>WP12 PBOP</t>
  </si>
  <si>
    <t>See FERC Docket ER17-1549 Filed May 1, 2017, Page "A - 2016 Summary", Column "2016 Actuals"</t>
  </si>
  <si>
    <t>WP20 Reserves</t>
  </si>
  <si>
    <t>"Enter as Negative" footnote needed for Accounts 2281 through 228400.</t>
  </si>
  <si>
    <t>Not Available</t>
  </si>
  <si>
    <t>Prod Data for Cols E-K are not available before June 1, 2017</t>
  </si>
  <si>
    <t>check</t>
  </si>
  <si>
    <t>WP 18 Support</t>
  </si>
  <si>
    <t xml:space="preserve">Added FERC Approved Distribution Depreciation Rates &amp; Expense to a supporting workpaper. </t>
  </si>
  <si>
    <t xml:space="preserve">WP 18 Additional Support - FERC approved Depreciation Rates &amp; Annual Expense 
for Distribution Property </t>
  </si>
  <si>
    <t>Distribution Plant</t>
  </si>
  <si>
    <t>360_1_Land</t>
  </si>
  <si>
    <t>360_2_Land Rights</t>
  </si>
  <si>
    <t>361_0_Structures And Improvements</t>
  </si>
  <si>
    <t>362_0_Station Equipment</t>
  </si>
  <si>
    <t>364_0_Poles, Towers, and Fixtures</t>
  </si>
  <si>
    <t>365_1_Overhead Conductors &amp; Devices</t>
  </si>
  <si>
    <t>365_2_Overhead Conductors &amp; Devices</t>
  </si>
  <si>
    <t>365_3_Overhead Conductors &amp; Devices</t>
  </si>
  <si>
    <t>366_0_Underground Conduit</t>
  </si>
  <si>
    <t>367_0_Underground Conductor, Devices</t>
  </si>
  <si>
    <t>368_1_Line Transformers</t>
  </si>
  <si>
    <t>369_1_Services-Overhead</t>
  </si>
  <si>
    <t>369_2_Services-Underground</t>
  </si>
  <si>
    <t>370_0_Meters</t>
  </si>
  <si>
    <t>370_1_Meters</t>
  </si>
  <si>
    <t>371_0_Installations On Cust Premises</t>
  </si>
  <si>
    <t>373_0_Street Light &amp; Signal Systems</t>
  </si>
  <si>
    <t>373_2_Street Lighting - Non Roadway</t>
  </si>
  <si>
    <t>Legacy ELL</t>
  </si>
  <si>
    <t>Legacy EGSL</t>
  </si>
  <si>
    <t>Total EGSL</t>
  </si>
  <si>
    <t>Total ELL</t>
  </si>
  <si>
    <t>Distribution Plant Depreciation Expense</t>
  </si>
  <si>
    <t xml:space="preserve">   Total Combined ELL Distribution Depr Exp</t>
  </si>
  <si>
    <t>Agrees to WP04 Support Ln 5 Col D</t>
  </si>
  <si>
    <t xml:space="preserve">Depreciation </t>
  </si>
  <si>
    <t xml:space="preserve">Appendix A </t>
  </si>
  <si>
    <t>Note LL was moved from Line 106 to Line 107 in Column E on Appendix A</t>
  </si>
  <si>
    <t>TU Amount billed in 2016TY (10)</t>
  </si>
  <si>
    <t>WP17 Line 8 Column D (8)</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</si>
</sst>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_(* #,##0.000_);_(* \(#,##0.000\);_(* &quot;-&quot;??_);_(@_)"/>
    <numFmt numFmtId="200" formatCode="0.0000000000000000000"/>
    <numFmt numFmtId="201" formatCode="0.000"/>
  </numFmts>
  <fonts count="174">
    <font>
      <sz val="10"/>
      <name val="Arial"/>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b/>
      <sz val="18"/>
      <name val="Arial"/>
      <family val="2"/>
    </font>
    <font>
      <b/>
      <i/>
      <sz val="12"/>
      <color indexed="14"/>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sz val="10"/>
      <color indexed="17"/>
      <name val="Arial"/>
      <family val="2"/>
    </font>
    <font>
      <sz val="12"/>
      <color indexed="17"/>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1"/>
      <color indexed="8"/>
      <name val="Arial"/>
      <family val="2"/>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sz val="11"/>
      <color indexed="8"/>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0"/>
      <color rgb="FF000000"/>
      <name val="Times New Roman"/>
      <family val="1"/>
    </font>
    <font>
      <sz val="12"/>
      <name val="Times New Roman"/>
      <family val="1"/>
    </font>
    <font>
      <strike/>
      <sz val="10"/>
      <name val="Times New Roman"/>
      <family val="1"/>
    </font>
    <font>
      <sz val="10"/>
      <color indexed="40"/>
      <name val="Times New Roman"/>
      <family val="1"/>
    </font>
    <font>
      <sz val="10"/>
      <color indexed="10"/>
      <name val="Times New Roman"/>
      <family val="1"/>
    </font>
    <font>
      <strike/>
      <sz val="12"/>
      <color indexed="10"/>
      <name val="Times New Roman"/>
      <family val="1"/>
    </font>
    <font>
      <u/>
      <sz val="10"/>
      <color theme="1"/>
      <name val="Arial"/>
      <family val="2"/>
    </font>
    <font>
      <b/>
      <sz val="10"/>
      <color theme="1"/>
      <name val="Arial"/>
      <family val="2"/>
    </font>
    <font>
      <sz val="10"/>
      <color rgb="FFFF0000"/>
      <name val="Arial"/>
      <family val="2"/>
    </font>
    <font>
      <strike/>
      <sz val="12"/>
      <color rgb="FFFF0000"/>
      <name val="Arial"/>
      <family val="2"/>
    </font>
    <font>
      <b/>
      <strike/>
      <sz val="10"/>
      <name val="Arial"/>
      <family val="2"/>
    </font>
    <font>
      <b/>
      <u/>
      <sz val="10"/>
      <name val="Arial"/>
      <family val="2"/>
    </font>
    <font>
      <sz val="11"/>
      <name val="Calibri"/>
      <family val="2"/>
    </font>
    <font>
      <sz val="12"/>
      <color rgb="FFC00000"/>
      <name val="Arial"/>
      <family val="2"/>
    </font>
    <font>
      <b/>
      <sz val="10"/>
      <color rgb="FFC00000"/>
      <name val="Arial"/>
      <family val="2"/>
    </font>
    <font>
      <b/>
      <sz val="12"/>
      <color rgb="FFC00000"/>
      <name val="Arial"/>
      <family val="2"/>
    </font>
    <font>
      <b/>
      <sz val="12"/>
      <color rgb="FFFF0000"/>
      <name val="Arial"/>
      <family val="2"/>
    </font>
    <font>
      <sz val="12"/>
      <color rgb="FFFF0000"/>
      <name val="Arial"/>
      <family val="2"/>
    </font>
    <font>
      <b/>
      <sz val="10"/>
      <color rgb="FFFF0000"/>
      <name val="Times New Roman"/>
      <family val="1"/>
    </font>
    <font>
      <sz val="9"/>
      <name val="Times New Roman"/>
      <family val="1"/>
    </font>
    <font>
      <b/>
      <sz val="9"/>
      <name val="Times New Roman"/>
      <family val="1"/>
    </font>
    <font>
      <b/>
      <strike/>
      <sz val="10"/>
      <name val="Times New Roman"/>
      <family val="1"/>
    </font>
    <font>
      <b/>
      <strike/>
      <u/>
      <sz val="12"/>
      <name val="Arial"/>
      <family val="2"/>
    </font>
    <font>
      <sz val="10.8"/>
      <name val="Arial"/>
      <family val="2"/>
    </font>
    <font>
      <strike/>
      <u/>
      <sz val="10"/>
      <name val="Arial"/>
      <family val="2"/>
    </font>
    <font>
      <strike/>
      <sz val="10"/>
      <color theme="1"/>
      <name val="Arial"/>
      <family val="2"/>
    </font>
    <font>
      <sz val="8.8000000000000007"/>
      <name val="Arial"/>
      <family val="2"/>
    </font>
    <font>
      <b/>
      <sz val="11"/>
      <color rgb="FF002060"/>
      <name val="Arial"/>
      <family val="2"/>
    </font>
    <font>
      <b/>
      <u/>
      <sz val="10"/>
      <color rgb="FFFF0000"/>
      <name val="Arial"/>
      <family val="2"/>
    </font>
    <font>
      <b/>
      <sz val="10"/>
      <color indexed="17"/>
      <name val="Arial"/>
      <family val="2"/>
    </font>
    <font>
      <b/>
      <u val="singleAccounting"/>
      <sz val="10"/>
      <color rgb="FFFF0000"/>
      <name val="Arial"/>
      <family val="2"/>
    </font>
    <font>
      <sz val="10"/>
      <name val="Arial"/>
      <family val="2"/>
    </font>
    <font>
      <u/>
      <sz val="12"/>
      <name val="Arial"/>
      <family val="2"/>
    </font>
    <font>
      <i/>
      <sz val="10"/>
      <name val="Arial"/>
      <family val="2"/>
    </font>
    <font>
      <b/>
      <strike/>
      <sz val="12"/>
      <name val="Arial"/>
      <family val="2"/>
    </font>
    <font>
      <u val="singleAccounting"/>
      <sz val="12"/>
      <name val="Arial"/>
      <family val="2"/>
    </font>
    <font>
      <b/>
      <u/>
      <sz val="11"/>
      <color theme="1"/>
      <name val="Calibri"/>
      <family val="2"/>
      <scheme val="minor"/>
    </font>
    <font>
      <sz val="11"/>
      <color rgb="FF002060"/>
      <name val="Arial"/>
      <family val="2"/>
    </font>
    <font>
      <b/>
      <sz val="11"/>
      <color rgb="FFFF0000"/>
      <name val="Calibri"/>
      <family val="2"/>
    </font>
    <font>
      <b/>
      <sz val="11"/>
      <color theme="1"/>
      <name val="Calibri"/>
      <family val="2"/>
      <scheme val="minor"/>
    </font>
    <font>
      <sz val="11"/>
      <name val="Arial"/>
      <family val="2"/>
    </font>
  </fonts>
  <fills count="5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
      <patternFill patternType="solid">
        <fgColor theme="4" tint="0.79998168889431442"/>
        <bgColor indexed="64"/>
      </patternFill>
    </fill>
    <fill>
      <patternFill patternType="solid">
        <fgColor rgb="FF66FFFF"/>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7705">
    <xf numFmtId="0" fontId="0" fillId="0" borderId="0"/>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75" fillId="14" borderId="0" applyNumberFormat="0" applyBorder="0" applyAlignment="0" applyProtection="0"/>
    <xf numFmtId="0" fontId="75" fillId="4" borderId="0" applyNumberFormat="0" applyBorder="0" applyAlignment="0" applyProtection="0"/>
    <xf numFmtId="0" fontId="75" fillId="11"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21" borderId="0" applyNumberFormat="0" applyBorder="0" applyAlignment="0" applyProtection="0"/>
    <xf numFmtId="0" fontId="76" fillId="5" borderId="0" applyNumberFormat="0" applyBorder="0" applyAlignment="0" applyProtection="0"/>
    <xf numFmtId="0" fontId="96" fillId="0" borderId="0" applyNumberFormat="0" applyFill="0" applyBorder="0" applyAlignment="0" applyProtection="0"/>
    <xf numFmtId="0" fontId="83" fillId="12" borderId="1" applyNumberFormat="0" applyAlignment="0" applyProtection="0"/>
    <xf numFmtId="0" fontId="77" fillId="22" borderId="2" applyNumberFormat="0" applyAlignment="0" applyProtection="0"/>
    <xf numFmtId="172" fontId="70" fillId="0" borderId="0">
      <alignment horizontal="center" wrapText="1"/>
    </xf>
    <xf numFmtId="43" fontId="44" fillId="0" borderId="0" applyFont="0" applyFill="0" applyBorder="0" applyAlignment="0" applyProtection="0"/>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178" fontId="97" fillId="0" borderId="0"/>
    <xf numFmtId="41" fontId="64" fillId="0" borderId="0" applyFont="0" applyFill="0" applyBorder="0" applyAlignment="0" applyProtection="0"/>
    <xf numFmtId="41" fontId="6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05" fillId="0" borderId="0" applyFont="0" applyFill="0" applyBorder="0" applyAlignment="0" applyProtection="0"/>
    <xf numFmtId="43" fontId="5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43" fontId="44"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xf numFmtId="43" fontId="40"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 fontId="44" fillId="23" borderId="0" applyFont="0" applyFill="0" applyBorder="0" applyAlignment="0" applyProtection="0"/>
    <xf numFmtId="0" fontId="98" fillId="0" borderId="0"/>
    <xf numFmtId="0" fontId="44" fillId="0" borderId="3"/>
    <xf numFmtId="173" fontId="48" fillId="0" borderId="0">
      <protection locked="0"/>
    </xf>
    <xf numFmtId="44" fontId="44" fillId="0" borderId="0" applyFont="0" applyFill="0" applyBorder="0" applyAlignment="0" applyProtection="0"/>
    <xf numFmtId="179" fontId="44" fillId="0" borderId="0" applyFont="0" applyFill="0" applyBorder="0" applyAlignment="0" applyProtection="0"/>
    <xf numFmtId="180" fontId="99" fillId="0" borderId="0" applyFont="0" applyFill="0" applyBorder="0" applyAlignment="0" applyProtection="0"/>
    <xf numFmtId="44" fontId="5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2" fillId="0" borderId="0" applyFont="0" applyFill="0" applyBorder="0" applyAlignment="0" applyProtection="0"/>
    <xf numFmtId="44" fontId="64" fillId="0" borderId="0" applyFont="0" applyFill="0" applyBorder="0" applyAlignment="0" applyProtection="0"/>
    <xf numFmtId="5" fontId="44" fillId="23" borderId="0" applyFont="0" applyFill="0" applyBorder="0" applyAlignment="0" applyProtection="0"/>
    <xf numFmtId="0" fontId="44" fillId="23" borderId="0" applyFont="0" applyFill="0" applyBorder="0" applyAlignment="0" applyProtection="0"/>
    <xf numFmtId="0" fontId="78" fillId="0" borderId="0" applyNumberFormat="0" applyFill="0" applyBorder="0" applyAlignment="0" applyProtection="0"/>
    <xf numFmtId="2" fontId="44" fillId="23" borderId="0" applyFont="0" applyFill="0" applyBorder="0" applyAlignment="0" applyProtection="0"/>
    <xf numFmtId="0" fontId="49" fillId="0" borderId="0">
      <alignment horizontal="left"/>
    </xf>
    <xf numFmtId="164" fontId="99" fillId="0" borderId="0" applyFont="0" applyFill="0" applyBorder="0" applyAlignment="0" applyProtection="0"/>
    <xf numFmtId="181" fontId="44" fillId="0" borderId="0" applyFont="0" applyFill="0" applyBorder="0" applyAlignment="0" applyProtection="0">
      <alignment horizontal="center"/>
    </xf>
    <xf numFmtId="164" fontId="99" fillId="0" borderId="0" applyFont="0" applyFill="0" applyBorder="0" applyAlignment="0" applyProtection="0"/>
    <xf numFmtId="0" fontId="84" fillId="7" borderId="0" applyNumberFormat="0" applyBorder="0" applyAlignment="0" applyProtection="0"/>
    <xf numFmtId="38" fontId="67" fillId="24" borderId="0" applyNumberFormat="0" applyBorder="0" applyAlignment="0" applyProtection="0"/>
    <xf numFmtId="0" fontId="100" fillId="0" borderId="4">
      <alignment horizontal="left"/>
    </xf>
    <xf numFmtId="0" fontId="46" fillId="0" borderId="5" applyNumberFormat="0" applyAlignment="0" applyProtection="0">
      <alignment horizontal="left" vertical="center"/>
    </xf>
    <xf numFmtId="0" fontId="46" fillId="0" borderId="6">
      <alignment horizontal="left" vertical="center"/>
    </xf>
    <xf numFmtId="14" fontId="45" fillId="25" borderId="7">
      <alignment horizontal="center" vertical="center" wrapText="1"/>
    </xf>
    <xf numFmtId="0" fontId="85" fillId="0" borderId="8" applyNumberFormat="0" applyFill="0" applyAlignment="0" applyProtection="0"/>
    <xf numFmtId="0" fontId="86" fillId="0" borderId="9" applyNumberFormat="0" applyFill="0" applyAlignment="0" applyProtection="0"/>
    <xf numFmtId="0" fontId="87" fillId="0" borderId="10"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10" fontId="67" fillId="26" borderId="11" applyNumberFormat="0" applyBorder="0" applyAlignment="0" applyProtection="0"/>
    <xf numFmtId="0" fontId="79" fillId="8" borderId="1" applyNumberFormat="0" applyAlignment="0" applyProtection="0"/>
    <xf numFmtId="174" fontId="48" fillId="0" borderId="0">
      <alignment horizontal="center"/>
      <protection locked="0"/>
    </xf>
    <xf numFmtId="0" fontId="89" fillId="0" borderId="12" applyNumberFormat="0" applyFill="0" applyAlignment="0" applyProtection="0"/>
    <xf numFmtId="0" fontId="90" fillId="27" borderId="0" applyNumberFormat="0" applyBorder="0" applyAlignment="0" applyProtection="0"/>
    <xf numFmtId="37" fontId="101" fillId="0" borderId="0"/>
    <xf numFmtId="182" fontId="102" fillId="0" borderId="0"/>
    <xf numFmtId="0" fontId="42" fillId="0" borderId="0"/>
    <xf numFmtId="0" fontId="44" fillId="0" borderId="0"/>
    <xf numFmtId="0" fontId="44" fillId="0" borderId="0"/>
    <xf numFmtId="0" fontId="44" fillId="0" borderId="0"/>
    <xf numFmtId="0" fontId="44" fillId="0" borderId="0"/>
    <xf numFmtId="0" fontId="42" fillId="0" borderId="0"/>
    <xf numFmtId="0" fontId="44" fillId="0" borderId="0"/>
    <xf numFmtId="0" fontId="41" fillId="0" borderId="0"/>
    <xf numFmtId="0" fontId="42" fillId="0" borderId="0"/>
    <xf numFmtId="0" fontId="41" fillId="0" borderId="0"/>
    <xf numFmtId="0" fontId="41" fillId="0" borderId="0"/>
    <xf numFmtId="0" fontId="44" fillId="0" borderId="0">
      <alignment vertical="top"/>
    </xf>
    <xf numFmtId="0" fontId="44" fillId="0" borderId="0"/>
    <xf numFmtId="0" fontId="44" fillId="0" borderId="0">
      <alignment vertical="top"/>
    </xf>
    <xf numFmtId="0" fontId="41" fillId="0" borderId="0"/>
    <xf numFmtId="0" fontId="42" fillId="0" borderId="0"/>
    <xf numFmtId="0" fontId="42" fillId="0" borderId="0"/>
    <xf numFmtId="176" fontId="44" fillId="0" borderId="0"/>
    <xf numFmtId="0" fontId="41" fillId="0" borderId="0"/>
    <xf numFmtId="176" fontId="44" fillId="0" borderId="0"/>
    <xf numFmtId="0" fontId="41" fillId="0" borderId="0"/>
    <xf numFmtId="0" fontId="91" fillId="0" borderId="0"/>
    <xf numFmtId="0" fontId="44" fillId="0" borderId="0"/>
    <xf numFmtId="0" fontId="107" fillId="0" borderId="0"/>
    <xf numFmtId="0" fontId="107" fillId="0" borderId="0"/>
    <xf numFmtId="0" fontId="44" fillId="0" borderId="0"/>
    <xf numFmtId="0" fontId="44" fillId="0" borderId="0"/>
    <xf numFmtId="0" fontId="107" fillId="0" borderId="0"/>
    <xf numFmtId="0" fontId="107" fillId="0" borderId="0"/>
    <xf numFmtId="0" fontId="54" fillId="0" borderId="0"/>
    <xf numFmtId="0" fontId="54" fillId="0" borderId="0"/>
    <xf numFmtId="0" fontId="44" fillId="0" borderId="0"/>
    <xf numFmtId="0" fontId="44" fillId="0" borderId="0"/>
    <xf numFmtId="176" fontId="44" fillId="0" borderId="0"/>
    <xf numFmtId="176" fontId="44" fillId="0" borderId="0"/>
    <xf numFmtId="0" fontId="44" fillId="0" borderId="0"/>
    <xf numFmtId="0" fontId="44" fillId="0" borderId="0"/>
    <xf numFmtId="0" fontId="44" fillId="0" borderId="0"/>
    <xf numFmtId="0" fontId="107" fillId="0" borderId="0"/>
    <xf numFmtId="169" fontId="55" fillId="0" borderId="0" applyProtection="0"/>
    <xf numFmtId="0" fontId="108" fillId="0" borderId="0"/>
    <xf numFmtId="0" fontId="109" fillId="0" borderId="0"/>
    <xf numFmtId="0" fontId="109" fillId="0" borderId="0"/>
    <xf numFmtId="0" fontId="110" fillId="0" borderId="0"/>
    <xf numFmtId="0" fontId="7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4" fillId="0" borderId="0"/>
    <xf numFmtId="0" fontId="44" fillId="0" borderId="0"/>
    <xf numFmtId="0" fontId="44" fillId="0" borderId="0">
      <alignment vertical="top"/>
    </xf>
    <xf numFmtId="0" fontId="44" fillId="0" borderId="0"/>
    <xf numFmtId="0" fontId="107" fillId="0" borderId="0"/>
    <xf numFmtId="0" fontId="44" fillId="0" borderId="0"/>
    <xf numFmtId="0" fontId="44" fillId="0" borderId="0"/>
    <xf numFmtId="0" fontId="44" fillId="0" borderId="0"/>
    <xf numFmtId="0" fontId="41" fillId="0" borderId="0"/>
    <xf numFmtId="0" fontId="10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4" fillId="0" borderId="0"/>
    <xf numFmtId="0" fontId="44" fillId="0" borderId="0"/>
    <xf numFmtId="0" fontId="44" fillId="0" borderId="0"/>
    <xf numFmtId="0" fontId="44" fillId="0" borderId="0"/>
    <xf numFmtId="0" fontId="44" fillId="0" borderId="0"/>
    <xf numFmtId="165"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2" fillId="0" borderId="0"/>
    <xf numFmtId="0" fontId="44" fillId="0" borderId="0"/>
    <xf numFmtId="0" fontId="44" fillId="0" borderId="0"/>
    <xf numFmtId="0" fontId="44" fillId="0" borderId="0"/>
    <xf numFmtId="0" fontId="44" fillId="0" borderId="0"/>
    <xf numFmtId="0" fontId="4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2" fillId="0" borderId="0"/>
    <xf numFmtId="0" fontId="42" fillId="0" borderId="0"/>
    <xf numFmtId="0" fontId="44" fillId="0" borderId="0"/>
    <xf numFmtId="0" fontId="41" fillId="0" borderId="0"/>
    <xf numFmtId="0" fontId="44" fillId="0" borderId="0"/>
    <xf numFmtId="0" fontId="44" fillId="0" borderId="0"/>
    <xf numFmtId="0" fontId="42" fillId="0" borderId="0"/>
    <xf numFmtId="0" fontId="42" fillId="0" borderId="0"/>
    <xf numFmtId="0" fontId="44" fillId="0" borderId="0"/>
    <xf numFmtId="0" fontId="41" fillId="0" borderId="0"/>
    <xf numFmtId="0" fontId="44" fillId="0" borderId="0"/>
    <xf numFmtId="0" fontId="44" fillId="0" borderId="0"/>
    <xf numFmtId="169" fontId="55" fillId="0" borderId="0" applyProtection="0"/>
    <xf numFmtId="0" fontId="44" fillId="0" borderId="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44"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183" fontId="103" fillId="28" borderId="0"/>
    <xf numFmtId="0" fontId="81" fillId="12" borderId="14" applyNumberFormat="0" applyAlignment="0" applyProtection="0"/>
    <xf numFmtId="0" fontId="98" fillId="0" borderId="0"/>
    <xf numFmtId="9" fontId="44" fillId="0" borderId="0" applyFont="0" applyFill="0" applyBorder="0" applyAlignment="0" applyProtection="0"/>
    <xf numFmtId="184" fontId="71" fillId="0" borderId="0" applyFont="0" applyFill="0" applyBorder="0" applyAlignment="0" applyProtection="0"/>
    <xf numFmtId="10" fontId="44" fillId="0" borderId="0" applyFont="0" applyFill="0" applyBorder="0" applyAlignment="0" applyProtection="0"/>
    <xf numFmtId="9" fontId="5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65"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15"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0" fontId="72" fillId="0" borderId="7">
      <alignment horizontal="center"/>
    </xf>
    <xf numFmtId="3" fontId="71" fillId="0" borderId="0" applyFont="0" applyFill="0" applyBorder="0" applyAlignment="0" applyProtection="0"/>
    <xf numFmtId="0" fontId="71" fillId="29" borderId="0" applyNumberFormat="0" applyFont="0" applyBorder="0" applyAlignment="0" applyProtection="0"/>
    <xf numFmtId="0" fontId="44" fillId="0" borderId="0" applyNumberFormat="0" applyFill="0" applyBorder="0" applyAlignment="0" applyProtection="0"/>
    <xf numFmtId="0" fontId="44" fillId="30" borderId="14" applyNumberFormat="0" applyProtection="0">
      <alignment horizontal="left" vertical="center" indent="1"/>
    </xf>
    <xf numFmtId="4" fontId="64" fillId="31" borderId="14" applyNumberFormat="0" applyProtection="0">
      <alignment horizontal="right" vertical="center"/>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57" fillId="32" borderId="0"/>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175" fontId="44" fillId="0" borderId="0">
      <alignment horizontal="left" wrapText="1"/>
    </xf>
    <xf numFmtId="0" fontId="44" fillId="24" borderId="3" applyNumberFormat="0" applyFont="0" applyAlignment="0"/>
    <xf numFmtId="0" fontId="53" fillId="0" borderId="0" applyFill="0" applyBorder="0" applyProtection="0">
      <alignment horizontal="left" vertical="top"/>
    </xf>
    <xf numFmtId="40" fontId="104" fillId="0" borderId="0"/>
    <xf numFmtId="0" fontId="92" fillId="0" borderId="0" applyNumberFormat="0" applyFill="0" applyBorder="0" applyAlignment="0" applyProtection="0"/>
    <xf numFmtId="0" fontId="82" fillId="0" borderId="15" applyNumberFormat="0" applyFill="0" applyAlignment="0" applyProtection="0"/>
    <xf numFmtId="0" fontId="80" fillId="0" borderId="0" applyNumberFormat="0" applyFill="0" applyBorder="0" applyAlignment="0" applyProtection="0"/>
    <xf numFmtId="43" fontId="38" fillId="0" borderId="0" applyFont="0" applyFill="0" applyBorder="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0" fontId="83" fillId="12" borderId="1" applyNumberFormat="0" applyAlignment="0" applyProtection="0"/>
    <xf numFmtId="41" fontId="4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11" fillId="0" borderId="0" applyFont="0" applyFill="0" applyBorder="0" applyAlignment="0" applyProtection="0"/>
    <xf numFmtId="43" fontId="44" fillId="0" borderId="0" applyNumberForma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112"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86" fontId="113" fillId="0" borderId="0" applyFont="0" applyFill="0" applyBorder="0" applyProtection="0">
      <alignment horizontal="right"/>
    </xf>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187" fontId="66" fillId="0" borderId="0" applyNumberFormat="0" applyFill="0" applyBorder="0" applyAlignment="0" applyProtection="0"/>
    <xf numFmtId="37" fontId="114" fillId="0" borderId="0" applyNumberFormat="0" applyFill="0" applyBorder="0"/>
    <xf numFmtId="0" fontId="67" fillId="0" borderId="48" applyNumberFormat="0" applyBorder="0" applyAlignment="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1" fillId="0" borderId="0"/>
    <xf numFmtId="0" fontId="1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4" fillId="0" borderId="0"/>
    <xf numFmtId="0" fontId="71" fillId="0" borderId="0"/>
    <xf numFmtId="0" fontId="71" fillId="0" borderId="0"/>
    <xf numFmtId="165" fontId="48" fillId="0" borderId="0"/>
    <xf numFmtId="165" fontId="4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44"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67" fillId="6" borderId="13" applyNumberFormat="0" applyFon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0" fontId="81" fillId="12" borderId="14" applyNumberFormat="0" applyAlignment="0" applyProtection="0"/>
    <xf numFmtId="12" fontId="46" fillId="38" borderId="7">
      <alignment horizontal="left"/>
    </xf>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72" fillId="0" borderId="7">
      <alignment horizontal="center"/>
    </xf>
    <xf numFmtId="4" fontId="74" fillId="27" borderId="49" applyNumberFormat="0" applyProtection="0">
      <alignment vertical="center"/>
    </xf>
    <xf numFmtId="4" fontId="115" fillId="34" borderId="49" applyNumberFormat="0" applyProtection="0">
      <alignment vertical="center"/>
    </xf>
    <xf numFmtId="4" fontId="74" fillId="34" borderId="49" applyNumberFormat="0" applyProtection="0">
      <alignment vertical="center"/>
    </xf>
    <xf numFmtId="4" fontId="74" fillId="34" borderId="49" applyNumberFormat="0" applyProtection="0">
      <alignment horizontal="left" vertical="center" indent="1"/>
    </xf>
    <xf numFmtId="4" fontId="74" fillId="34" borderId="49" applyNumberFormat="0" applyProtection="0">
      <alignment horizontal="left" vertical="center" indent="1"/>
    </xf>
    <xf numFmtId="4" fontId="74" fillId="34" borderId="49" applyNumberFormat="0" applyProtection="0">
      <alignment horizontal="left" vertical="center" indent="1"/>
    </xf>
    <xf numFmtId="4" fontId="74" fillId="34" borderId="49" applyNumberFormat="0" applyProtection="0">
      <alignment horizontal="left" vertical="center" indent="1"/>
    </xf>
    <xf numFmtId="4" fontId="74" fillId="34" borderId="49" applyNumberFormat="0" applyProtection="0">
      <alignment horizontal="left" vertical="center" indent="1"/>
    </xf>
    <xf numFmtId="4" fontId="74" fillId="34" borderId="49" applyNumberFormat="0" applyProtection="0">
      <alignment horizontal="left" vertical="center" indent="1"/>
    </xf>
    <xf numFmtId="0" fontId="74" fillId="34" borderId="49" applyNumberFormat="0" applyProtection="0">
      <alignment horizontal="left" vertical="top"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4" fontId="74" fillId="39" borderId="49" applyNumberFormat="0" applyProtection="0"/>
    <xf numFmtId="4" fontId="64" fillId="5" borderId="49" applyNumberFormat="0" applyProtection="0">
      <alignment horizontal="right" vertical="center"/>
    </xf>
    <xf numFmtId="4" fontId="64" fillId="4" borderId="49" applyNumberFormat="0" applyProtection="0">
      <alignment horizontal="right" vertical="center"/>
    </xf>
    <xf numFmtId="4" fontId="64" fillId="19" borderId="49" applyNumberFormat="0" applyProtection="0">
      <alignment horizontal="right" vertical="center"/>
    </xf>
    <xf numFmtId="4" fontId="64" fillId="13" borderId="49" applyNumberFormat="0" applyProtection="0">
      <alignment horizontal="right" vertical="center"/>
    </xf>
    <xf numFmtId="4" fontId="64" fillId="17" borderId="49" applyNumberFormat="0" applyProtection="0">
      <alignment horizontal="right" vertical="center"/>
    </xf>
    <xf numFmtId="4" fontId="64" fillId="21" borderId="49" applyNumberFormat="0" applyProtection="0">
      <alignment horizontal="right" vertical="center"/>
    </xf>
    <xf numFmtId="4" fontId="64" fillId="20" borderId="49" applyNumberFormat="0" applyProtection="0">
      <alignment horizontal="right" vertical="center"/>
    </xf>
    <xf numFmtId="4" fontId="64" fillId="40" borderId="49" applyNumberFormat="0" applyProtection="0">
      <alignment horizontal="right" vertical="center"/>
    </xf>
    <xf numFmtId="4" fontId="64" fillId="11" borderId="49" applyNumberFormat="0" applyProtection="0">
      <alignment horizontal="right" vertical="center"/>
    </xf>
    <xf numFmtId="4" fontId="74" fillId="41" borderId="50" applyNumberFormat="0" applyProtection="0">
      <alignment horizontal="left" vertical="center" indent="1"/>
    </xf>
    <xf numFmtId="4" fontId="64" fillId="42" borderId="0" applyNumberFormat="0" applyProtection="0">
      <alignment horizontal="left" vertical="center" indent="1"/>
    </xf>
    <xf numFmtId="4" fontId="64" fillId="42" borderId="0" applyNumberFormat="0" applyProtection="0">
      <alignment horizontal="left" indent="1"/>
    </xf>
    <xf numFmtId="4" fontId="64" fillId="42" borderId="0" applyNumberFormat="0" applyProtection="0">
      <alignment horizontal="left" indent="1"/>
    </xf>
    <xf numFmtId="4" fontId="64" fillId="42" borderId="0" applyNumberFormat="0" applyProtection="0">
      <alignment horizontal="left" indent="1"/>
    </xf>
    <xf numFmtId="4" fontId="64" fillId="42" borderId="0" applyNumberFormat="0" applyProtection="0">
      <alignment horizontal="left" indent="1"/>
    </xf>
    <xf numFmtId="4" fontId="64" fillId="42" borderId="0" applyNumberFormat="0" applyProtection="0">
      <alignment horizontal="left" indent="1"/>
    </xf>
    <xf numFmtId="4" fontId="64" fillId="42" borderId="0" applyNumberFormat="0" applyProtection="0">
      <alignment horizontal="left" indent="1"/>
    </xf>
    <xf numFmtId="4" fontId="116" fillId="43" borderId="0" applyNumberFormat="0" applyProtection="0">
      <alignment horizontal="left" vertical="center" indent="1"/>
    </xf>
    <xf numFmtId="4" fontId="116" fillId="43" borderId="0" applyNumberFormat="0" applyProtection="0">
      <alignment horizontal="left" vertical="center" indent="1"/>
    </xf>
    <xf numFmtId="4" fontId="116" fillId="43" borderId="0" applyNumberFormat="0" applyProtection="0">
      <alignment horizontal="left" vertical="center" indent="1"/>
    </xf>
    <xf numFmtId="4" fontId="116" fillId="43" borderId="0" applyNumberFormat="0" applyProtection="0">
      <alignment horizontal="left" vertical="center" indent="1"/>
    </xf>
    <xf numFmtId="4" fontId="116" fillId="43" borderId="0" applyNumberFormat="0" applyProtection="0">
      <alignment horizontal="left" vertical="center" indent="1"/>
    </xf>
    <xf numFmtId="4" fontId="64" fillId="44" borderId="49" applyNumberFormat="0" applyProtection="0">
      <alignment horizontal="right" vertical="center"/>
    </xf>
    <xf numFmtId="4" fontId="117" fillId="0" borderId="0" applyNumberFormat="0" applyProtection="0">
      <alignment horizontal="left" vertical="center" indent="1"/>
    </xf>
    <xf numFmtId="4" fontId="118" fillId="45" borderId="0" applyNumberFormat="0" applyProtection="0">
      <alignment horizontal="left" indent="1"/>
    </xf>
    <xf numFmtId="4" fontId="118" fillId="45" borderId="0" applyNumberFormat="0" applyProtection="0">
      <alignment horizontal="left" indent="1"/>
    </xf>
    <xf numFmtId="4" fontId="118" fillId="45" borderId="0" applyNumberFormat="0" applyProtection="0">
      <alignment horizontal="left" indent="1"/>
    </xf>
    <xf numFmtId="4" fontId="118" fillId="45" borderId="0" applyNumberFormat="0" applyProtection="0">
      <alignment horizontal="left" indent="1"/>
    </xf>
    <xf numFmtId="4" fontId="118" fillId="45" borderId="0" applyNumberFormat="0" applyProtection="0">
      <alignment horizontal="left" indent="1"/>
    </xf>
    <xf numFmtId="4" fontId="118" fillId="45" borderId="0" applyNumberFormat="0" applyProtection="0">
      <alignment horizontal="left" indent="1"/>
    </xf>
    <xf numFmtId="4" fontId="118" fillId="45" borderId="0" applyNumberFormat="0" applyProtection="0">
      <alignment horizontal="left" indent="1"/>
    </xf>
    <xf numFmtId="4" fontId="119" fillId="0" borderId="0" applyNumberFormat="0" applyProtection="0">
      <alignment horizontal="left" vertical="center" indent="1"/>
    </xf>
    <xf numFmtId="4" fontId="119" fillId="46" borderId="0" applyNumberFormat="0" applyProtection="0"/>
    <xf numFmtId="4" fontId="119" fillId="46" borderId="0" applyNumberFormat="0" applyProtection="0"/>
    <xf numFmtId="4" fontId="119" fillId="46" borderId="0" applyNumberFormat="0" applyProtection="0"/>
    <xf numFmtId="4" fontId="119" fillId="46" borderId="0" applyNumberFormat="0" applyProtection="0"/>
    <xf numFmtId="4" fontId="119" fillId="46" borderId="0" applyNumberFormat="0" applyProtection="0"/>
    <xf numFmtId="4" fontId="119" fillId="46" borderId="0" applyNumberFormat="0" applyProtection="0"/>
    <xf numFmtId="4" fontId="119" fillId="46" borderId="0" applyNumberFormat="0" applyProtection="0"/>
    <xf numFmtId="0" fontId="44" fillId="43" borderId="49" applyNumberFormat="0" applyProtection="0">
      <alignment horizontal="left" vertical="center" indent="1"/>
    </xf>
    <xf numFmtId="0" fontId="44" fillId="43" borderId="49" applyNumberFormat="0" applyProtection="0">
      <alignment horizontal="left" vertical="center" indent="1"/>
    </xf>
    <xf numFmtId="0" fontId="44" fillId="43" borderId="49" applyNumberFormat="0" applyProtection="0">
      <alignment horizontal="left" vertical="center" indent="1"/>
    </xf>
    <xf numFmtId="0" fontId="44" fillId="43" borderId="49" applyNumberFormat="0" applyProtection="0">
      <alignment horizontal="left" vertical="center" indent="1"/>
    </xf>
    <xf numFmtId="0" fontId="44" fillId="43" borderId="49" applyNumberFormat="0" applyProtection="0">
      <alignment horizontal="left" vertical="center" indent="1"/>
    </xf>
    <xf numFmtId="0" fontId="44" fillId="43" borderId="49" applyNumberFormat="0" applyProtection="0">
      <alignment horizontal="left" vertical="top" indent="1"/>
    </xf>
    <xf numFmtId="0" fontId="44" fillId="43" borderId="49" applyNumberFormat="0" applyProtection="0">
      <alignment horizontal="left" vertical="top" indent="1"/>
    </xf>
    <xf numFmtId="0" fontId="44" fillId="43" borderId="49" applyNumberFormat="0" applyProtection="0">
      <alignment horizontal="left" vertical="top" indent="1"/>
    </xf>
    <xf numFmtId="0" fontId="44" fillId="43" borderId="49" applyNumberFormat="0" applyProtection="0">
      <alignment horizontal="left" vertical="top" indent="1"/>
    </xf>
    <xf numFmtId="0" fontId="44" fillId="43" borderId="49" applyNumberFormat="0" applyProtection="0">
      <alignment horizontal="left" vertical="top" indent="1"/>
    </xf>
    <xf numFmtId="0" fontId="44" fillId="39" borderId="49" applyNumberFormat="0" applyProtection="0">
      <alignment horizontal="left" vertical="center" indent="1"/>
    </xf>
    <xf numFmtId="0" fontId="44" fillId="39" borderId="49" applyNumberFormat="0" applyProtection="0">
      <alignment horizontal="left" vertical="center" indent="1"/>
    </xf>
    <xf numFmtId="0" fontId="44" fillId="39" borderId="49" applyNumberFormat="0" applyProtection="0">
      <alignment horizontal="left" vertical="center" indent="1"/>
    </xf>
    <xf numFmtId="0" fontId="44" fillId="39" borderId="49" applyNumberFormat="0" applyProtection="0">
      <alignment horizontal="left" vertical="center" indent="1"/>
    </xf>
    <xf numFmtId="0" fontId="44" fillId="39" borderId="49" applyNumberFormat="0" applyProtection="0">
      <alignment horizontal="left" vertical="center" indent="1"/>
    </xf>
    <xf numFmtId="0" fontId="44" fillId="39" borderId="49" applyNumberFormat="0" applyProtection="0">
      <alignment horizontal="left" vertical="top" indent="1"/>
    </xf>
    <xf numFmtId="0" fontId="44" fillId="39" borderId="49" applyNumberFormat="0" applyProtection="0">
      <alignment horizontal="left" vertical="top" indent="1"/>
    </xf>
    <xf numFmtId="0" fontId="44" fillId="39" borderId="49" applyNumberFormat="0" applyProtection="0">
      <alignment horizontal="left" vertical="top" indent="1"/>
    </xf>
    <xf numFmtId="0" fontId="44" fillId="39" borderId="49" applyNumberFormat="0" applyProtection="0">
      <alignment horizontal="left" vertical="top" indent="1"/>
    </xf>
    <xf numFmtId="0" fontId="44" fillId="39" borderId="49" applyNumberFormat="0" applyProtection="0">
      <alignment horizontal="left" vertical="top" indent="1"/>
    </xf>
    <xf numFmtId="0" fontId="44" fillId="36" borderId="49" applyNumberFormat="0" applyProtection="0">
      <alignment horizontal="left" vertical="center" indent="1"/>
    </xf>
    <xf numFmtId="0" fontId="44" fillId="36" borderId="49" applyNumberFormat="0" applyProtection="0">
      <alignment horizontal="left" vertical="center" indent="1"/>
    </xf>
    <xf numFmtId="0" fontId="44" fillId="36" borderId="49" applyNumberFormat="0" applyProtection="0">
      <alignment horizontal="left" vertical="center" indent="1"/>
    </xf>
    <xf numFmtId="0" fontId="44" fillId="36" borderId="49" applyNumberFormat="0" applyProtection="0">
      <alignment horizontal="left" vertical="center" indent="1"/>
    </xf>
    <xf numFmtId="0" fontId="44" fillId="36" borderId="49" applyNumberFormat="0" applyProtection="0">
      <alignment horizontal="left" vertical="center" indent="1"/>
    </xf>
    <xf numFmtId="0" fontId="44" fillId="36" borderId="49" applyNumberFormat="0" applyProtection="0">
      <alignment horizontal="left" vertical="top" indent="1"/>
    </xf>
    <xf numFmtId="0" fontId="44" fillId="36" borderId="49" applyNumberFormat="0" applyProtection="0">
      <alignment horizontal="left" vertical="top" indent="1"/>
    </xf>
    <xf numFmtId="0" fontId="44" fillId="36" borderId="49" applyNumberFormat="0" applyProtection="0">
      <alignment horizontal="left" vertical="top" indent="1"/>
    </xf>
    <xf numFmtId="0" fontId="44" fillId="36" borderId="49" applyNumberFormat="0" applyProtection="0">
      <alignment horizontal="left" vertical="top" indent="1"/>
    </xf>
    <xf numFmtId="0" fontId="44" fillId="36" borderId="49" applyNumberFormat="0" applyProtection="0">
      <alignment horizontal="left" vertical="top" indent="1"/>
    </xf>
    <xf numFmtId="0" fontId="44" fillId="47" borderId="49" applyNumberFormat="0" applyProtection="0">
      <alignment horizontal="left" vertical="center" indent="1"/>
    </xf>
    <xf numFmtId="0" fontId="44" fillId="47" borderId="49" applyNumberFormat="0" applyProtection="0">
      <alignment horizontal="left" vertical="center" indent="1"/>
    </xf>
    <xf numFmtId="0" fontId="44" fillId="47" borderId="49" applyNumberFormat="0" applyProtection="0">
      <alignment horizontal="left" vertical="center" indent="1"/>
    </xf>
    <xf numFmtId="0" fontId="44" fillId="47" borderId="49" applyNumberFormat="0" applyProtection="0">
      <alignment horizontal="left" vertical="center" indent="1"/>
    </xf>
    <xf numFmtId="0" fontId="44" fillId="47" borderId="49" applyNumberFormat="0" applyProtection="0">
      <alignment horizontal="left" vertical="center" indent="1"/>
    </xf>
    <xf numFmtId="0" fontId="44" fillId="47" borderId="49" applyNumberFormat="0" applyProtection="0">
      <alignment horizontal="left" vertical="top" indent="1"/>
    </xf>
    <xf numFmtId="0" fontId="44" fillId="47" borderId="49" applyNumberFormat="0" applyProtection="0">
      <alignment horizontal="left" vertical="top" indent="1"/>
    </xf>
    <xf numFmtId="0" fontId="44" fillId="47" borderId="49" applyNumberFormat="0" applyProtection="0">
      <alignment horizontal="left" vertical="top" indent="1"/>
    </xf>
    <xf numFmtId="0" fontId="44" fillId="47" borderId="49" applyNumberFormat="0" applyProtection="0">
      <alignment horizontal="left" vertical="top" indent="1"/>
    </xf>
    <xf numFmtId="0" fontId="44" fillId="47" borderId="49" applyNumberFormat="0" applyProtection="0">
      <alignment horizontal="left" vertical="top" indent="1"/>
    </xf>
    <xf numFmtId="4" fontId="64" fillId="26" borderId="49" applyNumberFormat="0" applyProtection="0">
      <alignment vertical="center"/>
    </xf>
    <xf numFmtId="4" fontId="120" fillId="26" borderId="49" applyNumberFormat="0" applyProtection="0">
      <alignment vertical="center"/>
    </xf>
    <xf numFmtId="4" fontId="64" fillId="26" borderId="49" applyNumberFormat="0" applyProtection="0">
      <alignment horizontal="left" vertical="center" indent="1"/>
    </xf>
    <xf numFmtId="0" fontId="64" fillId="26" borderId="49" applyNumberFormat="0" applyProtection="0">
      <alignment horizontal="left" vertical="top" indent="1"/>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31" borderId="14" applyNumberFormat="0" applyProtection="0">
      <alignment horizontal="right" vertical="center"/>
    </xf>
    <xf numFmtId="4" fontId="64" fillId="0" borderId="49" applyNumberFormat="0" applyProtection="0">
      <alignment horizontal="right" vertical="center"/>
    </xf>
    <xf numFmtId="4" fontId="120" fillId="42" borderId="49" applyNumberFormat="0" applyProtection="0">
      <alignment horizontal="right" vertical="center"/>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4" fontId="64" fillId="44" borderId="49"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4" fontId="64" fillId="0" borderId="49"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44" fillId="30" borderId="14" applyNumberFormat="0" applyProtection="0">
      <alignment horizontal="left" vertical="center" indent="1"/>
    </xf>
    <xf numFmtId="0" fontId="64" fillId="39" borderId="49" applyNumberFormat="0" applyProtection="0">
      <alignment horizontal="left" vertical="top"/>
    </xf>
    <xf numFmtId="4" fontId="60" fillId="0" borderId="0" applyNumberFormat="0" applyProtection="0">
      <alignment horizontal="left" vertical="center"/>
    </xf>
    <xf numFmtId="4" fontId="57" fillId="48" borderId="0" applyNumberFormat="0" applyProtection="0">
      <alignment horizontal="left"/>
    </xf>
    <xf numFmtId="4" fontId="57" fillId="48" borderId="0" applyNumberFormat="0" applyProtection="0">
      <alignment horizontal="left"/>
    </xf>
    <xf numFmtId="4" fontId="57" fillId="48" borderId="0" applyNumberFormat="0" applyProtection="0">
      <alignment horizontal="left"/>
    </xf>
    <xf numFmtId="4" fontId="57" fillId="48" borderId="0" applyNumberFormat="0" applyProtection="0">
      <alignment horizontal="left"/>
    </xf>
    <xf numFmtId="4" fontId="57" fillId="48" borderId="0" applyNumberFormat="0" applyProtection="0">
      <alignment horizontal="left"/>
    </xf>
    <xf numFmtId="4" fontId="57" fillId="48" borderId="0" applyNumberFormat="0" applyProtection="0">
      <alignment horizontal="left"/>
    </xf>
    <xf numFmtId="4" fontId="57" fillId="48" borderId="0" applyNumberFormat="0" applyProtection="0">
      <alignment horizontal="left"/>
    </xf>
    <xf numFmtId="4" fontId="47" fillId="42" borderId="49" applyNumberFormat="0" applyProtection="0">
      <alignment horizontal="right" vertical="center"/>
    </xf>
    <xf numFmtId="188" fontId="44" fillId="0" borderId="0" applyFill="0" applyBorder="0" applyAlignment="0" applyProtection="0">
      <alignment wrapText="1"/>
    </xf>
    <xf numFmtId="0" fontId="45" fillId="0" borderId="0" applyNumberFormat="0" applyFill="0" applyBorder="0">
      <alignment horizontal="center" wrapText="1"/>
    </xf>
    <xf numFmtId="0" fontId="45" fillId="0" borderId="0" applyNumberFormat="0" applyFill="0" applyBorder="0">
      <alignment horizontal="center" wrapText="1"/>
    </xf>
    <xf numFmtId="0" fontId="45" fillId="0" borderId="11">
      <alignment horizontal="center" vertical="center" wrapText="1"/>
    </xf>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37" fontId="67" fillId="34" borderId="0" applyNumberFormat="0" applyBorder="0" applyAlignment="0" applyProtection="0"/>
    <xf numFmtId="37" fontId="67" fillId="0" borderId="0"/>
    <xf numFmtId="3" fontId="121" fillId="49" borderId="51" applyProtection="0"/>
    <xf numFmtId="0" fontId="71" fillId="0" borderId="0"/>
    <xf numFmtId="0" fontId="39" fillId="0" borderId="0"/>
    <xf numFmtId="0" fontId="37" fillId="0" borderId="0"/>
    <xf numFmtId="0" fontId="37" fillId="0" borderId="0"/>
    <xf numFmtId="0" fontId="37" fillId="0" borderId="0"/>
    <xf numFmtId="0" fontId="44" fillId="0" borderId="0"/>
    <xf numFmtId="0" fontId="108" fillId="0" borderId="0"/>
    <xf numFmtId="0" fontId="44" fillId="0" borderId="0">
      <alignment vertical="top"/>
    </xf>
    <xf numFmtId="9" fontId="55" fillId="0" borderId="0" applyFont="0" applyFill="0" applyBorder="0" applyAlignment="0" applyProtection="0"/>
    <xf numFmtId="0" fontId="36" fillId="0" borderId="0"/>
    <xf numFmtId="0" fontId="39" fillId="0" borderId="0"/>
    <xf numFmtId="0" fontId="36" fillId="0" borderId="0"/>
    <xf numFmtId="0" fontId="36" fillId="0" borderId="0"/>
    <xf numFmtId="44" fontId="108" fillId="0" borderId="0" applyFont="0" applyFill="0" applyBorder="0" applyAlignment="0" applyProtection="0"/>
    <xf numFmtId="0" fontId="35" fillId="0" borderId="0"/>
    <xf numFmtId="43" fontId="35" fillId="0" borderId="0" applyFont="0" applyFill="0" applyBorder="0" applyAlignment="0" applyProtection="0"/>
    <xf numFmtId="43" fontId="127" fillId="0" borderId="0" applyFont="0" applyFill="0" applyBorder="0" applyAlignment="0" applyProtection="0"/>
    <xf numFmtId="9" fontId="127" fillId="0" borderId="0" applyFont="0" applyFill="0" applyBorder="0" applyAlignment="0" applyProtection="0"/>
    <xf numFmtId="0" fontId="39" fillId="3" borderId="0" applyNumberFormat="0" applyBorder="0" applyAlignment="0" applyProtection="0"/>
    <xf numFmtId="0" fontId="39" fillId="5"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2" borderId="0" applyNumberFormat="0" applyBorder="0" applyAlignment="0" applyProtection="0"/>
    <xf numFmtId="0" fontId="39" fillId="13" borderId="0" applyNumberFormat="0" applyBorder="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44" fillId="6" borderId="13" applyNumberFormat="0" applyFont="0" applyAlignment="0" applyProtection="0"/>
    <xf numFmtId="43" fontId="127" fillId="0" borderId="0" applyFont="0" applyFill="0" applyBorder="0" applyAlignment="0" applyProtection="0"/>
    <xf numFmtId="0" fontId="44" fillId="6" borderId="13" applyNumberFormat="0" applyFont="0" applyAlignment="0" applyProtection="0"/>
    <xf numFmtId="0" fontId="44" fillId="0" borderId="0"/>
    <xf numFmtId="0" fontId="79" fillId="8" borderId="1" applyNumberFormat="0" applyAlignment="0" applyProtection="0"/>
    <xf numFmtId="0" fontId="44" fillId="6" borderId="13" applyNumberFormat="0" applyFont="0" applyAlignment="0" applyProtection="0"/>
    <xf numFmtId="9" fontId="127" fillId="0" borderId="0" applyFont="0" applyFill="0" applyBorder="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79" fillId="8" borderId="1" applyNumberFormat="0" applyAlignment="0" applyProtection="0"/>
    <xf numFmtId="0" fontId="44" fillId="6" borderId="13" applyNumberFormat="0" applyFont="0" applyAlignment="0" applyProtection="0"/>
    <xf numFmtId="0" fontId="79" fillId="8" borderId="1" applyNumberFormat="0" applyAlignment="0" applyProtection="0"/>
    <xf numFmtId="0" fontId="44" fillId="6" borderId="13" applyNumberFormat="0" applyFont="0" applyAlignment="0" applyProtection="0"/>
    <xf numFmtId="0" fontId="44" fillId="6" borderId="13" applyNumberFormat="0" applyFont="0" applyAlignment="0" applyProtection="0"/>
    <xf numFmtId="0" fontId="44" fillId="0" borderId="0"/>
    <xf numFmtId="0" fontId="44" fillId="6" borderId="13" applyNumberFormat="0" applyFont="0" applyAlignment="0" applyProtection="0"/>
    <xf numFmtId="0" fontId="44" fillId="0" borderId="0"/>
    <xf numFmtId="0" fontId="44" fillId="6" borderId="13" applyNumberFormat="0" applyFont="0" applyAlignment="0" applyProtection="0"/>
    <xf numFmtId="0" fontId="44" fillId="0" borderId="0"/>
    <xf numFmtId="0" fontId="44" fillId="6" borderId="13" applyNumberFormat="0" applyFont="0" applyAlignment="0" applyProtection="0"/>
    <xf numFmtId="0" fontId="44" fillId="0" borderId="0"/>
    <xf numFmtId="0" fontId="44" fillId="6" borderId="13"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9" fillId="0" borderId="0"/>
    <xf numFmtId="0" fontId="39" fillId="0" borderId="0"/>
    <xf numFmtId="0" fontId="39" fillId="0" borderId="0"/>
    <xf numFmtId="0" fontId="39" fillId="0" borderId="0"/>
    <xf numFmtId="9" fontId="39" fillId="0" borderId="0" applyFont="0" applyFill="0" applyBorder="0" applyAlignment="0" applyProtection="0"/>
    <xf numFmtId="0" fontId="4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4" fillId="0" borderId="0"/>
    <xf numFmtId="0" fontId="34" fillId="0" borderId="0"/>
    <xf numFmtId="0" fontId="4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43"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9" fontId="44" fillId="0" borderId="0" applyFont="0" applyFill="0" applyBorder="0" applyAlignment="0" applyProtection="0"/>
    <xf numFmtId="0" fontId="44" fillId="0" borderId="0"/>
    <xf numFmtId="0" fontId="44" fillId="0" borderId="0"/>
    <xf numFmtId="0" fontId="34" fillId="0" borderId="0"/>
    <xf numFmtId="0" fontId="4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128" fillId="0" borderId="0" applyFont="0" applyFill="0" applyBorder="0" applyAlignment="0" applyProtection="0"/>
    <xf numFmtId="9" fontId="128" fillId="0" borderId="0" applyFont="0" applyFill="0" applyBorder="0" applyAlignment="0" applyProtection="0"/>
    <xf numFmtId="43" fontId="128" fillId="0" borderId="0" applyFont="0" applyFill="0" applyBorder="0" applyAlignment="0" applyProtection="0"/>
    <xf numFmtId="9" fontId="128"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43" fontId="31" fillId="0" borderId="0" applyFont="0" applyFill="0" applyBorder="0" applyAlignment="0" applyProtection="0"/>
    <xf numFmtId="43"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9" fontId="44" fillId="0" borderId="0" applyFont="0" applyFill="0" applyBorder="0" applyAlignment="0" applyProtection="0"/>
    <xf numFmtId="0" fontId="4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169" fontId="55" fillId="0" borderId="0" applyProtection="0"/>
    <xf numFmtId="0" fontId="44" fillId="0" borderId="0"/>
    <xf numFmtId="169" fontId="55" fillId="0" borderId="0" applyProtection="0"/>
    <xf numFmtId="169" fontId="55" fillId="0" borderId="0" applyProtection="0"/>
    <xf numFmtId="0" fontId="55" fillId="0" borderId="0" applyProtection="0"/>
    <xf numFmtId="0" fontId="30" fillId="0" borderId="0"/>
    <xf numFmtId="0" fontId="30" fillId="0" borderId="0"/>
    <xf numFmtId="43" fontId="30"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2065">
    <xf numFmtId="0" fontId="0" fillId="0" borderId="0" xfId="0"/>
    <xf numFmtId="0" fontId="46" fillId="0" borderId="0" xfId="0" applyFont="1"/>
    <xf numFmtId="0" fontId="48" fillId="0" borderId="0" xfId="0" applyFont="1" applyAlignment="1"/>
    <xf numFmtId="0" fontId="46" fillId="0" borderId="17" xfId="0" applyNumberFormat="1" applyFont="1" applyFill="1" applyBorder="1" applyAlignment="1"/>
    <xf numFmtId="0" fontId="46" fillId="0" borderId="17" xfId="0" applyFont="1" applyBorder="1"/>
    <xf numFmtId="0" fontId="46" fillId="0" borderId="0" xfId="0" applyNumberFormat="1" applyFont="1" applyFill="1" applyBorder="1" applyAlignment="1"/>
    <xf numFmtId="0" fontId="48" fillId="0" borderId="0" xfId="0" applyFont="1" applyBorder="1" applyAlignment="1"/>
    <xf numFmtId="0" fontId="48" fillId="0" borderId="0" xfId="0" applyNumberFormat="1" applyFont="1" applyBorder="1" applyAlignment="1">
      <alignment horizontal="center"/>
    </xf>
    <xf numFmtId="0" fontId="48" fillId="0" borderId="0" xfId="0" applyNumberFormat="1" applyFont="1" applyBorder="1" applyAlignment="1">
      <alignment horizontal="left"/>
    </xf>
    <xf numFmtId="0" fontId="48" fillId="0" borderId="0" xfId="0" applyFont="1" applyFill="1" applyBorder="1" applyAlignment="1"/>
    <xf numFmtId="0" fontId="48" fillId="0" borderId="0" xfId="0" applyFont="1" applyBorder="1"/>
    <xf numFmtId="0" fontId="46" fillId="0" borderId="0" xfId="0" applyNumberFormat="1" applyFont="1" applyBorder="1" applyAlignment="1"/>
    <xf numFmtId="0" fontId="48" fillId="0" borderId="18" xfId="0" applyFont="1" applyFill="1" applyBorder="1" applyAlignment="1">
      <alignment horizontal="left"/>
    </xf>
    <xf numFmtId="0" fontId="48" fillId="0" borderId="18" xfId="0" applyNumberFormat="1" applyFont="1" applyBorder="1" applyAlignment="1">
      <alignment horizontal="left"/>
    </xf>
    <xf numFmtId="0" fontId="48" fillId="0" borderId="0" xfId="0" applyFont="1" applyFill="1" applyBorder="1" applyAlignment="1">
      <alignment horizontal="left"/>
    </xf>
    <xf numFmtId="0" fontId="48" fillId="0" borderId="0" xfId="0" applyFont="1" applyFill="1" applyBorder="1"/>
    <xf numFmtId="0" fontId="46" fillId="0" borderId="17" xfId="0" applyFont="1" applyBorder="1" applyAlignment="1"/>
    <xf numFmtId="168" fontId="46" fillId="0" borderId="17" xfId="0" applyNumberFormat="1" applyFont="1" applyBorder="1" applyAlignment="1">
      <alignment horizontal="left"/>
    </xf>
    <xf numFmtId="0" fontId="48" fillId="0" borderId="17" xfId="0" applyFont="1" applyFill="1" applyBorder="1" applyAlignment="1"/>
    <xf numFmtId="0" fontId="59" fillId="0" borderId="0" xfId="0" applyFont="1" applyFill="1" applyBorder="1" applyAlignment="1"/>
    <xf numFmtId="0" fontId="46" fillId="0" borderId="0" xfId="0" applyFont="1" applyBorder="1" applyAlignment="1"/>
    <xf numFmtId="168" fontId="46" fillId="0" borderId="0" xfId="0" applyNumberFormat="1" applyFont="1" applyBorder="1" applyAlignment="1">
      <alignment horizontal="left"/>
    </xf>
    <xf numFmtId="0" fontId="48" fillId="33" borderId="0" xfId="0" applyNumberFormat="1" applyFont="1" applyFill="1" applyAlignment="1">
      <alignment horizontal="center"/>
    </xf>
    <xf numFmtId="0" fontId="59" fillId="33" borderId="0" xfId="0" applyNumberFormat="1" applyFont="1" applyFill="1" applyAlignment="1">
      <alignment horizontal="left"/>
    </xf>
    <xf numFmtId="0" fontId="48" fillId="0" borderId="18" xfId="0" applyNumberFormat="1" applyFont="1" applyFill="1" applyBorder="1" applyAlignment="1">
      <alignment horizontal="left"/>
    </xf>
    <xf numFmtId="0" fontId="46" fillId="0" borderId="0" xfId="0" applyNumberFormat="1" applyFont="1" applyBorder="1" applyAlignment="1">
      <alignment horizontal="left"/>
    </xf>
    <xf numFmtId="0" fontId="48" fillId="0" borderId="18" xfId="0" applyNumberFormat="1" applyFont="1" applyBorder="1" applyAlignment="1">
      <alignment horizontal="center"/>
    </xf>
    <xf numFmtId="0" fontId="48" fillId="0" borderId="0" xfId="0" applyFont="1" applyBorder="1" applyAlignment="1">
      <alignment horizontal="center"/>
    </xf>
    <xf numFmtId="0" fontId="46" fillId="0" borderId="17" xfId="0" applyFont="1" applyBorder="1" applyAlignment="1">
      <alignment horizontal="center"/>
    </xf>
    <xf numFmtId="0" fontId="48" fillId="0" borderId="18" xfId="0" applyNumberFormat="1" applyFont="1" applyFill="1" applyBorder="1" applyAlignment="1">
      <alignment horizontal="center"/>
    </xf>
    <xf numFmtId="0" fontId="48" fillId="0" borderId="18" xfId="0" applyFont="1" applyBorder="1" applyAlignment="1">
      <alignment horizontal="center"/>
    </xf>
    <xf numFmtId="0" fontId="46" fillId="0" borderId="0" xfId="0" applyFont="1" applyBorder="1" applyAlignment="1">
      <alignment horizontal="center"/>
    </xf>
    <xf numFmtId="0" fontId="48" fillId="0" borderId="0" xfId="0" applyNumberFormat="1" applyFont="1" applyFill="1" applyBorder="1" applyAlignment="1">
      <alignment horizontal="center"/>
    </xf>
    <xf numFmtId="0" fontId="50" fillId="0" borderId="0" xfId="0" applyFont="1" applyFill="1" applyBorder="1" applyAlignment="1">
      <alignment horizontal="center"/>
    </xf>
    <xf numFmtId="0" fontId="48" fillId="0" borderId="0" xfId="0" applyFont="1" applyFill="1" applyBorder="1" applyAlignment="1">
      <alignment horizontal="center"/>
    </xf>
    <xf numFmtId="0" fontId="46" fillId="0" borderId="0" xfId="0" applyFont="1" applyFill="1"/>
    <xf numFmtId="0" fontId="46" fillId="0" borderId="0" xfId="0" applyFont="1" applyFill="1" applyBorder="1"/>
    <xf numFmtId="0" fontId="53" fillId="0" borderId="0" xfId="0" applyFont="1"/>
    <xf numFmtId="0" fontId="45" fillId="0" borderId="0" xfId="0" applyFont="1" applyAlignment="1">
      <alignment horizontal="left"/>
    </xf>
    <xf numFmtId="0" fontId="46" fillId="0" borderId="0" xfId="0" applyNumberFormat="1" applyFont="1" applyFill="1" applyBorder="1" applyAlignment="1">
      <alignment horizontal="left"/>
    </xf>
    <xf numFmtId="0" fontId="45" fillId="0" borderId="0" xfId="0" applyFont="1" applyFill="1" applyAlignment="1">
      <alignment horizontal="center"/>
    </xf>
    <xf numFmtId="0" fontId="44" fillId="0" borderId="0" xfId="0" applyFont="1" applyFill="1"/>
    <xf numFmtId="0" fontId="44" fillId="0" borderId="0" xfId="0" applyFont="1"/>
    <xf numFmtId="0" fontId="44" fillId="0" borderId="0" xfId="0" applyFont="1" applyFill="1" applyBorder="1"/>
    <xf numFmtId="0" fontId="45" fillId="0" borderId="0" xfId="0" applyFont="1" applyFill="1" applyBorder="1" applyAlignment="1">
      <alignment horizontal="left"/>
    </xf>
    <xf numFmtId="37" fontId="46" fillId="0" borderId="0" xfId="0" applyNumberFormat="1" applyFont="1" applyBorder="1" applyAlignment="1">
      <alignment horizontal="right"/>
    </xf>
    <xf numFmtId="0" fontId="48" fillId="0" borderId="18" xfId="0" applyNumberFormat="1" applyFont="1" applyBorder="1" applyAlignment="1"/>
    <xf numFmtId="3" fontId="48" fillId="0" borderId="0" xfId="0" applyNumberFormat="1" applyFont="1" applyBorder="1" applyAlignment="1"/>
    <xf numFmtId="3" fontId="48" fillId="0" borderId="0" xfId="0" applyNumberFormat="1" applyFont="1" applyFill="1" applyBorder="1" applyAlignment="1"/>
    <xf numFmtId="0" fontId="46" fillId="0" borderId="0" xfId="0" applyFont="1" applyFill="1" applyBorder="1" applyAlignment="1"/>
    <xf numFmtId="0" fontId="46" fillId="0" borderId="0" xfId="0" applyNumberFormat="1" applyFont="1" applyFill="1" applyBorder="1" applyAlignment="1">
      <alignment horizontal="center"/>
    </xf>
    <xf numFmtId="3" fontId="48" fillId="0" borderId="17" xfId="0" applyNumberFormat="1" applyFont="1" applyFill="1" applyBorder="1" applyAlignment="1">
      <alignment horizontal="center"/>
    </xf>
    <xf numFmtId="0" fontId="48" fillId="0" borderId="0" xfId="0" applyNumberFormat="1" applyFont="1" applyBorder="1" applyAlignment="1"/>
    <xf numFmtId="3" fontId="48" fillId="0" borderId="0" xfId="0" applyNumberFormat="1" applyFont="1" applyBorder="1" applyAlignment="1">
      <alignment horizontal="center"/>
    </xf>
    <xf numFmtId="0" fontId="46" fillId="0" borderId="0" xfId="0" applyFont="1" applyBorder="1" applyAlignment="1">
      <alignment horizontal="left"/>
    </xf>
    <xf numFmtId="3" fontId="48" fillId="0" borderId="17" xfId="0" applyNumberFormat="1" applyFont="1" applyBorder="1" applyAlignment="1">
      <alignment horizontal="center"/>
    </xf>
    <xf numFmtId="0" fontId="48" fillId="0" borderId="0" xfId="0" applyNumberFormat="1" applyFont="1" applyFill="1" applyBorder="1" applyAlignment="1">
      <alignment horizontal="left"/>
    </xf>
    <xf numFmtId="0" fontId="46" fillId="0" borderId="17" xfId="0" applyNumberFormat="1" applyFont="1" applyBorder="1" applyAlignment="1">
      <alignment horizontal="center"/>
    </xf>
    <xf numFmtId="0" fontId="48" fillId="0" borderId="0" xfId="0" applyNumberFormat="1" applyFont="1" applyFill="1" applyBorder="1" applyAlignment="1"/>
    <xf numFmtId="168" fontId="48" fillId="0" borderId="0" xfId="0" applyNumberFormat="1" applyFont="1" applyBorder="1" applyAlignment="1">
      <alignment horizontal="left"/>
    </xf>
    <xf numFmtId="0" fontId="48" fillId="0" borderId="18" xfId="0" applyNumberFormat="1" applyFont="1" applyFill="1" applyBorder="1" applyAlignment="1"/>
    <xf numFmtId="37" fontId="48" fillId="0" borderId="0" xfId="0" applyNumberFormat="1" applyFont="1" applyBorder="1" applyAlignment="1">
      <alignment horizontal="left"/>
    </xf>
    <xf numFmtId="0" fontId="46" fillId="0" borderId="0" xfId="0" applyNumberFormat="1" applyFont="1" applyBorder="1" applyAlignment="1">
      <alignment horizontal="center"/>
    </xf>
    <xf numFmtId="0" fontId="44" fillId="0" borderId="0" xfId="504" applyFont="1"/>
    <xf numFmtId="0" fontId="60" fillId="0" borderId="0" xfId="0" applyFont="1" applyAlignment="1">
      <alignment horizontal="left"/>
    </xf>
    <xf numFmtId="0" fontId="48" fillId="0" borderId="18" xfId="0" applyFont="1" applyFill="1" applyBorder="1" applyAlignment="1"/>
    <xf numFmtId="0" fontId="46" fillId="0" borderId="0" xfId="0" applyFont="1" applyBorder="1"/>
    <xf numFmtId="3" fontId="48" fillId="0" borderId="26" xfId="0" applyNumberFormat="1" applyFont="1" applyFill="1" applyBorder="1"/>
    <xf numFmtId="3" fontId="48" fillId="0" borderId="26" xfId="0" applyNumberFormat="1" applyFont="1" applyFill="1" applyBorder="1" applyAlignment="1"/>
    <xf numFmtId="3" fontId="46" fillId="0" borderId="27" xfId="0" applyNumberFormat="1" applyFont="1" applyFill="1" applyBorder="1" applyAlignment="1"/>
    <xf numFmtId="171" fontId="46" fillId="0" borderId="26" xfId="674" applyNumberFormat="1" applyFont="1" applyBorder="1" applyAlignment="1"/>
    <xf numFmtId="164" fontId="46" fillId="0" borderId="26" xfId="382" applyNumberFormat="1" applyFont="1" applyFill="1" applyBorder="1" applyAlignment="1"/>
    <xf numFmtId="0" fontId="45" fillId="0" borderId="0" xfId="0" applyFont="1" applyFill="1" applyBorder="1"/>
    <xf numFmtId="0" fontId="48" fillId="0" borderId="18" xfId="0" applyFont="1" applyFill="1" applyBorder="1" applyAlignment="1">
      <alignment horizontal="center"/>
    </xf>
    <xf numFmtId="0" fontId="48" fillId="0" borderId="22" xfId="0" applyNumberFormat="1" applyFont="1" applyFill="1" applyBorder="1" applyAlignment="1">
      <alignment horizontal="center"/>
    </xf>
    <xf numFmtId="0" fontId="51" fillId="0" borderId="0" xfId="0" applyFont="1" applyBorder="1" applyAlignment="1"/>
    <xf numFmtId="0" fontId="44" fillId="0" borderId="11" xfId="0" applyFont="1" applyBorder="1"/>
    <xf numFmtId="164" fontId="44" fillId="0" borderId="0" xfId="382" applyNumberFormat="1" applyFont="1" applyFill="1"/>
    <xf numFmtId="0" fontId="44" fillId="0" borderId="0" xfId="504" applyFont="1" applyFill="1"/>
    <xf numFmtId="0" fontId="44" fillId="0" borderId="0" xfId="504" applyFont="1" applyBorder="1"/>
    <xf numFmtId="171" fontId="48" fillId="0" borderId="30" xfId="674" applyNumberFormat="1" applyFont="1" applyFill="1" applyBorder="1" applyAlignment="1"/>
    <xf numFmtId="0" fontId="50" fillId="0" borderId="0" xfId="0" applyFont="1" applyFill="1" applyBorder="1" applyAlignment="1"/>
    <xf numFmtId="0" fontId="45" fillId="0" borderId="0" xfId="504" applyFont="1"/>
    <xf numFmtId="0" fontId="45" fillId="0" borderId="0" xfId="0" applyFont="1"/>
    <xf numFmtId="0" fontId="48" fillId="0" borderId="26" xfId="0" applyFont="1" applyBorder="1"/>
    <xf numFmtId="171" fontId="46" fillId="0" borderId="26" xfId="674" applyNumberFormat="1" applyFont="1" applyFill="1" applyBorder="1" applyAlignment="1"/>
    <xf numFmtId="0" fontId="48" fillId="0" borderId="26" xfId="0" applyFont="1" applyFill="1" applyBorder="1"/>
    <xf numFmtId="0" fontId="48" fillId="0" borderId="26" xfId="0" applyFont="1" applyFill="1" applyBorder="1" applyAlignment="1">
      <alignment horizontal="center" wrapText="1"/>
    </xf>
    <xf numFmtId="3" fontId="46" fillId="0" borderId="26" xfId="0" applyNumberFormat="1" applyFont="1" applyFill="1" applyBorder="1" applyAlignment="1"/>
    <xf numFmtId="3" fontId="48" fillId="0" borderId="26" xfId="0" applyNumberFormat="1" applyFont="1" applyFill="1" applyBorder="1" applyAlignment="1">
      <alignment horizontal="right"/>
    </xf>
    <xf numFmtId="171" fontId="48" fillId="0" borderId="26" xfId="0" applyNumberFormat="1" applyFont="1" applyFill="1" applyBorder="1" applyAlignment="1">
      <alignment horizontal="right"/>
    </xf>
    <xf numFmtId="171" fontId="48" fillId="0" borderId="30" xfId="0" applyNumberFormat="1" applyFont="1" applyFill="1" applyBorder="1" applyAlignment="1">
      <alignment horizontal="right"/>
    </xf>
    <xf numFmtId="10" fontId="48" fillId="0" borderId="26" xfId="674" applyNumberFormat="1" applyFont="1" applyFill="1" applyBorder="1" applyAlignment="1"/>
    <xf numFmtId="166" fontId="46" fillId="0" borderId="26" xfId="0" applyNumberFormat="1" applyFont="1" applyBorder="1" applyAlignment="1"/>
    <xf numFmtId="166" fontId="48" fillId="0" borderId="26" xfId="0" applyNumberFormat="1" applyFont="1" applyBorder="1" applyAlignment="1"/>
    <xf numFmtId="10" fontId="48" fillId="0" borderId="26" xfId="0" applyNumberFormat="1" applyFont="1" applyFill="1" applyBorder="1"/>
    <xf numFmtId="10" fontId="48" fillId="0" borderId="26" xfId="0" applyNumberFormat="1" applyFont="1" applyFill="1" applyBorder="1" applyAlignment="1">
      <alignment horizontal="right"/>
    </xf>
    <xf numFmtId="10" fontId="48" fillId="0" borderId="26" xfId="674" applyNumberFormat="1" applyFont="1" applyBorder="1" applyAlignment="1"/>
    <xf numFmtId="164" fontId="46" fillId="0" borderId="27" xfId="382" applyNumberFormat="1" applyFont="1" applyFill="1" applyBorder="1" applyAlignment="1">
      <alignment horizontal="right"/>
    </xf>
    <xf numFmtId="164" fontId="48" fillId="0" borderId="26" xfId="382" applyNumberFormat="1" applyFont="1" applyFill="1" applyBorder="1" applyAlignment="1"/>
    <xf numFmtId="0" fontId="48" fillId="0" borderId="25" xfId="0" applyFont="1" applyFill="1" applyBorder="1" applyAlignment="1">
      <alignment horizontal="left"/>
    </xf>
    <xf numFmtId="0" fontId="48" fillId="0" borderId="24" xfId="0" applyFont="1" applyFill="1" applyBorder="1" applyAlignment="1"/>
    <xf numFmtId="0" fontId="46" fillId="0" borderId="24" xfId="0" applyNumberFormat="1" applyFont="1" applyFill="1" applyBorder="1" applyAlignment="1">
      <alignment horizontal="center"/>
    </xf>
    <xf numFmtId="0" fontId="48" fillId="0" borderId="33" xfId="0" applyFont="1" applyFill="1" applyBorder="1" applyAlignment="1">
      <alignment horizontal="center" wrapText="1"/>
    </xf>
    <xf numFmtId="0" fontId="46" fillId="0" borderId="22" xfId="0" applyNumberFormat="1" applyFont="1" applyFill="1" applyBorder="1" applyAlignment="1">
      <alignment horizontal="center"/>
    </xf>
    <xf numFmtId="0" fontId="48" fillId="0" borderId="22" xfId="0" applyNumberFormat="1" applyFont="1" applyBorder="1" applyAlignment="1">
      <alignment horizontal="center"/>
    </xf>
    <xf numFmtId="0" fontId="50" fillId="0" borderId="0" xfId="0" applyFont="1" applyFill="1" applyBorder="1" applyAlignment="1">
      <alignment horizontal="left"/>
    </xf>
    <xf numFmtId="3" fontId="48" fillId="0" borderId="0" xfId="0" applyNumberFormat="1" applyFont="1" applyFill="1" applyBorder="1" applyAlignment="1">
      <alignment horizontal="center"/>
    </xf>
    <xf numFmtId="0" fontId="48" fillId="0" borderId="22" xfId="0" applyFont="1" applyBorder="1" applyAlignment="1">
      <alignment horizontal="center"/>
    </xf>
    <xf numFmtId="0" fontId="48" fillId="0" borderId="22" xfId="0" applyNumberFormat="1" applyFont="1" applyBorder="1" applyAlignment="1">
      <alignment horizontal="left"/>
    </xf>
    <xf numFmtId="0" fontId="58" fillId="0" borderId="22" xfId="0" applyFont="1" applyFill="1" applyBorder="1" applyAlignment="1">
      <alignment horizontal="center"/>
    </xf>
    <xf numFmtId="0" fontId="48" fillId="0" borderId="22" xfId="0" applyFont="1" applyFill="1" applyBorder="1" applyAlignment="1">
      <alignment horizontal="center"/>
    </xf>
    <xf numFmtId="0" fontId="61" fillId="0" borderId="22" xfId="0" applyFont="1" applyBorder="1" applyAlignment="1">
      <alignment horizontal="left"/>
    </xf>
    <xf numFmtId="0" fontId="61" fillId="0" borderId="0" xfId="0" applyFont="1" applyBorder="1"/>
    <xf numFmtId="0" fontId="48" fillId="0" borderId="0" xfId="0" applyNumberFormat="1" applyFont="1" applyFill="1" applyBorder="1" applyAlignment="1">
      <alignment horizontal="right"/>
    </xf>
    <xf numFmtId="0" fontId="46" fillId="0" borderId="0" xfId="0" applyNumberFormat="1" applyFont="1" applyFill="1" applyBorder="1" applyAlignment="1">
      <alignment horizontal="right"/>
    </xf>
    <xf numFmtId="0" fontId="46" fillId="0" borderId="22" xfId="0" applyFont="1" applyBorder="1"/>
    <xf numFmtId="0" fontId="48" fillId="0" borderId="22" xfId="0" applyFont="1" applyBorder="1" applyAlignment="1">
      <alignment horizontal="left"/>
    </xf>
    <xf numFmtId="0" fontId="48" fillId="0" borderId="22" xfId="0" applyFont="1" applyFill="1" applyBorder="1" applyAlignment="1"/>
    <xf numFmtId="43" fontId="48" fillId="0" borderId="0" xfId="382" applyFont="1" applyFill="1" applyBorder="1" applyAlignment="1"/>
    <xf numFmtId="0" fontId="46" fillId="0" borderId="22" xfId="0" applyNumberFormat="1" applyFont="1" applyFill="1" applyBorder="1" applyAlignment="1"/>
    <xf numFmtId="0" fontId="48" fillId="0" borderId="0" xfId="0" applyNumberFormat="1" applyFont="1" applyBorder="1" applyAlignment="1">
      <alignment horizontal="right"/>
    </xf>
    <xf numFmtId="0" fontId="52" fillId="0" borderId="0" xfId="0" applyNumberFormat="1" applyFont="1" applyFill="1" applyBorder="1" applyAlignment="1"/>
    <xf numFmtId="0" fontId="46" fillId="0" borderId="22" xfId="0" applyNumberFormat="1" applyFont="1" applyBorder="1" applyAlignment="1">
      <alignment horizontal="center"/>
    </xf>
    <xf numFmtId="0" fontId="48" fillId="0" borderId="22" xfId="0" applyNumberFormat="1" applyFont="1" applyFill="1" applyBorder="1" applyAlignment="1">
      <alignment horizontal="left"/>
    </xf>
    <xf numFmtId="0" fontId="48" fillId="0" borderId="0" xfId="0" applyNumberFormat="1" applyFont="1" applyFill="1" applyBorder="1"/>
    <xf numFmtId="169" fontId="48" fillId="0" borderId="0" xfId="0" applyNumberFormat="1" applyFont="1" applyBorder="1" applyAlignment="1"/>
    <xf numFmtId="168" fontId="48" fillId="0" borderId="0" xfId="0" applyNumberFormat="1" applyFont="1" applyBorder="1" applyAlignment="1">
      <alignment horizontal="center"/>
    </xf>
    <xf numFmtId="0" fontId="48" fillId="0" borderId="34" xfId="0" applyFont="1" applyFill="1" applyBorder="1"/>
    <xf numFmtId="3" fontId="48" fillId="0" borderId="35" xfId="0" applyNumberFormat="1" applyFont="1" applyBorder="1" applyAlignment="1"/>
    <xf numFmtId="0" fontId="48" fillId="0" borderId="35" xfId="0" applyFont="1" applyFill="1" applyBorder="1"/>
    <xf numFmtId="3" fontId="48" fillId="0" borderId="36" xfId="0" applyNumberFormat="1" applyFont="1" applyFill="1" applyBorder="1" applyAlignment="1"/>
    <xf numFmtId="0" fontId="48" fillId="0" borderId="35" xfId="0" applyFont="1" applyBorder="1" applyAlignment="1"/>
    <xf numFmtId="0" fontId="48" fillId="0" borderId="35" xfId="0" applyFont="1" applyBorder="1"/>
    <xf numFmtId="3" fontId="48" fillId="0" borderId="35" xfId="0" applyNumberFormat="1" applyFont="1" applyFill="1" applyBorder="1" applyAlignment="1"/>
    <xf numFmtId="3" fontId="48" fillId="0" borderId="37" xfId="0" applyNumberFormat="1" applyFont="1" applyFill="1" applyBorder="1" applyAlignment="1"/>
    <xf numFmtId="0" fontId="48" fillId="0" borderId="35" xfId="0" applyFont="1" applyFill="1" applyBorder="1" applyAlignment="1">
      <alignment horizontal="left"/>
    </xf>
    <xf numFmtId="3" fontId="48" fillId="0" borderId="37" xfId="0" applyNumberFormat="1" applyFont="1" applyBorder="1" applyAlignment="1"/>
    <xf numFmtId="3" fontId="46" fillId="0" borderId="36" xfId="0" applyNumberFormat="1" applyFont="1" applyBorder="1" applyAlignment="1"/>
    <xf numFmtId="3" fontId="48" fillId="0" borderId="35" xfId="0" applyNumberFormat="1" applyFont="1" applyFill="1" applyBorder="1" applyAlignment="1">
      <alignment horizontal="right"/>
    </xf>
    <xf numFmtId="3" fontId="50" fillId="0" borderId="35" xfId="0" applyNumberFormat="1" applyFont="1" applyFill="1" applyBorder="1" applyAlignment="1">
      <alignment horizontal="right"/>
    </xf>
    <xf numFmtId="0" fontId="48" fillId="0" borderId="35" xfId="0" applyFont="1" applyFill="1" applyBorder="1" applyAlignment="1"/>
    <xf numFmtId="0" fontId="48" fillId="0" borderId="35" xfId="0" applyNumberFormat="1" applyFont="1" applyFill="1" applyBorder="1" applyAlignment="1"/>
    <xf numFmtId="0" fontId="48" fillId="0" borderId="37" xfId="0" applyFont="1" applyFill="1" applyBorder="1" applyAlignment="1"/>
    <xf numFmtId="0" fontId="48" fillId="0" borderId="35" xfId="0" applyNumberFormat="1" applyFont="1" applyFill="1" applyBorder="1" applyAlignment="1">
      <alignment horizontal="left"/>
    </xf>
    <xf numFmtId="3" fontId="46" fillId="0" borderId="35" xfId="0" applyNumberFormat="1" applyFont="1" applyBorder="1" applyAlignment="1"/>
    <xf numFmtId="168" fontId="48" fillId="0" borderId="35" xfId="0" applyNumberFormat="1" applyFont="1" applyBorder="1" applyAlignment="1">
      <alignment horizontal="left"/>
    </xf>
    <xf numFmtId="3" fontId="52" fillId="0" borderId="35" xfId="0" applyNumberFormat="1" applyFont="1" applyBorder="1" applyAlignment="1"/>
    <xf numFmtId="0" fontId="46" fillId="0" borderId="5" xfId="0" applyFont="1" applyBorder="1"/>
    <xf numFmtId="0" fontId="48" fillId="0" borderId="23" xfId="0" applyFont="1" applyFill="1" applyBorder="1" applyAlignment="1">
      <alignment horizontal="center"/>
    </xf>
    <xf numFmtId="0" fontId="48" fillId="0" borderId="7" xfId="0" applyNumberFormat="1" applyFont="1" applyFill="1" applyBorder="1" applyAlignment="1">
      <alignment horizontal="center"/>
    </xf>
    <xf numFmtId="0" fontId="48" fillId="0" borderId="7" xfId="0" applyNumberFormat="1" applyFont="1" applyBorder="1" applyAlignment="1">
      <alignment horizontal="left"/>
    </xf>
    <xf numFmtId="0" fontId="48" fillId="0" borderId="7" xfId="0" applyFont="1" applyBorder="1" applyAlignment="1"/>
    <xf numFmtId="164" fontId="44" fillId="0" borderId="0" xfId="382" applyNumberFormat="1" applyFont="1" applyFill="1" applyBorder="1" applyAlignment="1"/>
    <xf numFmtId="37" fontId="48" fillId="0" borderId="35" xfId="0" applyNumberFormat="1" applyFont="1" applyFill="1" applyBorder="1"/>
    <xf numFmtId="37" fontId="48" fillId="0" borderId="0" xfId="0" applyNumberFormat="1" applyFont="1" applyFill="1" applyBorder="1"/>
    <xf numFmtId="37" fontId="48" fillId="0" borderId="26" xfId="0" applyNumberFormat="1" applyFont="1" applyFill="1" applyBorder="1"/>
    <xf numFmtId="3" fontId="48" fillId="0" borderId="0" xfId="0" applyNumberFormat="1" applyFont="1" applyFill="1" applyBorder="1" applyAlignment="1">
      <alignment horizontal="left"/>
    </xf>
    <xf numFmtId="0" fontId="48" fillId="0" borderId="35" xfId="0" applyFont="1" applyFill="1" applyBorder="1" applyAlignment="1">
      <alignment horizontal="right"/>
    </xf>
    <xf numFmtId="171" fontId="50" fillId="0" borderId="26" xfId="0" applyNumberFormat="1" applyFont="1" applyFill="1" applyBorder="1" applyAlignment="1">
      <alignment horizontal="right"/>
    </xf>
    <xf numFmtId="0" fontId="46" fillId="0" borderId="17" xfId="0" applyFont="1" applyFill="1" applyBorder="1"/>
    <xf numFmtId="0" fontId="46" fillId="0" borderId="17" xfId="0" applyFont="1" applyFill="1" applyBorder="1" applyAlignment="1">
      <alignment horizontal="center"/>
    </xf>
    <xf numFmtId="0" fontId="48" fillId="0" borderId="0" xfId="0" applyNumberFormat="1" applyFont="1" applyFill="1" applyBorder="1" applyAlignment="1">
      <alignment horizontal="center" vertical="top"/>
    </xf>
    <xf numFmtId="0" fontId="45" fillId="0" borderId="0" xfId="504" applyFont="1" applyFill="1" applyBorder="1" applyAlignment="1">
      <alignment horizontal="left"/>
    </xf>
    <xf numFmtId="0" fontId="44" fillId="0" borderId="0" xfId="504" applyFont="1" applyFill="1" applyBorder="1" applyAlignment="1">
      <alignment horizontal="left"/>
    </xf>
    <xf numFmtId="164" fontId="44" fillId="0" borderId="0" xfId="504" applyNumberFormat="1" applyFont="1"/>
    <xf numFmtId="164" fontId="44" fillId="0" borderId="0" xfId="382" applyNumberFormat="1" applyFont="1" applyFill="1" applyBorder="1" applyAlignment="1">
      <alignment horizontal="center"/>
    </xf>
    <xf numFmtId="0" fontId="44" fillId="0" borderId="0" xfId="530" applyFont="1" applyAlignment="1">
      <alignment horizontal="right" vertical="top"/>
    </xf>
    <xf numFmtId="0" fontId="44" fillId="0" borderId="0" xfId="484" applyFont="1" applyAlignment="1">
      <alignment vertical="top"/>
    </xf>
    <xf numFmtId="0" fontId="44" fillId="0" borderId="0" xfId="484" applyFont="1" applyFill="1" applyAlignment="1">
      <alignment vertical="top"/>
    </xf>
    <xf numFmtId="0" fontId="44" fillId="0" borderId="0" xfId="484" applyFont="1" applyFill="1" applyAlignment="1">
      <alignment horizontal="center" vertical="top"/>
    </xf>
    <xf numFmtId="0" fontId="44" fillId="0" borderId="0" xfId="474" applyFont="1" applyProtection="1">
      <protection locked="0"/>
    </xf>
    <xf numFmtId="0" fontId="44" fillId="0" borderId="0" xfId="474" quotePrefix="1" applyFont="1" applyAlignment="1" applyProtection="1">
      <alignment horizontal="left"/>
      <protection locked="0"/>
    </xf>
    <xf numFmtId="0" fontId="64" fillId="0" borderId="0" xfId="569" applyFont="1"/>
    <xf numFmtId="0" fontId="64" fillId="0" borderId="0" xfId="569" applyFont="1" applyAlignment="1">
      <alignment horizontal="left"/>
    </xf>
    <xf numFmtId="164" fontId="64" fillId="0" borderId="0" xfId="569" applyNumberFormat="1" applyFont="1" applyFill="1"/>
    <xf numFmtId="0" fontId="44" fillId="0" borderId="0" xfId="474"/>
    <xf numFmtId="0" fontId="44" fillId="0" borderId="0" xfId="474" applyFont="1" applyFill="1"/>
    <xf numFmtId="0" fontId="44" fillId="0" borderId="0" xfId="0" applyFont="1" applyFill="1" applyAlignment="1"/>
    <xf numFmtId="164" fontId="44" fillId="0" borderId="0" xfId="382" applyNumberFormat="1" applyFont="1" applyFill="1" applyAlignment="1"/>
    <xf numFmtId="0" fontId="44" fillId="0" borderId="0" xfId="0" applyFont="1" applyAlignment="1">
      <alignment vertical="top"/>
    </xf>
    <xf numFmtId="37" fontId="44" fillId="0" borderId="0" xfId="484" applyNumberFormat="1" applyFont="1" applyFill="1" applyAlignment="1">
      <alignment vertical="top"/>
    </xf>
    <xf numFmtId="164" fontId="44" fillId="0" borderId="0" xfId="504" applyNumberFormat="1" applyFont="1" applyFill="1" applyBorder="1"/>
    <xf numFmtId="0" fontId="48" fillId="0" borderId="0" xfId="0" applyNumberFormat="1" applyFont="1" applyFill="1" applyBorder="1" applyAlignment="1">
      <alignment horizontal="left" indent="1"/>
    </xf>
    <xf numFmtId="0" fontId="44" fillId="0" borderId="0" xfId="0" applyFont="1" applyAlignment="1"/>
    <xf numFmtId="0" fontId="44" fillId="0" borderId="0" xfId="0" applyFont="1" applyBorder="1"/>
    <xf numFmtId="0" fontId="44" fillId="0" borderId="0" xfId="0" applyFont="1" applyFill="1" applyBorder="1" applyAlignment="1"/>
    <xf numFmtId="0" fontId="44" fillId="37" borderId="0" xfId="0" applyFont="1" applyFill="1" applyAlignment="1"/>
    <xf numFmtId="3" fontId="46" fillId="0" borderId="17" xfId="0" applyNumberFormat="1" applyFont="1" applyBorder="1" applyAlignment="1">
      <alignment horizontal="right"/>
    </xf>
    <xf numFmtId="0" fontId="46" fillId="0" borderId="0" xfId="0" applyFont="1" applyFill="1" applyBorder="1" applyAlignment="1">
      <alignment horizontal="center"/>
    </xf>
    <xf numFmtId="0" fontId="46" fillId="0" borderId="7" xfId="0" applyFont="1" applyBorder="1" applyAlignment="1">
      <alignment horizontal="center"/>
    </xf>
    <xf numFmtId="164" fontId="44" fillId="37" borderId="0" xfId="382" applyNumberFormat="1" applyFont="1" applyFill="1" applyBorder="1"/>
    <xf numFmtId="0" fontId="44" fillId="0" borderId="0" xfId="0" applyNumberFormat="1" applyFont="1" applyFill="1" applyBorder="1" applyAlignment="1">
      <alignment horizontal="center"/>
    </xf>
    <xf numFmtId="0" fontId="0" fillId="0" borderId="0" xfId="0" applyAlignment="1">
      <alignment horizontal="center"/>
    </xf>
    <xf numFmtId="164" fontId="45" fillId="0" borderId="0" xfId="504" applyNumberFormat="1" applyFont="1" applyFill="1" applyBorder="1" applyAlignment="1">
      <alignment horizontal="center"/>
    </xf>
    <xf numFmtId="164" fontId="44" fillId="0" borderId="0" xfId="504" applyNumberFormat="1" applyFont="1" applyFill="1" applyBorder="1" applyAlignment="1">
      <alignment horizontal="center"/>
    </xf>
    <xf numFmtId="164" fontId="44" fillId="0" borderId="0" xfId="403" applyNumberFormat="1" applyFont="1" applyFill="1" applyBorder="1" applyAlignment="1"/>
    <xf numFmtId="164" fontId="44" fillId="0" borderId="0" xfId="403" applyNumberFormat="1" applyFont="1" applyBorder="1"/>
    <xf numFmtId="164" fontId="44" fillId="0" borderId="0" xfId="504" applyNumberFormat="1" applyFont="1" applyBorder="1"/>
    <xf numFmtId="164" fontId="44" fillId="0" borderId="0" xfId="403" applyNumberFormat="1" applyFont="1" applyFill="1" applyBorder="1"/>
    <xf numFmtId="164" fontId="44" fillId="0" borderId="0" xfId="403" applyNumberFormat="1" applyFont="1" applyFill="1" applyAlignment="1"/>
    <xf numFmtId="164" fontId="44" fillId="0" borderId="0" xfId="403" applyNumberFormat="1" applyFont="1" applyFill="1" applyBorder="1" applyAlignment="1">
      <alignment horizontal="right"/>
    </xf>
    <xf numFmtId="0" fontId="44" fillId="0" borderId="0" xfId="0" applyFont="1" applyFill="1" applyAlignment="1">
      <alignment horizontal="left"/>
    </xf>
    <xf numFmtId="164" fontId="44" fillId="0" borderId="0" xfId="403" applyNumberFormat="1" applyFont="1"/>
    <xf numFmtId="164" fontId="44" fillId="37" borderId="0" xfId="382" applyNumberFormat="1" applyFont="1" applyFill="1"/>
    <xf numFmtId="0" fontId="48" fillId="0" borderId="0" xfId="0" applyFont="1" applyAlignment="1">
      <alignment horizontal="center"/>
    </xf>
    <xf numFmtId="0" fontId="57" fillId="0" borderId="0" xfId="0" applyFont="1" applyAlignment="1"/>
    <xf numFmtId="10" fontId="48" fillId="37" borderId="26" xfId="674" applyNumberFormat="1" applyFont="1" applyFill="1" applyBorder="1" applyAlignment="1"/>
    <xf numFmtId="164" fontId="48" fillId="37" borderId="26" xfId="382" applyNumberFormat="1" applyFont="1" applyFill="1" applyBorder="1" applyAlignment="1"/>
    <xf numFmtId="0" fontId="45" fillId="0" borderId="0" xfId="564" quotePrefix="1" applyFont="1" applyFill="1" applyBorder="1" applyAlignment="1">
      <alignment vertical="top"/>
    </xf>
    <xf numFmtId="0" fontId="44" fillId="0" borderId="0" xfId="11272">
      <alignment vertical="top"/>
    </xf>
    <xf numFmtId="0" fontId="111" fillId="0" borderId="0" xfId="496" applyFont="1"/>
    <xf numFmtId="0" fontId="95" fillId="0" borderId="0" xfId="569" applyFont="1"/>
    <xf numFmtId="0" fontId="122" fillId="0" borderId="0" xfId="496" applyFont="1"/>
    <xf numFmtId="0" fontId="44" fillId="0" borderId="0" xfId="11267" applyFont="1" applyFill="1" applyAlignment="1">
      <alignment horizontal="left"/>
    </xf>
    <xf numFmtId="0" fontId="111" fillId="0" borderId="0" xfId="496" applyFont="1" applyAlignment="1">
      <alignment horizontal="center"/>
    </xf>
    <xf numFmtId="0" fontId="45" fillId="0" borderId="0" xfId="0" applyFont="1" applyAlignment="1"/>
    <xf numFmtId="0" fontId="44" fillId="0" borderId="0" xfId="504" applyFont="1" applyFill="1" applyAlignment="1">
      <alignment horizontal="left"/>
    </xf>
    <xf numFmtId="0" fontId="44" fillId="0" borderId="0" xfId="504" applyFont="1" applyBorder="1" applyAlignment="1">
      <alignment horizontal="left"/>
    </xf>
    <xf numFmtId="0" fontId="44" fillId="0" borderId="0" xfId="504" applyFont="1" applyFill="1" applyBorder="1" applyAlignment="1">
      <alignment horizontal="center"/>
    </xf>
    <xf numFmtId="0" fontId="45" fillId="0" borderId="0" xfId="504" applyFont="1" applyFill="1" applyBorder="1"/>
    <xf numFmtId="164" fontId="45" fillId="0" borderId="0" xfId="403" applyNumberFormat="1" applyFont="1" applyFill="1" applyBorder="1" applyAlignment="1"/>
    <xf numFmtId="37" fontId="44" fillId="0" borderId="0" xfId="0" applyNumberFormat="1" applyFont="1" applyFill="1"/>
    <xf numFmtId="0" fontId="44" fillId="0" borderId="0" xfId="0" quotePrefix="1" applyFont="1" applyFill="1" applyAlignment="1">
      <alignment horizontal="center"/>
    </xf>
    <xf numFmtId="164" fontId="44" fillId="0" borderId="0" xfId="382" applyNumberFormat="1" applyFont="1" applyAlignment="1"/>
    <xf numFmtId="164" fontId="44" fillId="0" borderId="18" xfId="403" applyNumberFormat="1" applyFont="1" applyBorder="1"/>
    <xf numFmtId="0" fontId="44" fillId="0" borderId="0" xfId="504" applyFont="1" applyAlignment="1">
      <alignment horizontal="center"/>
    </xf>
    <xf numFmtId="0" fontId="44" fillId="0" borderId="0" xfId="504" applyFont="1" applyAlignment="1">
      <alignment wrapText="1"/>
    </xf>
    <xf numFmtId="0" fontId="44" fillId="0" borderId="0" xfId="591" applyFont="1" applyFill="1" applyBorder="1" applyAlignment="1">
      <alignment horizontal="center"/>
    </xf>
    <xf numFmtId="164" fontId="44" fillId="0" borderId="0" xfId="504" applyNumberFormat="1" applyFont="1" applyFill="1" applyBorder="1" applyAlignment="1">
      <alignment wrapText="1"/>
    </xf>
    <xf numFmtId="43" fontId="44" fillId="0" borderId="0" xfId="504" applyNumberFormat="1" applyFont="1"/>
    <xf numFmtId="167" fontId="44" fillId="0" borderId="0" xfId="504" applyNumberFormat="1" applyFont="1" applyFill="1" applyBorder="1"/>
    <xf numFmtId="164" fontId="44" fillId="0" borderId="0" xfId="404" applyNumberFormat="1" applyFont="1" applyFill="1" applyBorder="1"/>
    <xf numFmtId="0" fontId="53" fillId="0" borderId="0" xfId="504" applyFont="1" applyFill="1" applyBorder="1" applyAlignment="1">
      <alignment horizontal="left"/>
    </xf>
    <xf numFmtId="0" fontId="44" fillId="0" borderId="0" xfId="504" applyFont="1" applyBorder="1" applyAlignment="1">
      <alignment horizontal="center"/>
    </xf>
    <xf numFmtId="0" fontId="48" fillId="0" borderId="22" xfId="0" applyNumberFormat="1" applyFont="1" applyFill="1" applyBorder="1" applyAlignment="1">
      <alignment horizontal="center" vertical="top"/>
    </xf>
    <xf numFmtId="0" fontId="48" fillId="0" borderId="0" xfId="0" applyFont="1" applyFill="1" applyBorder="1" applyAlignment="1">
      <alignment vertical="top"/>
    </xf>
    <xf numFmtId="3" fontId="48" fillId="0" borderId="0" xfId="0" applyNumberFormat="1" applyFont="1" applyFill="1" applyBorder="1" applyAlignment="1">
      <alignment horizontal="left" vertical="top"/>
    </xf>
    <xf numFmtId="0" fontId="48" fillId="0" borderId="0" xfId="0" applyNumberFormat="1" applyFont="1" applyFill="1" applyAlignment="1">
      <alignment horizontal="center" vertical="top"/>
    </xf>
    <xf numFmtId="0" fontId="48" fillId="50" borderId="0" xfId="0" applyFont="1" applyFill="1" applyBorder="1" applyAlignment="1"/>
    <xf numFmtId="0" fontId="48" fillId="50" borderId="0" xfId="0" applyFont="1" applyFill="1" applyBorder="1"/>
    <xf numFmtId="0" fontId="48" fillId="50" borderId="11" xfId="0" applyFont="1" applyFill="1" applyBorder="1" applyAlignment="1">
      <alignment horizontal="center" wrapText="1"/>
    </xf>
    <xf numFmtId="0" fontId="46" fillId="50" borderId="6" xfId="0" applyFont="1" applyFill="1" applyBorder="1" applyAlignment="1"/>
    <xf numFmtId="0" fontId="48" fillId="50" borderId="6" xfId="0" applyFont="1" applyFill="1" applyBorder="1" applyAlignment="1"/>
    <xf numFmtId="0" fontId="46" fillId="50" borderId="6" xfId="0" applyNumberFormat="1" applyFont="1" applyFill="1" applyBorder="1" applyAlignment="1">
      <alignment horizontal="center"/>
    </xf>
    <xf numFmtId="0" fontId="48" fillId="50" borderId="6" xfId="0" applyFont="1" applyFill="1" applyBorder="1"/>
    <xf numFmtId="0" fontId="48" fillId="50" borderId="21" xfId="0" applyFont="1" applyFill="1" applyBorder="1" applyAlignment="1">
      <alignment horizontal="center" wrapText="1"/>
    </xf>
    <xf numFmtId="0" fontId="48" fillId="50" borderId="21" xfId="0" applyFont="1" applyFill="1" applyBorder="1"/>
    <xf numFmtId="3" fontId="48" fillId="0" borderId="35" xfId="0" applyNumberFormat="1" applyFont="1" applyFill="1" applyBorder="1" applyAlignment="1">
      <alignment vertical="top"/>
    </xf>
    <xf numFmtId="164" fontId="44" fillId="0" borderId="0" xfId="382" applyNumberFormat="1" applyFont="1"/>
    <xf numFmtId="171" fontId="48" fillId="0" borderId="30" xfId="674" applyNumberFormat="1" applyFont="1" applyFill="1" applyBorder="1"/>
    <xf numFmtId="168" fontId="48" fillId="0" borderId="0" xfId="0" applyNumberFormat="1" applyFont="1" applyFill="1" applyBorder="1" applyAlignment="1">
      <alignment horizontal="left"/>
    </xf>
    <xf numFmtId="10" fontId="48" fillId="0" borderId="30" xfId="674" applyNumberFormat="1" applyFont="1" applyFill="1" applyBorder="1" applyAlignment="1"/>
    <xf numFmtId="10" fontId="46" fillId="0" borderId="26" xfId="674" applyNumberFormat="1" applyFont="1" applyFill="1" applyBorder="1" applyAlignment="1"/>
    <xf numFmtId="3" fontId="48" fillId="0" borderId="35" xfId="0" applyNumberFormat="1" applyFont="1" applyFill="1" applyBorder="1" applyAlignment="1">
      <alignment horizontal="left"/>
    </xf>
    <xf numFmtId="0" fontId="48" fillId="0" borderId="0" xfId="0" applyFont="1" applyAlignment="1">
      <alignment vertical="center"/>
    </xf>
    <xf numFmtId="0" fontId="48" fillId="0" borderId="0" xfId="0" applyFont="1" applyFill="1" applyAlignment="1">
      <alignment vertical="center"/>
    </xf>
    <xf numFmtId="164" fontId="44" fillId="37" borderId="18" xfId="382" applyNumberFormat="1" applyFont="1" applyFill="1" applyBorder="1"/>
    <xf numFmtId="0" fontId="48" fillId="0" borderId="37" xfId="0" applyFont="1" applyFill="1" applyBorder="1"/>
    <xf numFmtId="0" fontId="48" fillId="0" borderId="0" xfId="0" applyFont="1"/>
    <xf numFmtId="0" fontId="48" fillId="0" borderId="0" xfId="0" applyFont="1" applyFill="1"/>
    <xf numFmtId="0" fontId="44" fillId="0" borderId="0" xfId="504" applyFont="1" applyFill="1" applyBorder="1"/>
    <xf numFmtId="164" fontId="44" fillId="0" borderId="0" xfId="382" applyNumberFormat="1" applyFont="1" applyFill="1" applyBorder="1"/>
    <xf numFmtId="0" fontId="45" fillId="0" borderId="0" xfId="504" applyNumberFormat="1" applyFont="1" applyFill="1" applyBorder="1" applyAlignment="1"/>
    <xf numFmtId="3" fontId="45" fillId="0" borderId="0" xfId="504" applyNumberFormat="1" applyFont="1" applyFill="1" applyBorder="1" applyAlignment="1">
      <alignment horizontal="center"/>
    </xf>
    <xf numFmtId="0" fontId="45" fillId="0" borderId="0" xfId="504" applyNumberFormat="1" applyFont="1" applyFill="1" applyBorder="1" applyAlignment="1">
      <alignment horizontal="left"/>
    </xf>
    <xf numFmtId="0" fontId="44" fillId="0" borderId="0" xfId="504" applyNumberFormat="1" applyFont="1" applyFill="1" applyBorder="1" applyAlignment="1">
      <alignment horizontal="left"/>
    </xf>
    <xf numFmtId="0" fontId="44" fillId="0" borderId="0" xfId="504" applyNumberFormat="1" applyFont="1" applyFill="1" applyBorder="1" applyAlignment="1">
      <alignment horizontal="center"/>
    </xf>
    <xf numFmtId="0" fontId="45" fillId="0" borderId="0" xfId="504" applyFont="1" applyFill="1" applyBorder="1" applyAlignment="1"/>
    <xf numFmtId="3" fontId="45" fillId="0" borderId="0" xfId="504" applyNumberFormat="1" applyFont="1" applyFill="1" applyBorder="1" applyAlignment="1"/>
    <xf numFmtId="164" fontId="45" fillId="0" borderId="0" xfId="13644" applyNumberFormat="1" applyFont="1"/>
    <xf numFmtId="10" fontId="48" fillId="0" borderId="26" xfId="0" applyNumberFormat="1" applyFont="1" applyFill="1" applyBorder="1" applyAlignment="1"/>
    <xf numFmtId="169" fontId="48" fillId="0" borderId="0" xfId="0" applyNumberFormat="1" applyFont="1" applyFill="1" applyBorder="1" applyAlignment="1"/>
    <xf numFmtId="164" fontId="44" fillId="0" borderId="0" xfId="504" applyNumberFormat="1" applyFont="1" applyFill="1"/>
    <xf numFmtId="167" fontId="44" fillId="0" borderId="0" xfId="434" applyNumberFormat="1" applyFont="1" applyFill="1" applyBorder="1" applyAlignment="1">
      <alignment horizontal="center" wrapText="1"/>
    </xf>
    <xf numFmtId="164" fontId="64" fillId="37" borderId="0" xfId="382" applyNumberFormat="1" applyFont="1" applyFill="1" applyAlignment="1">
      <alignment horizontal="left"/>
    </xf>
    <xf numFmtId="41" fontId="44" fillId="0" borderId="0" xfId="484" applyNumberFormat="1" applyFont="1" applyFill="1" applyBorder="1" applyAlignment="1">
      <alignment vertical="top"/>
    </xf>
    <xf numFmtId="0" fontId="44" fillId="0" borderId="0" xfId="0" applyFont="1" applyAlignment="1">
      <alignment horizontal="left" indent="1"/>
    </xf>
    <xf numFmtId="0" fontId="64" fillId="0" borderId="0" xfId="11275" applyFont="1"/>
    <xf numFmtId="0" fontId="48" fillId="0" borderId="47" xfId="0" applyNumberFormat="1" applyFont="1" applyFill="1" applyBorder="1" applyAlignment="1"/>
    <xf numFmtId="3" fontId="48" fillId="0" borderId="47" xfId="0" applyNumberFormat="1" applyFont="1" applyFill="1" applyBorder="1" applyAlignment="1"/>
    <xf numFmtId="3" fontId="48" fillId="0" borderId="47" xfId="0" applyNumberFormat="1" applyFont="1" applyFill="1" applyBorder="1" applyAlignment="1">
      <alignment horizontal="center"/>
    </xf>
    <xf numFmtId="0" fontId="48" fillId="0" borderId="47" xfId="0" applyFont="1" applyFill="1" applyBorder="1" applyAlignment="1"/>
    <xf numFmtId="0" fontId="48" fillId="0" borderId="47" xfId="0" applyFont="1" applyFill="1" applyBorder="1" applyAlignment="1">
      <alignment horizontal="center"/>
    </xf>
    <xf numFmtId="0" fontId="46" fillId="0" borderId="47" xfId="0" applyNumberFormat="1" applyFont="1" applyFill="1" applyBorder="1" applyAlignment="1"/>
    <xf numFmtId="0" fontId="46" fillId="0" borderId="47" xfId="0" applyFont="1" applyFill="1" applyBorder="1"/>
    <xf numFmtId="0" fontId="46" fillId="0" borderId="47" xfId="0" applyFont="1" applyFill="1" applyBorder="1" applyAlignment="1"/>
    <xf numFmtId="0" fontId="46" fillId="0" borderId="47" xfId="0" applyNumberFormat="1" applyFont="1" applyFill="1" applyBorder="1" applyAlignment="1">
      <alignment horizontal="center"/>
    </xf>
    <xf numFmtId="43" fontId="48" fillId="0" borderId="47" xfId="0" applyNumberFormat="1" applyFont="1" applyFill="1" applyBorder="1" applyAlignment="1"/>
    <xf numFmtId="3" fontId="46" fillId="0" borderId="38" xfId="0" applyNumberFormat="1" applyFont="1" applyFill="1" applyBorder="1" applyAlignment="1"/>
    <xf numFmtId="169" fontId="112" fillId="0" borderId="0" xfId="37694" applyFont="1" applyAlignment="1"/>
    <xf numFmtId="164" fontId="112" fillId="0" borderId="0" xfId="382" applyNumberFormat="1" applyFont="1" applyAlignment="1"/>
    <xf numFmtId="0" fontId="112" fillId="0" borderId="0" xfId="37695" applyFont="1"/>
    <xf numFmtId="0" fontId="112" fillId="0" borderId="0" xfId="37695" applyFont="1" applyAlignment="1">
      <alignment horizontal="right"/>
    </xf>
    <xf numFmtId="169" fontId="112" fillId="0" borderId="0" xfId="37696" applyFont="1" applyAlignment="1"/>
    <xf numFmtId="0" fontId="112" fillId="0" borderId="0" xfId="37696" applyNumberFormat="1" applyFont="1" applyAlignment="1" applyProtection="1">
      <protection locked="0"/>
    </xf>
    <xf numFmtId="0" fontId="112" fillId="0" borderId="0" xfId="37696" applyNumberFormat="1" applyFont="1" applyAlignment="1" applyProtection="1">
      <alignment horizontal="center"/>
      <protection locked="0"/>
    </xf>
    <xf numFmtId="0" fontId="112" fillId="0" borderId="0" xfId="37696" applyNumberFormat="1" applyFont="1" applyFill="1" applyAlignment="1" applyProtection="1">
      <protection locked="0"/>
    </xf>
    <xf numFmtId="0" fontId="112" fillId="0" borderId="0" xfId="37696" applyNumberFormat="1" applyFont="1" applyFill="1" applyProtection="1">
      <protection locked="0"/>
    </xf>
    <xf numFmtId="3" fontId="112" fillId="0" borderId="0" xfId="37696" applyNumberFormat="1" applyFont="1" applyAlignment="1">
      <alignment horizontal="center"/>
    </xf>
    <xf numFmtId="3" fontId="112" fillId="0" borderId="0" xfId="37696" applyNumberFormat="1" applyFont="1" applyAlignment="1"/>
    <xf numFmtId="0" fontId="112" fillId="0" borderId="0" xfId="37696" applyNumberFormat="1" applyFont="1" applyProtection="1">
      <protection locked="0"/>
    </xf>
    <xf numFmtId="0" fontId="112" fillId="0" borderId="0" xfId="37696" applyNumberFormat="1" applyFont="1"/>
    <xf numFmtId="0" fontId="132" fillId="0" borderId="0" xfId="37696" applyNumberFormat="1" applyFont="1"/>
    <xf numFmtId="0" fontId="112" fillId="0" borderId="0" xfId="37696" applyNumberFormat="1" applyFont="1" applyFill="1"/>
    <xf numFmtId="49" fontId="112" fillId="0" borderId="0" xfId="37696" applyNumberFormat="1" applyFont="1" applyAlignment="1"/>
    <xf numFmtId="49" fontId="112" fillId="0" borderId="0" xfId="37696" applyNumberFormat="1" applyFont="1" applyAlignment="1">
      <alignment horizontal="center"/>
    </xf>
    <xf numFmtId="164" fontId="112" fillId="0" borderId="0" xfId="382" applyNumberFormat="1" applyFont="1" applyAlignment="1">
      <alignment horizontal="left"/>
    </xf>
    <xf numFmtId="0" fontId="112" fillId="0" borderId="0" xfId="37696" applyNumberFormat="1" applyFont="1" applyAlignment="1">
      <alignment horizontal="center"/>
    </xf>
    <xf numFmtId="49" fontId="112" fillId="0" borderId="0" xfId="37696" applyNumberFormat="1" applyFont="1"/>
    <xf numFmtId="0" fontId="112" fillId="0" borderId="7" xfId="37696" applyNumberFormat="1" applyFont="1" applyBorder="1" applyAlignment="1" applyProtection="1">
      <alignment horizontal="center"/>
      <protection locked="0"/>
    </xf>
    <xf numFmtId="3" fontId="112" fillId="0" borderId="0" xfId="37696" applyNumberFormat="1" applyFont="1"/>
    <xf numFmtId="164" fontId="112" fillId="0" borderId="0" xfId="382" applyNumberFormat="1" applyFont="1" applyFill="1" applyAlignment="1"/>
    <xf numFmtId="0" fontId="112" fillId="0" borderId="0" xfId="37696" applyNumberFormat="1" applyFont="1" applyFill="1" applyAlignment="1"/>
    <xf numFmtId="3" fontId="112" fillId="0" borderId="0" xfId="37696" applyNumberFormat="1" applyFont="1" applyFill="1" applyAlignment="1"/>
    <xf numFmtId="0" fontId="112" fillId="0" borderId="7" xfId="37696" applyNumberFormat="1" applyFont="1" applyFill="1" applyBorder="1" applyAlignment="1" applyProtection="1">
      <alignment horizontal="center"/>
      <protection locked="0"/>
    </xf>
    <xf numFmtId="0" fontId="112" fillId="0" borderId="7" xfId="37696" applyNumberFormat="1" applyFont="1" applyFill="1" applyBorder="1" applyAlignment="1" applyProtection="1">
      <alignment horizontal="centerContinuous"/>
      <protection locked="0"/>
    </xf>
    <xf numFmtId="3" fontId="112" fillId="0" borderId="0" xfId="37696" applyNumberFormat="1" applyFont="1" applyFill="1"/>
    <xf numFmtId="170" fontId="112" fillId="0" borderId="0" xfId="382" applyNumberFormat="1" applyFont="1" applyFill="1" applyAlignment="1"/>
    <xf numFmtId="3" fontId="112" fillId="0" borderId="0" xfId="37695" applyNumberFormat="1" applyFont="1" applyFill="1" applyAlignment="1"/>
    <xf numFmtId="43" fontId="112" fillId="0" borderId="0" xfId="382" applyFont="1" applyFill="1" applyAlignment="1"/>
    <xf numFmtId="3" fontId="112" fillId="0" borderId="0" xfId="37696" applyNumberFormat="1" applyFont="1" applyFill="1" applyAlignment="1">
      <alignment horizontal="left"/>
    </xf>
    <xf numFmtId="43" fontId="112" fillId="0" borderId="7" xfId="382" applyFont="1" applyFill="1" applyBorder="1" applyAlignment="1"/>
    <xf numFmtId="43" fontId="112" fillId="0" borderId="0" xfId="382" applyFont="1" applyFill="1" applyAlignment="1">
      <alignment horizontal="fill"/>
    </xf>
    <xf numFmtId="189" fontId="112" fillId="0" borderId="0" xfId="37695" applyNumberFormat="1" applyFont="1" applyFill="1" applyAlignment="1"/>
    <xf numFmtId="169" fontId="112" fillId="0" borderId="0" xfId="37696" applyFont="1" applyFill="1" applyAlignment="1"/>
    <xf numFmtId="189" fontId="112" fillId="0" borderId="0" xfId="37696" applyNumberFormat="1" applyFont="1" applyFill="1" applyAlignment="1"/>
    <xf numFmtId="0" fontId="112" fillId="0" borderId="0" xfId="37698" applyNumberFormat="1" applyFont="1" applyFill="1" applyAlignment="1"/>
    <xf numFmtId="0" fontId="112" fillId="0" borderId="0" xfId="37698" applyNumberFormat="1" applyFont="1" applyFill="1"/>
    <xf numFmtId="0" fontId="112" fillId="0" borderId="0" xfId="37698" applyNumberFormat="1" applyFont="1" applyFill="1" applyBorder="1" applyAlignment="1"/>
    <xf numFmtId="189" fontId="112" fillId="0" borderId="0" xfId="37698" applyNumberFormat="1" applyFont="1" applyFill="1" applyAlignment="1"/>
    <xf numFmtId="169" fontId="112" fillId="0" borderId="0" xfId="37694" applyFont="1" applyFill="1" applyAlignment="1"/>
    <xf numFmtId="0" fontId="112" fillId="0" borderId="0" xfId="37696" applyNumberFormat="1" applyFont="1" applyFill="1" applyBorder="1"/>
    <xf numFmtId="0" fontId="112" fillId="0" borderId="0" xfId="37698" applyFont="1" applyFill="1" applyAlignment="1"/>
    <xf numFmtId="3" fontId="112" fillId="0" borderId="0" xfId="37698" applyNumberFormat="1" applyFont="1" applyFill="1" applyAlignment="1"/>
    <xf numFmtId="0" fontId="112" fillId="0" borderId="0" xfId="37696" applyNumberFormat="1" applyFont="1" applyFill="1" applyBorder="1" applyAlignment="1" applyProtection="1">
      <alignment horizontal="center"/>
      <protection locked="0"/>
    </xf>
    <xf numFmtId="3" fontId="112" fillId="0" borderId="0" xfId="37696" applyNumberFormat="1" applyFont="1" applyFill="1" applyBorder="1"/>
    <xf numFmtId="169" fontId="112" fillId="0" borderId="0" xfId="37696" applyFont="1" applyFill="1" applyBorder="1" applyAlignment="1"/>
    <xf numFmtId="0" fontId="112" fillId="0" borderId="0" xfId="37696" applyNumberFormat="1" applyFont="1" applyFill="1" applyBorder="1" applyProtection="1">
      <protection locked="0"/>
    </xf>
    <xf numFmtId="0" fontId="112" fillId="0" borderId="0" xfId="37696" applyNumberFormat="1" applyFont="1" applyFill="1" applyBorder="1" applyAlignment="1"/>
    <xf numFmtId="0" fontId="112" fillId="0" borderId="0" xfId="37694" applyNumberFormat="1" applyFont="1" applyFill="1" applyAlignment="1"/>
    <xf numFmtId="0" fontId="112" fillId="0" borderId="0" xfId="37694" applyNumberFormat="1" applyFont="1" applyFill="1"/>
    <xf numFmtId="3" fontId="112" fillId="0" borderId="0" xfId="37694" applyNumberFormat="1" applyFont="1" applyFill="1"/>
    <xf numFmtId="43" fontId="112" fillId="0" borderId="0" xfId="382" applyFont="1" applyFill="1"/>
    <xf numFmtId="0" fontId="112" fillId="0" borderId="0" xfId="37694" applyNumberFormat="1" applyFont="1" applyFill="1" applyProtection="1">
      <protection locked="0"/>
    </xf>
    <xf numFmtId="164" fontId="112" fillId="0" borderId="0" xfId="382" applyNumberFormat="1" applyFont="1" applyFill="1"/>
    <xf numFmtId="3" fontId="112" fillId="0" borderId="0" xfId="37694" applyNumberFormat="1" applyFont="1" applyFill="1" applyAlignment="1"/>
    <xf numFmtId="43" fontId="112" fillId="0" borderId="0" xfId="382" applyFont="1" applyFill="1" applyBorder="1"/>
    <xf numFmtId="43" fontId="112" fillId="0" borderId="7" xfId="382" applyFont="1" applyFill="1" applyBorder="1"/>
    <xf numFmtId="0" fontId="112" fillId="0" borderId="0" xfId="37694" applyNumberFormat="1" applyFont="1" applyFill="1" applyAlignment="1" applyProtection="1">
      <protection locked="0"/>
    </xf>
    <xf numFmtId="43" fontId="112" fillId="0" borderId="0" xfId="382" applyFont="1" applyFill="1" applyAlignment="1">
      <alignment horizontal="center"/>
    </xf>
    <xf numFmtId="0" fontId="112" fillId="0" borderId="0" xfId="37694" applyNumberFormat="1" applyFont="1" applyFill="1" applyAlignment="1">
      <alignment horizontal="left"/>
    </xf>
    <xf numFmtId="0" fontId="112" fillId="0" borderId="0" xfId="37694" applyNumberFormat="1" applyFont="1" applyAlignment="1"/>
    <xf numFmtId="43" fontId="112" fillId="0" borderId="0" xfId="382" applyFont="1" applyProtection="1">
      <protection locked="0"/>
    </xf>
    <xf numFmtId="190" fontId="112" fillId="0" borderId="0" xfId="37694" applyNumberFormat="1" applyFont="1" applyProtection="1">
      <protection locked="0"/>
    </xf>
    <xf numFmtId="0" fontId="112" fillId="0" borderId="0" xfId="37694" applyNumberFormat="1" applyFont="1" applyFill="1" applyAlignment="1" applyProtection="1">
      <alignment horizontal="center"/>
      <protection locked="0"/>
    </xf>
    <xf numFmtId="190" fontId="112" fillId="0" borderId="0" xfId="37694" applyNumberFormat="1" applyFont="1" applyFill="1" applyProtection="1">
      <protection locked="0"/>
    </xf>
    <xf numFmtId="0" fontId="112" fillId="0" borderId="0" xfId="37696" applyNumberFormat="1" applyFont="1" applyAlignment="1"/>
    <xf numFmtId="190" fontId="112" fillId="0" borderId="0" xfId="37696" applyNumberFormat="1" applyFont="1" applyFill="1" applyProtection="1">
      <protection locked="0"/>
    </xf>
    <xf numFmtId="190" fontId="112" fillId="0" borderId="0" xfId="37696" applyNumberFormat="1" applyFont="1" applyProtection="1">
      <protection locked="0"/>
    </xf>
    <xf numFmtId="0" fontId="112" fillId="0" borderId="0" xfId="37695" applyFont="1" applyFill="1" applyAlignment="1">
      <alignment horizontal="right"/>
    </xf>
    <xf numFmtId="166" fontId="112" fillId="0" borderId="0" xfId="37696" applyNumberFormat="1" applyFont="1"/>
    <xf numFmtId="0" fontId="112" fillId="0" borderId="0" xfId="37696" applyNumberFormat="1" applyFont="1" applyAlignment="1">
      <alignment horizontal="right"/>
    </xf>
    <xf numFmtId="0" fontId="135" fillId="0" borderId="0" xfId="37696" applyNumberFormat="1" applyFont="1" applyAlignment="1"/>
    <xf numFmtId="0" fontId="100" fillId="0" borderId="0" xfId="37696" applyNumberFormat="1" applyFont="1" applyAlignment="1" applyProtection="1">
      <alignment horizontal="center"/>
      <protection locked="0"/>
    </xf>
    <xf numFmtId="3" fontId="100" fillId="0" borderId="0" xfId="37696" applyNumberFormat="1" applyFont="1" applyAlignment="1"/>
    <xf numFmtId="0" fontId="100" fillId="0" borderId="0" xfId="37696" applyNumberFormat="1" applyFont="1" applyAlignment="1"/>
    <xf numFmtId="0" fontId="112" fillId="0" borderId="0" xfId="37696" applyNumberFormat="1" applyFont="1" applyFill="1" applyAlignment="1" applyProtection="1">
      <alignment horizontal="center"/>
      <protection locked="0"/>
    </xf>
    <xf numFmtId="191" fontId="112" fillId="0" borderId="0" xfId="37696" applyNumberFormat="1" applyFont="1" applyFill="1" applyAlignment="1"/>
    <xf numFmtId="10" fontId="112" fillId="0" borderId="0" xfId="674" applyNumberFormat="1" applyFont="1" applyAlignment="1"/>
    <xf numFmtId="164" fontId="112" fillId="0" borderId="7" xfId="382" applyNumberFormat="1" applyFont="1" applyFill="1" applyBorder="1" applyAlignment="1"/>
    <xf numFmtId="170" fontId="112" fillId="0" borderId="0" xfId="382" applyNumberFormat="1" applyFont="1" applyFill="1" applyAlignment="1">
      <alignment horizontal="center"/>
    </xf>
    <xf numFmtId="170" fontId="112" fillId="0" borderId="0" xfId="37696" applyNumberFormat="1" applyFont="1" applyFill="1" applyAlignment="1">
      <alignment horizontal="center"/>
    </xf>
    <xf numFmtId="170" fontId="112" fillId="0" borderId="0" xfId="37696" applyNumberFormat="1" applyFont="1" applyFill="1" applyAlignment="1"/>
    <xf numFmtId="3" fontId="112" fillId="0" borderId="0" xfId="37698" applyNumberFormat="1" applyFont="1" applyFill="1" applyBorder="1" applyAlignment="1"/>
    <xf numFmtId="164" fontId="112" fillId="0" borderId="0" xfId="382" applyNumberFormat="1" applyFont="1" applyFill="1" applyBorder="1" applyAlignment="1"/>
    <xf numFmtId="3" fontId="135" fillId="0" borderId="0" xfId="37696" applyNumberFormat="1" applyFont="1" applyFill="1" applyAlignment="1"/>
    <xf numFmtId="169" fontId="135" fillId="0" borderId="0" xfId="37694" applyFont="1" applyFill="1" applyAlignment="1"/>
    <xf numFmtId="169" fontId="135" fillId="0" borderId="0" xfId="37694" applyFont="1" applyAlignment="1"/>
    <xf numFmtId="191" fontId="112" fillId="0" borderId="0" xfId="37695" applyNumberFormat="1" applyFont="1" applyFill="1" applyAlignment="1">
      <alignment horizontal="right"/>
    </xf>
    <xf numFmtId="168" fontId="112" fillId="0" borderId="0" xfId="37696" applyNumberFormat="1" applyFont="1" applyFill="1" applyAlignment="1">
      <alignment horizontal="center"/>
    </xf>
    <xf numFmtId="170" fontId="112" fillId="0" borderId="0" xfId="382" applyNumberFormat="1" applyFont="1" applyFill="1" applyAlignment="1">
      <alignment horizontal="right"/>
    </xf>
    <xf numFmtId="0" fontId="112" fillId="0" borderId="0" xfId="37695" applyNumberFormat="1" applyFont="1" applyFill="1"/>
    <xf numFmtId="164" fontId="112" fillId="0" borderId="40" xfId="382" applyNumberFormat="1" applyFont="1" applyFill="1" applyBorder="1" applyAlignment="1"/>
    <xf numFmtId="168" fontId="112" fillId="0" borderId="0" xfId="37695" applyNumberFormat="1" applyFont="1" applyFill="1" applyAlignment="1">
      <alignment horizontal="center"/>
    </xf>
    <xf numFmtId="3" fontId="112" fillId="0" borderId="0" xfId="37695" applyNumberFormat="1" applyFont="1" applyFill="1" applyBorder="1" applyAlignment="1"/>
    <xf numFmtId="3" fontId="112" fillId="0" borderId="0" xfId="37696" applyNumberFormat="1" applyFont="1" applyFill="1" applyAlignment="1">
      <alignment horizontal="right"/>
    </xf>
    <xf numFmtId="3" fontId="112" fillId="0" borderId="0" xfId="37696" applyNumberFormat="1" applyFont="1" applyFill="1" applyAlignment="1">
      <alignment horizontal="center"/>
    </xf>
    <xf numFmtId="0" fontId="112" fillId="0" borderId="0" xfId="37695" applyFont="1" applyFill="1"/>
    <xf numFmtId="0" fontId="112" fillId="0" borderId="0" xfId="37696" applyNumberFormat="1" applyFont="1" applyFill="1" applyAlignment="1">
      <alignment horizontal="center"/>
    </xf>
    <xf numFmtId="49" fontId="112" fillId="0" borderId="0" xfId="37696" applyNumberFormat="1" applyFont="1" applyFill="1" applyAlignment="1">
      <alignment horizontal="center"/>
    </xf>
    <xf numFmtId="3" fontId="100" fillId="0" borderId="0" xfId="37696" applyNumberFormat="1" applyFont="1" applyFill="1" applyAlignment="1">
      <alignment horizontal="center"/>
    </xf>
    <xf numFmtId="0" fontId="100" fillId="0" borderId="0" xfId="37696" applyNumberFormat="1" applyFont="1" applyFill="1" applyAlignment="1" applyProtection="1">
      <alignment horizontal="center"/>
      <protection locked="0"/>
    </xf>
    <xf numFmtId="169" fontId="100" fillId="0" borderId="0" xfId="37696" applyFont="1" applyFill="1" applyAlignment="1">
      <alignment horizontal="center"/>
    </xf>
    <xf numFmtId="3" fontId="100" fillId="0" borderId="0" xfId="37696" applyNumberFormat="1" applyFont="1" applyFill="1" applyAlignment="1"/>
    <xf numFmtId="193" fontId="112" fillId="0" borderId="0" xfId="37694" applyNumberFormat="1" applyFont="1" applyAlignment="1"/>
    <xf numFmtId="0" fontId="112" fillId="0" borderId="0" xfId="37696" quotePrefix="1" applyNumberFormat="1" applyFont="1" applyFill="1"/>
    <xf numFmtId="0" fontId="112" fillId="0" borderId="0" xfId="37698" applyNumberFormat="1" applyFont="1" applyFill="1" applyAlignment="1" applyProtection="1">
      <alignment horizontal="center"/>
      <protection locked="0"/>
    </xf>
    <xf numFmtId="169" fontId="112" fillId="0" borderId="0" xfId="37694" quotePrefix="1" applyFont="1" applyFill="1" applyAlignment="1"/>
    <xf numFmtId="10" fontId="112" fillId="0" borderId="0" xfId="674" applyNumberFormat="1" applyFont="1" applyFill="1" applyAlignment="1"/>
    <xf numFmtId="3" fontId="136" fillId="0" borderId="0" xfId="37695" applyNumberFormat="1" applyFont="1" applyFill="1" applyAlignment="1"/>
    <xf numFmtId="3" fontId="136" fillId="0" borderId="0" xfId="37696" applyNumberFormat="1" applyFont="1" applyFill="1" applyAlignment="1"/>
    <xf numFmtId="169" fontId="136" fillId="0" borderId="0" xfId="37694" applyFont="1" applyFill="1" applyAlignment="1"/>
    <xf numFmtId="164" fontId="136" fillId="0" borderId="0" xfId="382" applyNumberFormat="1" applyFont="1" applyAlignment="1"/>
    <xf numFmtId="169" fontId="136" fillId="0" borderId="0" xfId="37694" applyFont="1" applyAlignment="1"/>
    <xf numFmtId="189" fontId="112" fillId="0" borderId="0" xfId="37696" applyNumberFormat="1" applyFont="1" applyFill="1" applyAlignment="1">
      <alignment horizontal="center"/>
    </xf>
    <xf numFmtId="194" fontId="112" fillId="0" borderId="0" xfId="37696" applyNumberFormat="1" applyFont="1" applyFill="1" applyAlignment="1"/>
    <xf numFmtId="189" fontId="112" fillId="0" borderId="0" xfId="37695" applyNumberFormat="1" applyFont="1" applyFill="1" applyAlignment="1">
      <alignment horizontal="center"/>
    </xf>
    <xf numFmtId="164" fontId="112" fillId="0" borderId="17" xfId="382" applyNumberFormat="1" applyFont="1" applyFill="1" applyBorder="1" applyAlignment="1"/>
    <xf numFmtId="164" fontId="112" fillId="0" borderId="53" xfId="382" applyNumberFormat="1" applyFont="1" applyFill="1" applyBorder="1" applyAlignment="1"/>
    <xf numFmtId="0" fontId="112" fillId="0" borderId="0" xfId="37695" applyNumberFormat="1" applyFont="1" applyFill="1" applyAlignment="1"/>
    <xf numFmtId="169" fontId="112" fillId="0" borderId="0" xfId="37696" applyFont="1" applyFill="1" applyAlignment="1">
      <alignment horizontal="center"/>
    </xf>
    <xf numFmtId="169" fontId="112" fillId="0" borderId="0" xfId="37696" applyFont="1" applyFill="1" applyAlignment="1">
      <alignment horizontal="right"/>
    </xf>
    <xf numFmtId="0" fontId="136" fillId="0" borderId="0" xfId="37696" applyNumberFormat="1" applyFont="1" applyFill="1" applyAlignment="1" applyProtection="1">
      <alignment horizontal="center"/>
      <protection locked="0"/>
    </xf>
    <xf numFmtId="0" fontId="100" fillId="0" borderId="0" xfId="37696" applyNumberFormat="1" applyFont="1" applyFill="1" applyAlignment="1"/>
    <xf numFmtId="0" fontId="112" fillId="0" borderId="7" xfId="37696" applyNumberFormat="1" applyFont="1" applyFill="1" applyBorder="1"/>
    <xf numFmtId="49" fontId="112" fillId="0" borderId="0" xfId="37696" applyNumberFormat="1" applyFont="1" applyFill="1" applyAlignment="1"/>
    <xf numFmtId="3" fontId="112" fillId="0" borderId="7" xfId="37696" applyNumberFormat="1" applyFont="1" applyFill="1" applyBorder="1" applyAlignment="1"/>
    <xf numFmtId="3" fontId="112" fillId="0" borderId="7" xfId="37696" applyNumberFormat="1" applyFont="1" applyFill="1" applyBorder="1" applyAlignment="1">
      <alignment horizontal="center"/>
    </xf>
    <xf numFmtId="43" fontId="112" fillId="0" borderId="0" xfId="382" applyNumberFormat="1" applyFont="1" applyFill="1" applyAlignment="1"/>
    <xf numFmtId="3" fontId="112" fillId="0" borderId="0" xfId="37695" applyNumberFormat="1" applyFont="1" applyFill="1" applyBorder="1" applyAlignment="1">
      <alignment horizontal="center"/>
    </xf>
    <xf numFmtId="0" fontId="112" fillId="0" borderId="7" xfId="37695" applyNumberFormat="1" applyFont="1" applyFill="1" applyBorder="1" applyAlignment="1">
      <alignment horizontal="center"/>
    </xf>
    <xf numFmtId="0" fontId="112" fillId="0" borderId="0" xfId="37695" applyNumberFormat="1" applyFont="1" applyFill="1" applyAlignment="1">
      <alignment horizontal="center"/>
    </xf>
    <xf numFmtId="192" fontId="112" fillId="0" borderId="0" xfId="382" applyNumberFormat="1" applyFont="1" applyFill="1" applyAlignment="1"/>
    <xf numFmtId="189" fontId="112" fillId="0" borderId="0" xfId="37696" applyNumberFormat="1" applyFont="1" applyFill="1" applyAlignment="1" applyProtection="1">
      <alignment horizontal="center"/>
      <protection locked="0"/>
    </xf>
    <xf numFmtId="0" fontId="112" fillId="0" borderId="0" xfId="37696" applyNumberFormat="1" applyFont="1" applyFill="1" applyAlignment="1">
      <alignment horizontal="left"/>
    </xf>
    <xf numFmtId="192" fontId="112" fillId="0" borderId="0" xfId="382" applyNumberFormat="1" applyFont="1" applyFill="1" applyAlignment="1">
      <alignment horizontal="center"/>
    </xf>
    <xf numFmtId="168" fontId="112" fillId="0" borderId="0" xfId="674" applyNumberFormat="1" applyFont="1" applyFill="1" applyAlignment="1"/>
    <xf numFmtId="3" fontId="112" fillId="0" borderId="0" xfId="37696" quotePrefix="1" applyNumberFormat="1" applyFont="1" applyFill="1" applyAlignment="1"/>
    <xf numFmtId="168" fontId="112" fillId="0" borderId="7" xfId="674" applyNumberFormat="1" applyFont="1" applyFill="1" applyBorder="1" applyAlignment="1"/>
    <xf numFmtId="164" fontId="112" fillId="0" borderId="0" xfId="382" applyNumberFormat="1" applyFont="1" applyFill="1" applyAlignment="1">
      <alignment horizontal="center"/>
    </xf>
    <xf numFmtId="0" fontId="137" fillId="0" borderId="0" xfId="37696" applyNumberFormat="1" applyFont="1" applyFill="1" applyProtection="1">
      <protection locked="0"/>
    </xf>
    <xf numFmtId="169" fontId="137" fillId="0" borderId="0" xfId="37696" applyFont="1" applyFill="1" applyAlignment="1"/>
    <xf numFmtId="169" fontId="112" fillId="0" borderId="0" xfId="37696" applyFont="1" applyFill="1" applyAlignment="1" applyProtection="1"/>
    <xf numFmtId="195" fontId="112" fillId="0" borderId="0" xfId="382" applyNumberFormat="1" applyFont="1" applyFill="1" applyBorder="1" applyProtection="1">
      <protection locked="0"/>
    </xf>
    <xf numFmtId="38" fontId="112" fillId="0" borderId="0" xfId="37696" applyNumberFormat="1" applyFont="1" applyFill="1" applyAlignment="1" applyProtection="1"/>
    <xf numFmtId="195" fontId="112" fillId="0" borderId="7" xfId="382" applyNumberFormat="1" applyFont="1" applyFill="1" applyBorder="1" applyProtection="1">
      <protection locked="0"/>
    </xf>
    <xf numFmtId="38" fontId="112" fillId="0" borderId="0" xfId="37696" applyNumberFormat="1" applyFont="1" applyFill="1" applyAlignment="1"/>
    <xf numFmtId="193" fontId="112" fillId="0" borderId="0" xfId="37696" applyNumberFormat="1" applyFont="1" applyFill="1" applyBorder="1" applyProtection="1"/>
    <xf numFmtId="196" fontId="112" fillId="0" borderId="0" xfId="37696" applyNumberFormat="1" applyFont="1" applyFill="1" applyProtection="1">
      <protection locked="0"/>
    </xf>
    <xf numFmtId="1" fontId="112" fillId="0" borderId="0" xfId="37696" applyNumberFormat="1" applyFont="1" applyFill="1" applyProtection="1"/>
    <xf numFmtId="1" fontId="112" fillId="0" borderId="0" xfId="37696" applyNumberFormat="1" applyFont="1" applyFill="1" applyAlignment="1" applyProtection="1"/>
    <xf numFmtId="3" fontId="112" fillId="0" borderId="0" xfId="37696" applyNumberFormat="1" applyFont="1" applyFill="1" applyAlignment="1" applyProtection="1"/>
    <xf numFmtId="164" fontId="112" fillId="0" borderId="0" xfId="382" applyNumberFormat="1" applyFont="1" applyFill="1" applyBorder="1" applyAlignment="1" applyProtection="1"/>
    <xf numFmtId="193" fontId="112" fillId="0" borderId="0" xfId="37696" applyNumberFormat="1" applyFont="1" applyFill="1" applyBorder="1" applyAlignment="1" applyProtection="1"/>
    <xf numFmtId="0" fontId="134" fillId="0" borderId="0" xfId="37698" applyNumberFormat="1" applyFont="1" applyFill="1" applyAlignment="1" applyProtection="1">
      <alignment vertical="top" wrapText="1"/>
      <protection locked="0"/>
    </xf>
    <xf numFmtId="0" fontId="138" fillId="0" borderId="0" xfId="37698" applyNumberFormat="1" applyFont="1" applyFill="1" applyAlignment="1" applyProtection="1">
      <alignment vertical="top" wrapText="1"/>
      <protection locked="0"/>
    </xf>
    <xf numFmtId="164" fontId="138" fillId="0" borderId="0" xfId="382" applyNumberFormat="1" applyFont="1" applyFill="1" applyAlignment="1" applyProtection="1">
      <alignment vertical="top" wrapText="1"/>
      <protection locked="0"/>
    </xf>
    <xf numFmtId="164" fontId="134" fillId="0" borderId="0" xfId="382" applyNumberFormat="1" applyFont="1" applyFill="1" applyAlignment="1" applyProtection="1">
      <alignment vertical="top" wrapText="1"/>
      <protection locked="0"/>
    </xf>
    <xf numFmtId="164" fontId="48" fillId="0" borderId="0" xfId="382" applyNumberFormat="1" applyFont="1"/>
    <xf numFmtId="0" fontId="46" fillId="0" borderId="0" xfId="0" applyFont="1" applyAlignment="1">
      <alignment horizontal="center"/>
    </xf>
    <xf numFmtId="3" fontId="48" fillId="0" borderId="0" xfId="0" applyNumberFormat="1" applyFont="1" applyFill="1" applyBorder="1"/>
    <xf numFmtId="0" fontId="48" fillId="0" borderId="17" xfId="0" applyFont="1" applyFill="1" applyBorder="1"/>
    <xf numFmtId="0" fontId="48" fillId="0" borderId="17" xfId="0" applyFont="1" applyFill="1" applyBorder="1" applyAlignment="1">
      <alignment horizontal="center"/>
    </xf>
    <xf numFmtId="3" fontId="46" fillId="0" borderId="36" xfId="0" applyNumberFormat="1" applyFont="1" applyFill="1" applyBorder="1" applyAlignment="1"/>
    <xf numFmtId="164" fontId="48" fillId="0" borderId="30" xfId="382" applyNumberFormat="1" applyFont="1" applyFill="1" applyBorder="1"/>
    <xf numFmtId="0" fontId="48" fillId="0" borderId="0" xfId="0" quotePrefix="1" applyFont="1" applyFill="1" applyBorder="1" applyAlignment="1">
      <alignment horizontal="center" wrapText="1"/>
    </xf>
    <xf numFmtId="0" fontId="48" fillId="0" borderId="18" xfId="0" applyFont="1" applyFill="1" applyBorder="1"/>
    <xf numFmtId="0" fontId="48" fillId="0" borderId="0" xfId="0" applyFont="1" applyFill="1" applyAlignment="1">
      <alignment horizontal="right"/>
    </xf>
    <xf numFmtId="0" fontId="46" fillId="0" borderId="17" xfId="0" applyFont="1" applyFill="1" applyBorder="1" applyAlignment="1"/>
    <xf numFmtId="3" fontId="46" fillId="0" borderId="47" xfId="0" applyNumberFormat="1" applyFont="1" applyFill="1" applyBorder="1" applyAlignment="1">
      <alignment horizontal="center"/>
    </xf>
    <xf numFmtId="0" fontId="46" fillId="0" borderId="6" xfId="0" applyNumberFormat="1" applyFont="1" applyFill="1" applyBorder="1" applyAlignment="1">
      <alignment horizontal="center"/>
    </xf>
    <xf numFmtId="0" fontId="46" fillId="0" borderId="6" xfId="0" applyFont="1" applyFill="1" applyBorder="1" applyAlignment="1">
      <alignment horizontal="center" wrapText="1"/>
    </xf>
    <xf numFmtId="0" fontId="111" fillId="0" borderId="0" xfId="11279" applyFont="1"/>
    <xf numFmtId="0" fontId="46" fillId="0" borderId="6" xfId="0" applyFont="1" applyFill="1" applyBorder="1" applyAlignment="1">
      <alignment horizontal="center"/>
    </xf>
    <xf numFmtId="43" fontId="46" fillId="0" borderId="0" xfId="382" applyFont="1" applyBorder="1"/>
    <xf numFmtId="0" fontId="46" fillId="35" borderId="46" xfId="0" applyFont="1" applyFill="1" applyBorder="1" applyAlignment="1">
      <alignment horizontal="center" wrapText="1"/>
    </xf>
    <xf numFmtId="0" fontId="48" fillId="50" borderId="32" xfId="0" applyFont="1" applyFill="1" applyBorder="1" applyAlignment="1">
      <alignment horizontal="center" wrapText="1"/>
    </xf>
    <xf numFmtId="0" fontId="48" fillId="50" borderId="42" xfId="0" applyFont="1" applyFill="1" applyBorder="1" applyAlignment="1">
      <alignment horizontal="center" wrapText="1"/>
    </xf>
    <xf numFmtId="0" fontId="46" fillId="35" borderId="46" xfId="0" applyFont="1" applyFill="1" applyBorder="1" applyAlignment="1"/>
    <xf numFmtId="0" fontId="46" fillId="35" borderId="46" xfId="0" applyNumberFormat="1" applyFont="1" applyFill="1" applyBorder="1" applyAlignment="1">
      <alignment horizontal="center"/>
    </xf>
    <xf numFmtId="0" fontId="46" fillId="35" borderId="46" xfId="0" applyNumberFormat="1" applyFont="1" applyFill="1" applyBorder="1" applyAlignment="1">
      <alignment horizontal="center" wrapText="1"/>
    </xf>
    <xf numFmtId="3" fontId="48" fillId="0" borderId="41" xfId="0" applyNumberFormat="1" applyFont="1" applyBorder="1" applyAlignment="1"/>
    <xf numFmtId="43" fontId="46" fillId="0" borderId="35" xfId="382" applyFont="1" applyBorder="1"/>
    <xf numFmtId="43" fontId="46" fillId="0" borderId="41" xfId="382" applyFont="1" applyBorder="1"/>
    <xf numFmtId="164" fontId="123" fillId="0" borderId="0" xfId="382" applyNumberFormat="1" applyFont="1" applyFill="1"/>
    <xf numFmtId="164" fontId="123" fillId="0" borderId="0" xfId="382" applyNumberFormat="1" applyFont="1" applyFill="1" applyBorder="1"/>
    <xf numFmtId="0" fontId="126" fillId="0" borderId="0" xfId="0" applyFont="1"/>
    <xf numFmtId="0" fontId="44" fillId="0" borderId="0" xfId="0" applyFont="1" applyFill="1" applyBorder="1" applyAlignment="1">
      <alignment horizontal="center"/>
    </xf>
    <xf numFmtId="164" fontId="123" fillId="0" borderId="0" xfId="382" applyNumberFormat="1" applyFont="1" applyFill="1" applyAlignment="1">
      <alignment horizontal="center"/>
    </xf>
    <xf numFmtId="17" fontId="44" fillId="0" borderId="0" xfId="0" applyNumberFormat="1" applyFont="1" applyFill="1" applyBorder="1"/>
    <xf numFmtId="166" fontId="44" fillId="0" borderId="0" xfId="678" applyNumberFormat="1" applyFont="1" applyBorder="1"/>
    <xf numFmtId="43" fontId="44" fillId="0" borderId="0" xfId="0" applyNumberFormat="1" applyFont="1" applyFill="1"/>
    <xf numFmtId="43" fontId="44" fillId="0" borderId="0" xfId="0" applyNumberFormat="1" applyFont="1" applyFill="1" applyBorder="1"/>
    <xf numFmtId="0" fontId="139" fillId="0" borderId="0" xfId="0" applyFont="1" applyAlignment="1">
      <alignment horizontal="center"/>
    </xf>
    <xf numFmtId="43" fontId="131" fillId="0" borderId="0" xfId="382" applyFont="1" applyAlignment="1">
      <alignment horizontal="center"/>
    </xf>
    <xf numFmtId="10" fontId="44" fillId="0" borderId="0" xfId="678" applyNumberFormat="1" applyFont="1" applyFill="1" applyBorder="1"/>
    <xf numFmtId="164" fontId="131" fillId="0" borderId="0" xfId="382" applyNumberFormat="1" applyFont="1"/>
    <xf numFmtId="0" fontId="45" fillId="0" borderId="0" xfId="0" applyFont="1" applyBorder="1"/>
    <xf numFmtId="39" fontId="44" fillId="0" borderId="0" xfId="403" applyNumberFormat="1" applyFont="1" applyFill="1"/>
    <xf numFmtId="10" fontId="44" fillId="0" borderId="0" xfId="674" applyNumberFormat="1" applyFont="1" applyFill="1"/>
    <xf numFmtId="10" fontId="44" fillId="0" borderId="0" xfId="678" applyNumberFormat="1" applyFont="1" applyBorder="1"/>
    <xf numFmtId="43" fontId="44" fillId="0" borderId="0" xfId="0" applyNumberFormat="1" applyFont="1"/>
    <xf numFmtId="43" fontId="44" fillId="0" borderId="0" xfId="0" quotePrefix="1" applyNumberFormat="1" applyFont="1" applyFill="1"/>
    <xf numFmtId="164" fontId="64" fillId="0" borderId="0" xfId="382" applyNumberFormat="1" applyFont="1" applyFill="1"/>
    <xf numFmtId="0" fontId="64" fillId="0" borderId="0" xfId="0" applyFont="1" applyAlignment="1">
      <alignment horizontal="center"/>
    </xf>
    <xf numFmtId="164" fontId="64" fillId="0" borderId="0" xfId="382" applyNumberFormat="1" applyFont="1" applyAlignment="1">
      <alignment horizontal="center"/>
    </xf>
    <xf numFmtId="0" fontId="44" fillId="0" borderId="0" xfId="0" applyFont="1" applyAlignment="1">
      <alignment horizontal="center" wrapText="1"/>
    </xf>
    <xf numFmtId="0" fontId="64" fillId="0" borderId="0" xfId="0" quotePrefix="1" applyFont="1" applyAlignment="1">
      <alignment horizontal="center" wrapText="1"/>
    </xf>
    <xf numFmtId="0" fontId="64" fillId="0" borderId="0" xfId="0" applyFont="1" applyAlignment="1">
      <alignment horizontal="left"/>
    </xf>
    <xf numFmtId="37" fontId="64" fillId="0" borderId="0" xfId="0" applyNumberFormat="1" applyFont="1" applyAlignment="1">
      <alignment horizontal="center"/>
    </xf>
    <xf numFmtId="164" fontId="64" fillId="37" borderId="0" xfId="382" applyNumberFormat="1" applyFont="1" applyFill="1" applyAlignment="1"/>
    <xf numFmtId="0" fontId="125" fillId="0" borderId="0" xfId="0" quotePrefix="1" applyFont="1" applyAlignment="1">
      <alignment horizontal="left" wrapText="1"/>
    </xf>
    <xf numFmtId="0" fontId="93" fillId="0" borderId="0" xfId="0" applyFont="1" applyFill="1" applyBorder="1"/>
    <xf numFmtId="0" fontId="64" fillId="0" borderId="0" xfId="474" quotePrefix="1" applyFont="1" applyAlignment="1"/>
    <xf numFmtId="0" fontId="64" fillId="0" borderId="0" xfId="11272" applyFont="1" applyAlignment="1"/>
    <xf numFmtId="43" fontId="123" fillId="0" borderId="0" xfId="382" applyFont="1" applyFill="1" applyBorder="1" applyAlignment="1">
      <alignment horizontal="center" wrapText="1"/>
    </xf>
    <xf numFmtId="17" fontId="44" fillId="0" borderId="0" xfId="0" applyNumberFormat="1" applyFont="1" applyFill="1" applyBorder="1" applyAlignment="1">
      <alignment horizontal="left" vertical="top"/>
    </xf>
    <xf numFmtId="10" fontId="44" fillId="0" borderId="0" xfId="678" applyNumberFormat="1" applyFont="1" applyBorder="1" applyAlignment="1">
      <alignment horizontal="left" vertical="top"/>
    </xf>
    <xf numFmtId="166" fontId="44" fillId="0" borderId="0" xfId="678" applyNumberFormat="1" applyFont="1" applyBorder="1" applyAlignment="1">
      <alignment horizontal="left" vertical="top"/>
    </xf>
    <xf numFmtId="0" fontId="44" fillId="0" borderId="0" xfId="564" quotePrefix="1" applyFont="1" applyFill="1" applyBorder="1" applyAlignment="1">
      <alignment horizontal="center" vertical="top"/>
    </xf>
    <xf numFmtId="164" fontId="64" fillId="0" borderId="0" xfId="382" applyNumberFormat="1" applyFont="1" applyFill="1" applyBorder="1" applyAlignment="1">
      <alignment horizontal="left"/>
    </xf>
    <xf numFmtId="164" fontId="111" fillId="0" borderId="0" xfId="382" applyNumberFormat="1" applyFont="1"/>
    <xf numFmtId="0" fontId="64" fillId="0" borderId="0" xfId="569" applyFont="1" applyAlignment="1">
      <alignment horizontal="center"/>
    </xf>
    <xf numFmtId="164" fontId="140" fillId="0" borderId="0" xfId="382" applyNumberFormat="1" applyFont="1"/>
    <xf numFmtId="0" fontId="44" fillId="0" borderId="0" xfId="474" applyFont="1"/>
    <xf numFmtId="0" fontId="44" fillId="0" borderId="0" xfId="11267" applyFont="1" applyFill="1" applyAlignment="1">
      <alignment horizontal="left" indent="1"/>
    </xf>
    <xf numFmtId="49" fontId="44" fillId="0" borderId="0" xfId="0" applyNumberFormat="1" applyFont="1"/>
    <xf numFmtId="43" fontId="131" fillId="0" borderId="0" xfId="382" applyFont="1"/>
    <xf numFmtId="0" fontId="44" fillId="0" borderId="0" xfId="474" applyFont="1" applyBorder="1"/>
    <xf numFmtId="164" fontId="44" fillId="0" borderId="0" xfId="382" applyNumberFormat="1" applyFont="1" applyBorder="1"/>
    <xf numFmtId="164" fontId="44" fillId="0" borderId="0" xfId="474" applyNumberFormat="1" applyFont="1" applyBorder="1"/>
    <xf numFmtId="0" fontId="44" fillId="0" borderId="0" xfId="517" applyNumberFormat="1" applyFont="1" applyFill="1" applyBorder="1" applyAlignment="1">
      <alignment horizontal="center"/>
    </xf>
    <xf numFmtId="0" fontId="44" fillId="0" borderId="0" xfId="474" applyFont="1" applyBorder="1" applyAlignment="1">
      <alignment horizontal="center"/>
    </xf>
    <xf numFmtId="164" fontId="44" fillId="0" borderId="0" xfId="474" applyNumberFormat="1" applyFont="1"/>
    <xf numFmtId="0" fontId="45" fillId="0" borderId="0" xfId="474" applyFont="1" applyAlignment="1"/>
    <xf numFmtId="17" fontId="44" fillId="0" borderId="0" xfId="517" applyNumberFormat="1" applyFont="1" applyBorder="1"/>
    <xf numFmtId="0" fontId="45" fillId="0" borderId="0" xfId="474" applyFont="1"/>
    <xf numFmtId="0" fontId="44" fillId="0" borderId="0" xfId="517" applyNumberFormat="1" applyFont="1" applyFill="1" applyBorder="1" applyAlignment="1">
      <alignment horizontal="right"/>
    </xf>
    <xf numFmtId="17" fontId="44" fillId="0" borderId="0" xfId="517" applyNumberFormat="1" applyFont="1" applyBorder="1" applyAlignment="1">
      <alignment horizontal="center"/>
    </xf>
    <xf numFmtId="43" fontId="44" fillId="0" borderId="0" xfId="382" applyFont="1" applyAlignment="1">
      <alignment wrapText="1"/>
    </xf>
    <xf numFmtId="43" fontId="44" fillId="0" borderId="0" xfId="382" applyFont="1" applyAlignment="1">
      <alignment horizontal="left"/>
    </xf>
    <xf numFmtId="43" fontId="46" fillId="0" borderId="26" xfId="382" applyFont="1" applyFill="1" applyBorder="1" applyAlignment="1">
      <alignment horizontal="center"/>
    </xf>
    <xf numFmtId="49" fontId="44" fillId="0" borderId="0" xfId="0" applyNumberFormat="1" applyFont="1" applyBorder="1"/>
    <xf numFmtId="164" fontId="44" fillId="0" borderId="0" xfId="382" applyNumberFormat="1" applyFont="1" applyFill="1" applyBorder="1" applyAlignment="1">
      <alignment horizontal="left"/>
    </xf>
    <xf numFmtId="43" fontId="123" fillId="0" borderId="0" xfId="382" applyFont="1" applyFill="1" applyBorder="1" applyAlignment="1">
      <alignment horizontal="center"/>
    </xf>
    <xf numFmtId="0" fontId="44" fillId="0" borderId="0" xfId="474" applyFont="1" applyBorder="1" applyProtection="1">
      <protection locked="0"/>
    </xf>
    <xf numFmtId="164" fontId="44" fillId="0" borderId="0" xfId="382" applyNumberFormat="1" applyFont="1" applyBorder="1" applyProtection="1">
      <protection locked="0"/>
    </xf>
    <xf numFmtId="43" fontId="64" fillId="0" borderId="0" xfId="382" applyFont="1" applyAlignment="1">
      <alignment horizontal="center"/>
    </xf>
    <xf numFmtId="0" fontId="44" fillId="0" borderId="0" xfId="504" applyFont="1" applyFill="1" applyBorder="1" applyAlignment="1">
      <alignment horizontal="center" wrapText="1"/>
    </xf>
    <xf numFmtId="0" fontId="45" fillId="0" borderId="0" xfId="569" applyFont="1" applyFill="1" applyBorder="1" applyAlignment="1">
      <alignment horizontal="center" vertical="top"/>
    </xf>
    <xf numFmtId="164" fontId="44" fillId="0" borderId="0" xfId="569" applyNumberFormat="1" applyFont="1" applyFill="1" applyBorder="1" applyAlignment="1">
      <alignment horizontal="center" vertical="top"/>
    </xf>
    <xf numFmtId="0" fontId="44" fillId="0" borderId="0" xfId="569" quotePrefix="1" applyFont="1" applyFill="1" applyBorder="1" applyAlignment="1">
      <alignment horizontal="left" vertical="top"/>
    </xf>
    <xf numFmtId="0" fontId="44" fillId="0" borderId="0" xfId="530" applyFont="1" applyAlignment="1"/>
    <xf numFmtId="0" fontId="44" fillId="0" borderId="0" xfId="530" applyFont="1" applyBorder="1" applyAlignment="1"/>
    <xf numFmtId="0" fontId="64" fillId="0" borderId="0" xfId="530" applyFont="1" applyBorder="1" applyAlignment="1"/>
    <xf numFmtId="0" fontId="64" fillId="0" borderId="18" xfId="530" applyFont="1" applyBorder="1" applyAlignment="1"/>
    <xf numFmtId="0" fontId="123" fillId="0" borderId="18" xfId="0" applyFont="1" applyBorder="1"/>
    <xf numFmtId="0" fontId="44" fillId="0" borderId="18" xfId="0" applyFont="1" applyBorder="1"/>
    <xf numFmtId="0" fontId="64" fillId="0" borderId="18" xfId="530" applyFont="1" applyBorder="1" applyAlignment="1">
      <alignment horizontal="center"/>
    </xf>
    <xf numFmtId="164" fontId="64" fillId="37" borderId="54" xfId="382" applyNumberFormat="1" applyFont="1" applyFill="1" applyBorder="1" applyAlignment="1">
      <alignment horizontal="left"/>
    </xf>
    <xf numFmtId="164" fontId="64" fillId="37" borderId="45" xfId="382" applyNumberFormat="1" applyFont="1" applyFill="1" applyBorder="1" applyAlignment="1">
      <alignment horizontal="left"/>
    </xf>
    <xf numFmtId="0" fontId="64" fillId="0" borderId="45" xfId="530" applyFont="1" applyBorder="1" applyAlignment="1">
      <alignment horizontal="center"/>
    </xf>
    <xf numFmtId="0" fontId="44" fillId="0" borderId="0" xfId="533" applyFont="1"/>
    <xf numFmtId="0" fontId="44" fillId="0" borderId="11" xfId="0" applyFont="1" applyFill="1" applyBorder="1"/>
    <xf numFmtId="0" fontId="44" fillId="0" borderId="0" xfId="0" applyFont="1" applyFill="1" applyBorder="1" applyAlignment="1">
      <alignment horizontal="center" wrapText="1"/>
    </xf>
    <xf numFmtId="0" fontId="44" fillId="0" borderId="0" xfId="0" applyFont="1" applyFill="1" applyAlignment="1">
      <alignment horizontal="center" vertical="top"/>
    </xf>
    <xf numFmtId="0" fontId="44" fillId="0" borderId="0" xfId="0" applyFont="1" applyFill="1" applyAlignment="1">
      <alignment vertical="top"/>
    </xf>
    <xf numFmtId="164" fontId="44" fillId="0" borderId="18" xfId="382" applyNumberFormat="1" applyFont="1" applyFill="1" applyBorder="1"/>
    <xf numFmtId="164" fontId="44" fillId="0" borderId="18" xfId="382" applyNumberFormat="1" applyFont="1" applyBorder="1"/>
    <xf numFmtId="164" fontId="56" fillId="0" borderId="0" xfId="382" applyNumberFormat="1" applyFont="1" applyFill="1" applyBorder="1" applyAlignment="1">
      <alignment horizontal="center"/>
    </xf>
    <xf numFmtId="164" fontId="45" fillId="0" borderId="0" xfId="403" applyNumberFormat="1" applyFont="1" applyFill="1" applyAlignment="1"/>
    <xf numFmtId="164" fontId="45" fillId="0" borderId="0" xfId="504" applyNumberFormat="1" applyFont="1"/>
    <xf numFmtId="0" fontId="68" fillId="0" borderId="0" xfId="0" applyFont="1" applyFill="1" applyBorder="1"/>
    <xf numFmtId="0" fontId="44" fillId="0" borderId="0" xfId="504" applyFont="1" applyAlignment="1">
      <alignment vertical="center"/>
    </xf>
    <xf numFmtId="0" fontId="44" fillId="0" borderId="0" xfId="504" applyFont="1" applyAlignment="1">
      <alignment horizontal="center" vertical="center"/>
    </xf>
    <xf numFmtId="0" fontId="44" fillId="0" borderId="0" xfId="0" applyFont="1" applyFill="1" applyAlignment="1">
      <alignment horizontal="left" indent="1"/>
    </xf>
    <xf numFmtId="164" fontId="44" fillId="0" borderId="6" xfId="403" applyNumberFormat="1" applyFont="1" applyFill="1" applyBorder="1" applyAlignment="1"/>
    <xf numFmtId="0" fontId="28" fillId="0" borderId="0" xfId="496" applyFont="1" applyAlignment="1">
      <alignment horizontal="center"/>
    </xf>
    <xf numFmtId="43" fontId="44" fillId="0" borderId="18" xfId="382" applyFont="1" applyFill="1" applyBorder="1" applyAlignment="1">
      <alignment horizontal="center" wrapText="1"/>
    </xf>
    <xf numFmtId="0" fontId="46" fillId="0" borderId="19" xfId="0" applyNumberFormat="1" applyFont="1" applyBorder="1" applyAlignment="1">
      <alignment horizontal="center"/>
    </xf>
    <xf numFmtId="0" fontId="48" fillId="0" borderId="5" xfId="0" applyNumberFormat="1" applyFont="1" applyBorder="1" applyAlignment="1">
      <alignment horizontal="center"/>
    </xf>
    <xf numFmtId="0" fontId="46" fillId="0" borderId="5" xfId="0" applyNumberFormat="1" applyFont="1" applyFill="1" applyBorder="1" applyAlignment="1"/>
    <xf numFmtId="0" fontId="46" fillId="0" borderId="5" xfId="0" applyFont="1" applyFill="1" applyBorder="1" applyAlignment="1"/>
    <xf numFmtId="0" fontId="46" fillId="0" borderId="18" xfId="0" applyFont="1" applyFill="1" applyBorder="1" applyAlignment="1"/>
    <xf numFmtId="3" fontId="46" fillId="0" borderId="0" xfId="0" applyNumberFormat="1" applyFont="1" applyFill="1" applyBorder="1" applyAlignment="1">
      <alignment horizontal="center"/>
    </xf>
    <xf numFmtId="0" fontId="46" fillId="0" borderId="5" xfId="0" applyNumberFormat="1" applyFont="1" applyBorder="1" applyAlignment="1">
      <alignment horizontal="left"/>
    </xf>
    <xf numFmtId="0" fontId="46" fillId="0" borderId="5" xfId="0" applyFont="1" applyFill="1" applyBorder="1"/>
    <xf numFmtId="0" fontId="46" fillId="0" borderId="5" xfId="0" applyFont="1" applyBorder="1" applyAlignment="1">
      <alignment horizontal="center"/>
    </xf>
    <xf numFmtId="0" fontId="51" fillId="0" borderId="0" xfId="0" applyFont="1" applyFill="1" applyBorder="1" applyAlignment="1"/>
    <xf numFmtId="164" fontId="48" fillId="0" borderId="0" xfId="382" applyNumberFormat="1" applyFont="1" applyFill="1"/>
    <xf numFmtId="10" fontId="48" fillId="0" borderId="0" xfId="674" applyNumberFormat="1" applyFont="1" applyFill="1"/>
    <xf numFmtId="164" fontId="45" fillId="0" borderId="0" xfId="382" applyNumberFormat="1" applyFont="1" applyFill="1" applyAlignment="1">
      <alignment horizontal="center"/>
    </xf>
    <xf numFmtId="164" fontId="44" fillId="0" borderId="0" xfId="382" applyNumberFormat="1" applyFont="1" applyFill="1" applyAlignment="1">
      <alignment horizontal="right" wrapText="1"/>
    </xf>
    <xf numFmtId="164" fontId="44" fillId="0" borderId="0" xfId="382" quotePrefix="1" applyNumberFormat="1" applyFont="1" applyFill="1" applyBorder="1" applyAlignment="1">
      <alignment horizontal="center" vertical="top"/>
    </xf>
    <xf numFmtId="164" fontId="45" fillId="0" borderId="0" xfId="382" applyNumberFormat="1" applyFont="1" applyFill="1" applyBorder="1" applyAlignment="1">
      <alignment horizontal="center" vertical="top"/>
    </xf>
    <xf numFmtId="164" fontId="46" fillId="0" borderId="27" xfId="382" applyNumberFormat="1" applyFont="1" applyFill="1" applyBorder="1"/>
    <xf numFmtId="164" fontId="28" fillId="0" borderId="0" xfId="382" applyNumberFormat="1" applyFont="1" applyAlignment="1">
      <alignment horizontal="center"/>
    </xf>
    <xf numFmtId="0" fontId="44" fillId="0" borderId="0" xfId="0" applyFont="1" applyFill="1" applyAlignment="1">
      <alignment horizontal="center" vertical="center"/>
    </xf>
    <xf numFmtId="166" fontId="44" fillId="0" borderId="0" xfId="0" applyNumberFormat="1" applyFont="1" applyAlignment="1">
      <alignment horizontal="center" vertical="center"/>
    </xf>
    <xf numFmtId="39" fontId="44" fillId="0" borderId="0" xfId="403" applyNumberFormat="1" applyFont="1" applyAlignment="1">
      <alignment horizontal="center" vertical="center"/>
    </xf>
    <xf numFmtId="0" fontId="44" fillId="0" borderId="0" xfId="504" applyFont="1" applyFill="1" applyBorder="1" applyAlignment="1"/>
    <xf numFmtId="185" fontId="44" fillId="0" borderId="0" xfId="474" applyNumberFormat="1" applyFont="1" applyAlignment="1" applyProtection="1">
      <alignment horizontal="center"/>
      <protection locked="0"/>
    </xf>
    <xf numFmtId="164" fontId="64" fillId="0" borderId="18" xfId="382" applyNumberFormat="1" applyFont="1" applyFill="1" applyBorder="1"/>
    <xf numFmtId="0" fontId="64" fillId="0" borderId="0" xfId="569" applyFont="1" applyBorder="1"/>
    <xf numFmtId="164" fontId="44" fillId="0" borderId="4" xfId="382" applyNumberFormat="1" applyFont="1" applyFill="1" applyBorder="1" applyAlignment="1">
      <alignment horizontal="center"/>
    </xf>
    <xf numFmtId="43" fontId="64" fillId="0" borderId="21" xfId="382" applyFont="1" applyFill="1" applyBorder="1" applyAlignment="1">
      <alignment horizontal="center"/>
    </xf>
    <xf numFmtId="164" fontId="64" fillId="0" borderId="54" xfId="382" applyNumberFormat="1" applyFont="1" applyFill="1" applyBorder="1" applyAlignment="1">
      <alignment horizontal="left"/>
    </xf>
    <xf numFmtId="164" fontId="64" fillId="0" borderId="35" xfId="382" applyNumberFormat="1" applyFont="1" applyFill="1" applyBorder="1" applyAlignment="1">
      <alignment horizontal="left"/>
    </xf>
    <xf numFmtId="0" fontId="44" fillId="0" borderId="0" xfId="0" applyFont="1" applyAlignment="1">
      <alignment vertical="center" wrapText="1"/>
    </xf>
    <xf numFmtId="0" fontId="45" fillId="0" borderId="0" xfId="569" applyFont="1" applyFill="1" applyBorder="1" applyAlignment="1">
      <alignment vertical="top"/>
    </xf>
    <xf numFmtId="0" fontId="44" fillId="0" borderId="0" xfId="504" applyFont="1" applyBorder="1" applyAlignment="1">
      <alignment horizontal="center" wrapText="1"/>
    </xf>
    <xf numFmtId="0" fontId="44" fillId="0" borderId="0" xfId="504" applyFont="1" applyAlignment="1">
      <alignment horizontal="center" wrapText="1"/>
    </xf>
    <xf numFmtId="0" fontId="64" fillId="0" borderId="0" xfId="511" applyFont="1"/>
    <xf numFmtId="0" fontId="64" fillId="0" borderId="0" xfId="511" applyFont="1" applyAlignment="1">
      <alignment horizontal="center"/>
    </xf>
    <xf numFmtId="0" fontId="64" fillId="0" borderId="0" xfId="0" applyFont="1" applyFill="1" applyAlignment="1"/>
    <xf numFmtId="0" fontId="44" fillId="0" borderId="0" xfId="484" applyFont="1" applyFill="1" applyAlignment="1">
      <alignment horizontal="left" vertical="top" indent="2"/>
    </xf>
    <xf numFmtId="0" fontId="44" fillId="0" borderId="0" xfId="484" applyFont="1" applyFill="1" applyBorder="1" applyAlignment="1">
      <alignment vertical="top"/>
    </xf>
    <xf numFmtId="41" fontId="44" fillId="0" borderId="0" xfId="484" applyNumberFormat="1" applyFont="1" applyBorder="1" applyAlignment="1">
      <alignment vertical="top"/>
    </xf>
    <xf numFmtId="0" fontId="44" fillId="0" borderId="0" xfId="504" applyFont="1" applyBorder="1" applyAlignment="1">
      <alignment horizontal="left" indent="1"/>
    </xf>
    <xf numFmtId="0" fontId="44" fillId="0" borderId="0" xfId="504" applyNumberFormat="1" applyFont="1" applyFill="1" applyBorder="1" applyAlignment="1">
      <alignment horizontal="left" indent="1"/>
    </xf>
    <xf numFmtId="0" fontId="45" fillId="0" borderId="0" xfId="0" applyFont="1" applyAlignment="1">
      <alignment horizontal="center"/>
    </xf>
    <xf numFmtId="0" fontId="45" fillId="0" borderId="0" xfId="0" applyNumberFormat="1" applyFont="1" applyFill="1" applyBorder="1" applyAlignment="1"/>
    <xf numFmtId="43" fontId="44" fillId="0" borderId="0" xfId="382" applyFont="1" applyFill="1" applyBorder="1" applyAlignment="1">
      <alignment horizontal="center" wrapText="1"/>
    </xf>
    <xf numFmtId="43" fontId="64" fillId="0" borderId="0" xfId="425" applyFont="1"/>
    <xf numFmtId="0" fontId="45" fillId="50" borderId="6" xfId="0" applyFont="1" applyFill="1" applyBorder="1" applyAlignment="1"/>
    <xf numFmtId="0" fontId="44" fillId="50" borderId="6" xfId="0" applyFont="1" applyFill="1" applyBorder="1" applyAlignment="1"/>
    <xf numFmtId="0" fontId="45" fillId="50" borderId="6" xfId="0" applyNumberFormat="1" applyFont="1" applyFill="1" applyBorder="1" applyAlignment="1">
      <alignment horizontal="center"/>
    </xf>
    <xf numFmtId="0" fontId="45" fillId="50" borderId="4" xfId="0" applyFont="1" applyFill="1" applyBorder="1" applyAlignment="1">
      <alignment horizontal="left"/>
    </xf>
    <xf numFmtId="0" fontId="44" fillId="50" borderId="6" xfId="0" applyFont="1" applyFill="1" applyBorder="1"/>
    <xf numFmtId="0" fontId="44" fillId="50" borderId="6" xfId="0" applyFont="1" applyFill="1" applyBorder="1" applyAlignment="1">
      <alignment horizontal="center" wrapText="1"/>
    </xf>
    <xf numFmtId="0" fontId="44" fillId="0" borderId="0" xfId="504" applyFont="1" applyFill="1" applyAlignment="1">
      <alignment horizontal="left" indent="1"/>
    </xf>
    <xf numFmtId="0" fontId="44" fillId="0" borderId="0" xfId="504" applyNumberFormat="1" applyFont="1" applyFill="1" applyBorder="1" applyAlignment="1">
      <alignment horizontal="left" indent="2"/>
    </xf>
    <xf numFmtId="0" fontId="48" fillId="0" borderId="16" xfId="0" applyNumberFormat="1" applyFont="1" applyFill="1" applyBorder="1" applyAlignment="1">
      <alignment horizontal="left"/>
    </xf>
    <xf numFmtId="164" fontId="48" fillId="0" borderId="26" xfId="382" applyNumberFormat="1" applyFont="1" applyFill="1" applyBorder="1" applyAlignment="1">
      <alignment horizontal="right"/>
    </xf>
    <xf numFmtId="0" fontId="64" fillId="0" borderId="4" xfId="530" applyFont="1" applyBorder="1" applyAlignment="1">
      <alignment horizontal="center"/>
    </xf>
    <xf numFmtId="164" fontId="64" fillId="37" borderId="43" xfId="382" applyNumberFormat="1" applyFont="1" applyFill="1" applyBorder="1" applyAlignment="1">
      <alignment horizontal="left"/>
    </xf>
    <xf numFmtId="0" fontId="123" fillId="0" borderId="45" xfId="0" applyFont="1" applyBorder="1"/>
    <xf numFmtId="0" fontId="64" fillId="0" borderId="6" xfId="530" applyFont="1" applyBorder="1" applyAlignment="1">
      <alignment horizontal="center"/>
    </xf>
    <xf numFmtId="0" fontId="64" fillId="0" borderId="21" xfId="530" applyFont="1" applyBorder="1" applyAlignment="1">
      <alignment horizontal="center"/>
    </xf>
    <xf numFmtId="43" fontId="44" fillId="0" borderId="0" xfId="382" applyFont="1" applyBorder="1" applyAlignment="1">
      <alignment horizontal="center" wrapText="1"/>
    </xf>
    <xf numFmtId="43" fontId="44" fillId="0" borderId="0" xfId="382" applyFont="1" applyAlignment="1">
      <alignment horizontal="center" wrapText="1"/>
    </xf>
    <xf numFmtId="0" fontId="93" fillId="0" borderId="0" xfId="0" applyFont="1" applyAlignment="1">
      <alignment horizontal="left"/>
    </xf>
    <xf numFmtId="43" fontId="44" fillId="0" borderId="0" xfId="382" applyFont="1" applyFill="1" applyBorder="1" applyAlignment="1">
      <alignment horizontal="left"/>
    </xf>
    <xf numFmtId="43" fontId="44" fillId="0" borderId="0" xfId="382" applyFont="1" applyBorder="1" applyAlignment="1">
      <alignment horizontal="left"/>
    </xf>
    <xf numFmtId="0" fontId="44" fillId="0" borderId="0" xfId="533" applyFont="1" applyAlignment="1">
      <alignment horizontal="center"/>
    </xf>
    <xf numFmtId="0" fontId="44" fillId="0" borderId="0" xfId="484" applyFont="1" applyFill="1" applyAlignment="1">
      <alignment horizontal="left" vertical="top"/>
    </xf>
    <xf numFmtId="41" fontId="44" fillId="0" borderId="17" xfId="484" applyNumberFormat="1" applyFont="1" applyFill="1" applyBorder="1" applyAlignment="1">
      <alignment vertical="top"/>
    </xf>
    <xf numFmtId="0" fontId="64" fillId="0" borderId="0" xfId="0" quotePrefix="1" applyFont="1" applyAlignment="1">
      <alignment horizontal="center"/>
    </xf>
    <xf numFmtId="0" fontId="45" fillId="0" borderId="0" xfId="0" applyFont="1" applyFill="1" applyBorder="1" applyAlignment="1"/>
    <xf numFmtId="0" fontId="45" fillId="0" borderId="0" xfId="0" applyNumberFormat="1" applyFont="1" applyFill="1" applyBorder="1" applyAlignment="1">
      <alignment horizontal="center"/>
    </xf>
    <xf numFmtId="164" fontId="28" fillId="0" borderId="17" xfId="382" applyNumberFormat="1" applyFont="1" applyBorder="1"/>
    <xf numFmtId="0" fontId="64" fillId="0" borderId="18" xfId="0" applyFont="1" applyBorder="1" applyAlignment="1">
      <alignment horizontal="left"/>
    </xf>
    <xf numFmtId="164" fontId="64" fillId="37" borderId="18" xfId="382" applyNumberFormat="1" applyFont="1" applyFill="1" applyBorder="1" applyAlignment="1"/>
    <xf numFmtId="164" fontId="48" fillId="0" borderId="26" xfId="382" applyNumberFormat="1" applyFont="1" applyFill="1" applyBorder="1"/>
    <xf numFmtId="164" fontId="48" fillId="0" borderId="30" xfId="382" applyNumberFormat="1" applyFont="1" applyFill="1" applyBorder="1" applyAlignment="1">
      <alignment horizontal="right"/>
    </xf>
    <xf numFmtId="164" fontId="46" fillId="0" borderId="26" xfId="382" applyNumberFormat="1" applyFont="1" applyFill="1" applyBorder="1"/>
    <xf numFmtId="164" fontId="46" fillId="0" borderId="26" xfId="382" applyNumberFormat="1" applyFont="1" applyFill="1" applyBorder="1" applyAlignment="1">
      <alignment horizontal="right"/>
    </xf>
    <xf numFmtId="164" fontId="48" fillId="0" borderId="26" xfId="382" applyNumberFormat="1" applyFont="1" applyBorder="1"/>
    <xf numFmtId="164" fontId="46" fillId="0" borderId="27" xfId="382" applyNumberFormat="1" applyFont="1" applyBorder="1"/>
    <xf numFmtId="164" fontId="48" fillId="50" borderId="21" xfId="382" applyNumberFormat="1" applyFont="1" applyFill="1" applyBorder="1" applyAlignment="1">
      <alignment horizontal="center" wrapText="1"/>
    </xf>
    <xf numFmtId="164" fontId="48" fillId="0" borderId="26" xfId="382" applyNumberFormat="1" applyFont="1" applyFill="1" applyBorder="1" applyAlignment="1">
      <alignment horizontal="center" wrapText="1"/>
    </xf>
    <xf numFmtId="164" fontId="48" fillId="0" borderId="26" xfId="382" applyNumberFormat="1" applyFont="1" applyBorder="1" applyAlignment="1"/>
    <xf numFmtId="164" fontId="48" fillId="0" borderId="30" xfId="382" applyNumberFormat="1" applyFont="1" applyFill="1" applyBorder="1" applyAlignment="1"/>
    <xf numFmtId="164" fontId="50" fillId="0" borderId="26" xfId="382" applyNumberFormat="1" applyFont="1" applyFill="1" applyBorder="1" applyAlignment="1">
      <alignment horizontal="right"/>
    </xf>
    <xf numFmtId="164" fontId="46" fillId="0" borderId="27" xfId="382" applyNumberFormat="1" applyFont="1" applyFill="1" applyBorder="1" applyAlignment="1"/>
    <xf numFmtId="164" fontId="48" fillId="37" borderId="30" xfId="382" applyNumberFormat="1" applyFont="1" applyFill="1" applyBorder="1" applyAlignment="1">
      <alignment horizontal="right"/>
    </xf>
    <xf numFmtId="164" fontId="46" fillId="0" borderId="26" xfId="382" applyNumberFormat="1" applyFont="1" applyBorder="1" applyAlignment="1"/>
    <xf numFmtId="164" fontId="48" fillId="0" borderId="28" xfId="382" applyNumberFormat="1" applyFont="1" applyFill="1" applyBorder="1" applyAlignment="1">
      <alignment horizontal="right"/>
    </xf>
    <xf numFmtId="164" fontId="48" fillId="0" borderId="26" xfId="382" applyNumberFormat="1" applyFont="1" applyBorder="1" applyAlignment="1">
      <alignment horizontal="right"/>
    </xf>
    <xf numFmtId="164" fontId="46" fillId="0" borderId="28" xfId="382" applyNumberFormat="1" applyFont="1" applyBorder="1"/>
    <xf numFmtId="164" fontId="46" fillId="0" borderId="26" xfId="382" applyNumberFormat="1" applyFont="1" applyBorder="1"/>
    <xf numFmtId="164" fontId="46" fillId="0" borderId="29" xfId="382" applyNumberFormat="1" applyFont="1" applyFill="1" applyBorder="1"/>
    <xf numFmtId="164" fontId="46" fillId="0" borderId="33" xfId="382" applyNumberFormat="1" applyFont="1" applyBorder="1" applyAlignment="1"/>
    <xf numFmtId="164" fontId="48" fillId="0" borderId="35" xfId="382" applyNumberFormat="1" applyFont="1" applyBorder="1"/>
    <xf numFmtId="164" fontId="46" fillId="0" borderId="35" xfId="382" applyNumberFormat="1" applyFont="1" applyBorder="1"/>
    <xf numFmtId="0" fontId="44" fillId="0" borderId="0" xfId="504" quotePrefix="1" applyFont="1" applyFill="1" applyBorder="1"/>
    <xf numFmtId="164" fontId="131" fillId="0" borderId="0" xfId="382" applyNumberFormat="1" applyFont="1" applyFill="1"/>
    <xf numFmtId="3" fontId="48" fillId="0" borderId="37" xfId="0" quotePrefix="1" applyNumberFormat="1" applyFont="1" applyFill="1" applyBorder="1" applyAlignment="1">
      <alignment horizontal="left"/>
    </xf>
    <xf numFmtId="171" fontId="48" fillId="0" borderId="30" xfId="674" applyNumberFormat="1" applyFont="1" applyFill="1" applyBorder="1" applyAlignment="1">
      <alignment horizontal="right"/>
    </xf>
    <xf numFmtId="0" fontId="74" fillId="0" borderId="0" xfId="11272" applyFont="1" applyAlignment="1">
      <alignment horizontal="center"/>
    </xf>
    <xf numFmtId="0" fontId="44" fillId="0" borderId="0" xfId="11272" applyAlignment="1">
      <alignment horizontal="center" vertical="top"/>
    </xf>
    <xf numFmtId="0" fontId="0" fillId="0" borderId="0" xfId="0" applyAlignment="1">
      <alignment vertical="top"/>
    </xf>
    <xf numFmtId="164" fontId="69" fillId="0" borderId="26" xfId="382" applyNumberFormat="1" applyFont="1" applyFill="1" applyBorder="1"/>
    <xf numFmtId="3" fontId="141" fillId="0" borderId="0" xfId="11265" quotePrefix="1" applyNumberFormat="1" applyFont="1" applyFill="1" applyAlignment="1">
      <alignment horizontal="left"/>
    </xf>
    <xf numFmtId="177" fontId="44" fillId="0" borderId="0" xfId="0" applyNumberFormat="1" applyFont="1" applyBorder="1" applyAlignment="1">
      <alignment horizontal="center" wrapText="1"/>
    </xf>
    <xf numFmtId="0" fontId="44" fillId="0" borderId="0" xfId="0" applyNumberFormat="1" applyFont="1" applyBorder="1"/>
    <xf numFmtId="0" fontId="44" fillId="0" borderId="0" xfId="0" applyFont="1" applyBorder="1" applyAlignment="1">
      <alignment horizontal="center"/>
    </xf>
    <xf numFmtId="0" fontId="44" fillId="0" borderId="0" xfId="0" applyFont="1" applyBorder="1" applyAlignment="1">
      <alignment vertical="top"/>
    </xf>
    <xf numFmtId="0" fontId="44" fillId="0" borderId="0" xfId="0" applyFont="1" applyAlignment="1">
      <alignment horizontal="center" vertical="top"/>
    </xf>
    <xf numFmtId="0" fontId="45" fillId="0" borderId="0" xfId="564" quotePrefix="1" applyFont="1" applyFill="1" applyBorder="1" applyAlignment="1">
      <alignment horizontal="center" vertical="top"/>
    </xf>
    <xf numFmtId="0" fontId="44" fillId="0" borderId="0" xfId="504" applyFont="1" applyAlignment="1">
      <alignment horizontal="left"/>
    </xf>
    <xf numFmtId="0" fontId="44" fillId="50" borderId="21" xfId="0" applyFont="1" applyFill="1" applyBorder="1" applyAlignment="1">
      <alignment horizontal="left" wrapText="1"/>
    </xf>
    <xf numFmtId="0" fontId="44" fillId="0" borderId="18" xfId="504" applyFont="1" applyBorder="1" applyAlignment="1">
      <alignment horizontal="left"/>
    </xf>
    <xf numFmtId="0" fontId="45" fillId="0" borderId="0" xfId="504" applyFont="1" applyAlignment="1">
      <alignment horizontal="left"/>
    </xf>
    <xf numFmtId="0" fontId="53" fillId="0" borderId="0" xfId="0" applyFont="1" applyBorder="1" applyAlignment="1">
      <alignment horizontal="left"/>
    </xf>
    <xf numFmtId="0" fontId="44" fillId="0" borderId="0" xfId="504" applyFont="1" applyBorder="1" applyAlignment="1">
      <alignment horizontal="left" wrapText="1"/>
    </xf>
    <xf numFmtId="0" fontId="44" fillId="50" borderId="6" xfId="0" applyFont="1" applyFill="1" applyBorder="1" applyAlignment="1">
      <alignment horizontal="left" wrapText="1"/>
    </xf>
    <xf numFmtId="0" fontId="44" fillId="0" borderId="0" xfId="0" applyFont="1" applyAlignment="1">
      <alignment horizontal="left"/>
    </xf>
    <xf numFmtId="0" fontId="44" fillId="0" borderId="0" xfId="0" applyFont="1" applyFill="1" applyBorder="1" applyAlignment="1">
      <alignment horizontal="left" wrapText="1"/>
    </xf>
    <xf numFmtId="3" fontId="44" fillId="0" borderId="0" xfId="0" applyNumberFormat="1" applyFont="1" applyFill="1" applyBorder="1" applyAlignment="1">
      <alignment horizontal="left" indent="1"/>
    </xf>
    <xf numFmtId="0" fontId="44" fillId="0" borderId="0" xfId="504" applyFont="1" applyFill="1" applyBorder="1" applyAlignment="1">
      <alignment horizontal="center" vertical="top"/>
    </xf>
    <xf numFmtId="164" fontId="44" fillId="0" borderId="0" xfId="13644" applyNumberFormat="1" applyFont="1"/>
    <xf numFmtId="164" fontId="44" fillId="0" borderId="17" xfId="382" applyNumberFormat="1" applyFont="1" applyBorder="1"/>
    <xf numFmtId="43" fontId="44" fillId="0" borderId="0" xfId="382" applyFont="1" applyFill="1" applyAlignment="1">
      <alignment horizontal="center" wrapText="1"/>
    </xf>
    <xf numFmtId="0" fontId="48" fillId="0" borderId="0" xfId="0" applyFont="1" applyAlignment="1">
      <alignment vertical="top"/>
    </xf>
    <xf numFmtId="43" fontId="44" fillId="0" borderId="0" xfId="382" applyFont="1" applyFill="1" applyBorder="1" applyAlignment="1">
      <alignment horizontal="center"/>
    </xf>
    <xf numFmtId="10" fontId="48" fillId="37" borderId="26" xfId="0" applyNumberFormat="1" applyFont="1" applyFill="1" applyBorder="1" applyAlignment="1"/>
    <xf numFmtId="0" fontId="44" fillId="0" borderId="0" xfId="504" quotePrefix="1" applyFont="1" applyAlignment="1">
      <alignment horizontal="center"/>
    </xf>
    <xf numFmtId="43" fontId="123" fillId="0" borderId="0" xfId="382" applyFont="1" applyFill="1" applyAlignment="1">
      <alignment horizontal="left"/>
    </xf>
    <xf numFmtId="176" fontId="44" fillId="0" borderId="18" xfId="0" applyNumberFormat="1" applyFont="1" applyBorder="1" applyAlignment="1">
      <alignment horizontal="center" wrapText="1"/>
    </xf>
    <xf numFmtId="164" fontId="44" fillId="37" borderId="0" xfId="404" applyNumberFormat="1" applyFont="1" applyFill="1" applyBorder="1"/>
    <xf numFmtId="164" fontId="44" fillId="37" borderId="0" xfId="382" applyNumberFormat="1" applyFont="1" applyFill="1" applyBorder="1" applyAlignment="1">
      <alignment horizontal="right"/>
    </xf>
    <xf numFmtId="164" fontId="48" fillId="37" borderId="30" xfId="382" applyNumberFormat="1" applyFont="1" applyFill="1" applyBorder="1" applyAlignment="1"/>
    <xf numFmtId="0" fontId="45" fillId="0" borderId="0" xfId="504" applyFont="1" applyBorder="1" applyAlignment="1">
      <alignment horizontal="left" indent="2"/>
    </xf>
    <xf numFmtId="0" fontId="45" fillId="0" borderId="0" xfId="0" applyNumberFormat="1" applyFont="1" applyFill="1" applyBorder="1" applyAlignment="1">
      <alignment horizontal="left"/>
    </xf>
    <xf numFmtId="0" fontId="44" fillId="0" borderId="0" xfId="517" applyFont="1" applyBorder="1" applyAlignment="1">
      <alignment horizontal="center" vertical="center"/>
    </xf>
    <xf numFmtId="0" fontId="44" fillId="0" borderId="0" xfId="474" applyFont="1" applyAlignment="1">
      <alignment vertical="center"/>
    </xf>
    <xf numFmtId="0" fontId="44" fillId="0" borderId="0" xfId="530" applyFont="1" applyAlignment="1">
      <alignment horizontal="left"/>
    </xf>
    <xf numFmtId="0" fontId="64" fillId="0" borderId="0" xfId="11275" applyFont="1" applyAlignment="1">
      <alignment horizontal="left"/>
    </xf>
    <xf numFmtId="43" fontId="64" fillId="0" borderId="0" xfId="0" applyNumberFormat="1" applyFont="1" applyFill="1" applyAlignment="1">
      <alignment horizontal="left"/>
    </xf>
    <xf numFmtId="43" fontId="64" fillId="0" borderId="0" xfId="511" applyNumberFormat="1" applyFont="1" applyAlignment="1">
      <alignment horizontal="left"/>
    </xf>
    <xf numFmtId="43" fontId="44" fillId="0" borderId="0" xfId="484" applyNumberFormat="1" applyFont="1" applyAlignment="1">
      <alignment horizontal="left" vertical="top"/>
    </xf>
    <xf numFmtId="43" fontId="64" fillId="0" borderId="0" xfId="425" applyNumberFormat="1" applyFont="1" applyAlignment="1">
      <alignment horizontal="left"/>
    </xf>
    <xf numFmtId="43" fontId="64" fillId="0" borderId="0" xfId="511" quotePrefix="1" applyNumberFormat="1" applyFont="1" applyAlignment="1">
      <alignment horizontal="left" vertical="top"/>
    </xf>
    <xf numFmtId="164" fontId="48" fillId="0" borderId="37" xfId="382" applyNumberFormat="1" applyFont="1" applyFill="1" applyBorder="1"/>
    <xf numFmtId="164" fontId="48" fillId="0" borderId="35" xfId="382" applyNumberFormat="1" applyFont="1" applyFill="1" applyBorder="1" applyAlignment="1"/>
    <xf numFmtId="0" fontId="144" fillId="0" borderId="0" xfId="0" applyFont="1"/>
    <xf numFmtId="0" fontId="45" fillId="0" borderId="16" xfId="0" applyFont="1" applyBorder="1" applyAlignment="1">
      <alignment horizontal="left" indent="1"/>
    </xf>
    <xf numFmtId="0" fontId="130" fillId="0" borderId="0" xfId="0" applyFont="1" applyAlignment="1">
      <alignment horizontal="left"/>
    </xf>
    <xf numFmtId="0" fontId="130" fillId="0" borderId="0" xfId="0" applyFont="1"/>
    <xf numFmtId="164" fontId="130" fillId="0" borderId="0" xfId="382" applyNumberFormat="1" applyFont="1"/>
    <xf numFmtId="164" fontId="130" fillId="0" borderId="0" xfId="382" applyNumberFormat="1" applyFont="1" applyFill="1"/>
    <xf numFmtId="0" fontId="44" fillId="0" borderId="0" xfId="0" applyFont="1" applyAlignment="1">
      <alignment horizontal="left" vertical="top"/>
    </xf>
    <xf numFmtId="164" fontId="44" fillId="37" borderId="0" xfId="382" applyNumberFormat="1" applyFont="1" applyFill="1" applyAlignment="1">
      <alignment vertical="top"/>
    </xf>
    <xf numFmtId="164" fontId="44" fillId="37" borderId="18" xfId="382" applyNumberFormat="1" applyFont="1" applyFill="1" applyBorder="1" applyAlignment="1">
      <alignment vertical="top"/>
    </xf>
    <xf numFmtId="0" fontId="44" fillId="0" borderId="0" xfId="0" applyFont="1" applyAlignment="1">
      <alignment vertical="top" wrapText="1"/>
    </xf>
    <xf numFmtId="164" fontId="64" fillId="0" borderId="0" xfId="401" applyNumberFormat="1" applyFont="1" applyFill="1" applyBorder="1"/>
    <xf numFmtId="164" fontId="112" fillId="0" borderId="0" xfId="382" applyNumberFormat="1" applyFont="1" applyFill="1" applyBorder="1" applyAlignment="1">
      <alignment vertical="top"/>
    </xf>
    <xf numFmtId="164" fontId="112" fillId="0" borderId="0" xfId="382" applyNumberFormat="1" applyFont="1" applyFill="1" applyAlignment="1">
      <alignment vertical="top"/>
    </xf>
    <xf numFmtId="0" fontId="112" fillId="0" borderId="0" xfId="37694" applyNumberFormat="1" applyFont="1" applyFill="1" applyAlignment="1">
      <alignment vertical="top" wrapText="1"/>
    </xf>
    <xf numFmtId="3" fontId="112" fillId="0" borderId="0" xfId="37694" applyNumberFormat="1" applyFont="1" applyFill="1" applyAlignment="1">
      <alignment vertical="top" wrapText="1"/>
    </xf>
    <xf numFmtId="164" fontId="112" fillId="0" borderId="0" xfId="382" applyNumberFormat="1" applyFont="1" applyFill="1" applyBorder="1" applyAlignment="1">
      <alignment vertical="top" wrapText="1"/>
    </xf>
    <xf numFmtId="164" fontId="112" fillId="0" borderId="0" xfId="382" applyNumberFormat="1" applyFont="1" applyFill="1" applyAlignment="1">
      <alignment vertical="top" wrapText="1"/>
    </xf>
    <xf numFmtId="169" fontId="112" fillId="0" borderId="0" xfId="37694" applyFont="1" applyFill="1" applyAlignment="1">
      <alignment vertical="top"/>
    </xf>
    <xf numFmtId="164" fontId="112" fillId="0" borderId="0" xfId="382" applyNumberFormat="1" applyFont="1" applyAlignment="1">
      <alignment vertical="top"/>
    </xf>
    <xf numFmtId="169" fontId="112" fillId="0" borderId="0" xfId="37694" applyFont="1" applyAlignment="1">
      <alignment vertical="top"/>
    </xf>
    <xf numFmtId="0" fontId="112" fillId="0" borderId="0" xfId="37696" applyNumberFormat="1" applyFont="1" applyFill="1" applyAlignment="1" applyProtection="1">
      <alignment horizontal="left" indent="1"/>
      <protection locked="0"/>
    </xf>
    <xf numFmtId="0" fontId="112" fillId="0" borderId="0" xfId="37696" applyNumberFormat="1" applyFont="1" applyFill="1" applyAlignment="1">
      <alignment horizontal="left" indent="1"/>
    </xf>
    <xf numFmtId="168" fontId="112" fillId="0" borderId="0" xfId="37696" applyNumberFormat="1" applyFont="1" applyFill="1" applyAlignment="1" applyProtection="1">
      <alignment horizontal="left" indent="1"/>
      <protection locked="0"/>
    </xf>
    <xf numFmtId="0" fontId="112" fillId="0" borderId="0" xfId="37696" quotePrefix="1" applyNumberFormat="1" applyFont="1" applyFill="1" applyAlignment="1">
      <alignment horizontal="left" indent="1"/>
    </xf>
    <xf numFmtId="0" fontId="112" fillId="0" borderId="0" xfId="37694" applyNumberFormat="1" applyFont="1" applyFill="1" applyAlignment="1">
      <alignment horizontal="left" indent="1"/>
    </xf>
    <xf numFmtId="0" fontId="112" fillId="0" borderId="7" xfId="37696" applyNumberFormat="1" applyFont="1" applyFill="1" applyBorder="1" applyAlignment="1">
      <alignment horizontal="left" indent="1"/>
    </xf>
    <xf numFmtId="0" fontId="134" fillId="0" borderId="0" xfId="37698" applyNumberFormat="1" applyFont="1" applyFill="1" applyAlignment="1" applyProtection="1">
      <alignment horizontal="left" vertical="top" wrapText="1" indent="1"/>
      <protection locked="0"/>
    </xf>
    <xf numFmtId="0" fontId="112" fillId="0" borderId="0" xfId="474" applyFont="1" applyFill="1" applyBorder="1" applyAlignment="1">
      <alignment horizontal="left" indent="1"/>
    </xf>
    <xf numFmtId="0" fontId="45" fillId="0" borderId="0" xfId="0" applyFont="1" applyAlignment="1">
      <alignment horizontal="center"/>
    </xf>
    <xf numFmtId="0" fontId="44" fillId="0" borderId="0" xfId="0" applyFont="1" applyFill="1" applyAlignment="1">
      <alignment horizontal="center"/>
    </xf>
    <xf numFmtId="0" fontId="44" fillId="0" borderId="0" xfId="0" applyFont="1" applyAlignment="1">
      <alignment horizontal="center" vertical="top"/>
    </xf>
    <xf numFmtId="0" fontId="64" fillId="0" borderId="0" xfId="11272" applyFont="1" applyAlignment="1">
      <alignment horizontal="center"/>
    </xf>
    <xf numFmtId="0" fontId="44" fillId="0" borderId="0" xfId="0" applyFont="1" applyAlignment="1">
      <alignment horizontal="center"/>
    </xf>
    <xf numFmtId="3" fontId="44" fillId="0" borderId="0" xfId="11265" quotePrefix="1" applyNumberFormat="1" applyFont="1" applyFill="1" applyAlignment="1">
      <alignment horizontal="center"/>
    </xf>
    <xf numFmtId="0" fontId="44" fillId="0" borderId="0" xfId="569" applyFont="1" applyFill="1" applyBorder="1" applyAlignment="1">
      <alignment horizontal="center" vertical="top"/>
    </xf>
    <xf numFmtId="0" fontId="44" fillId="0" borderId="0" xfId="564" quotePrefix="1" applyFont="1" applyFill="1" applyBorder="1" applyAlignment="1">
      <alignment horizontal="center" vertical="top"/>
    </xf>
    <xf numFmtId="0" fontId="74" fillId="0" borderId="0" xfId="11271" applyFont="1" applyAlignment="1">
      <alignment horizontal="center"/>
    </xf>
    <xf numFmtId="0" fontId="44" fillId="0" borderId="0" xfId="0" applyFont="1" applyAlignment="1">
      <alignment horizontal="center" vertical="center"/>
    </xf>
    <xf numFmtId="0" fontId="44" fillId="0" borderId="0" xfId="0" applyFont="1" applyFill="1" applyAlignment="1">
      <alignment horizontal="left" vertical="top"/>
    </xf>
    <xf numFmtId="0" fontId="44" fillId="0" borderId="0" xfId="484" applyFont="1" applyAlignment="1">
      <alignment horizontal="center" vertical="top"/>
    </xf>
    <xf numFmtId="3" fontId="112" fillId="0" borderId="0" xfId="37696" applyNumberFormat="1" applyFont="1" applyFill="1" applyAlignment="1">
      <alignment vertical="top"/>
    </xf>
    <xf numFmtId="170" fontId="112" fillId="0" borderId="0" xfId="382" applyNumberFormat="1" applyFont="1" applyFill="1" applyAlignment="1">
      <alignment vertical="top"/>
    </xf>
    <xf numFmtId="3" fontId="112" fillId="0" borderId="0" xfId="37695" applyNumberFormat="1" applyFont="1" applyFill="1" applyAlignment="1">
      <alignment vertical="top"/>
    </xf>
    <xf numFmtId="0" fontId="112" fillId="0" borderId="0" xfId="37696" quotePrefix="1" applyNumberFormat="1" applyFont="1" applyFill="1" applyAlignment="1">
      <alignment vertical="top"/>
    </xf>
    <xf numFmtId="10" fontId="112" fillId="0" borderId="0" xfId="674" applyNumberFormat="1" applyFont="1" applyAlignment="1">
      <alignment vertical="top"/>
    </xf>
    <xf numFmtId="193" fontId="112" fillId="0" borderId="0" xfId="37694" applyNumberFormat="1" applyFont="1" applyAlignment="1">
      <alignment vertical="top"/>
    </xf>
    <xf numFmtId="0" fontId="112" fillId="0" borderId="0" xfId="37696" applyNumberFormat="1" applyFont="1" applyFill="1" applyAlignment="1">
      <alignment horizontal="left" vertical="top" wrapText="1" indent="1"/>
    </xf>
    <xf numFmtId="0" fontId="26" fillId="0" borderId="0" xfId="496" applyFont="1"/>
    <xf numFmtId="164" fontId="26" fillId="0" borderId="0" xfId="382" applyNumberFormat="1" applyFont="1"/>
    <xf numFmtId="0" fontId="44" fillId="0" borderId="0" xfId="0" quotePrefix="1" applyFont="1" applyAlignment="1">
      <alignment horizontal="center" vertical="top"/>
    </xf>
    <xf numFmtId="0" fontId="44" fillId="37" borderId="0" xfId="0" applyFont="1" applyFill="1"/>
    <xf numFmtId="1" fontId="44" fillId="0" borderId="0" xfId="0" applyNumberFormat="1" applyFont="1" applyFill="1" applyAlignment="1">
      <alignment horizontal="left" vertical="top"/>
    </xf>
    <xf numFmtId="2" fontId="44" fillId="0" borderId="0" xfId="0" applyNumberFormat="1" applyFont="1" applyFill="1" applyAlignment="1">
      <alignment horizontal="left" vertical="top"/>
    </xf>
    <xf numFmtId="0" fontId="44" fillId="0" borderId="0" xfId="0" quotePrefix="1" applyFont="1" applyAlignment="1">
      <alignment horizontal="center"/>
    </xf>
    <xf numFmtId="0" fontId="26" fillId="0" borderId="0" xfId="514" applyFont="1"/>
    <xf numFmtId="0" fontId="26" fillId="0" borderId="0" xfId="514" applyFont="1" applyAlignment="1">
      <alignment horizontal="center"/>
    </xf>
    <xf numFmtId="164" fontId="26" fillId="0" borderId="0" xfId="382" applyNumberFormat="1" applyFont="1" applyAlignment="1">
      <alignment horizontal="center"/>
    </xf>
    <xf numFmtId="0" fontId="26" fillId="0" borderId="0" xfId="514" applyFont="1" applyBorder="1"/>
    <xf numFmtId="164" fontId="26" fillId="0" borderId="0" xfId="382" applyNumberFormat="1" applyFont="1" applyBorder="1"/>
    <xf numFmtId="0" fontId="26" fillId="0" borderId="0" xfId="514" quotePrefix="1" applyFont="1" applyAlignment="1">
      <alignment horizontal="center"/>
    </xf>
    <xf numFmtId="0" fontId="26" fillId="0" borderId="0" xfId="513" applyFont="1"/>
    <xf numFmtId="43" fontId="26" fillId="0" borderId="0" xfId="382" applyFont="1"/>
    <xf numFmtId="0" fontId="64" fillId="0" borderId="0" xfId="513" applyFont="1" applyAlignment="1"/>
    <xf numFmtId="0" fontId="64" fillId="0" borderId="0" xfId="11271" applyFont="1" applyAlignment="1"/>
    <xf numFmtId="0" fontId="64" fillId="0" borderId="0" xfId="11271" applyFont="1" applyAlignment="1">
      <alignment horizontal="center"/>
    </xf>
    <xf numFmtId="0" fontId="47" fillId="0" borderId="0" xfId="0" applyFont="1" applyAlignment="1">
      <alignment horizontal="center"/>
    </xf>
    <xf numFmtId="0" fontId="141" fillId="0" borderId="0" xfId="0" applyFont="1"/>
    <xf numFmtId="14" fontId="44" fillId="0" borderId="0" xfId="382" applyNumberFormat="1" applyFont="1" applyBorder="1" applyAlignment="1">
      <alignment horizontal="center"/>
    </xf>
    <xf numFmtId="164" fontId="44" fillId="0" borderId="0" xfId="0" applyNumberFormat="1" applyFont="1"/>
    <xf numFmtId="0" fontId="64" fillId="0" borderId="0" xfId="569" applyFont="1" applyFill="1"/>
    <xf numFmtId="49" fontId="64" fillId="0" borderId="0" xfId="569" applyNumberFormat="1" applyFont="1"/>
    <xf numFmtId="164" fontId="64" fillId="0" borderId="0" xfId="569" applyNumberFormat="1" applyFont="1"/>
    <xf numFmtId="200" fontId="64" fillId="0" borderId="0" xfId="569" applyNumberFormat="1" applyFont="1"/>
    <xf numFmtId="0" fontId="141" fillId="0" borderId="0" xfId="569" applyFont="1"/>
    <xf numFmtId="0" fontId="44" fillId="0" borderId="0" xfId="569" quotePrefix="1" applyFont="1" applyFill="1" applyBorder="1" applyAlignment="1">
      <alignment horizontal="center" vertical="top"/>
    </xf>
    <xf numFmtId="0" fontId="141" fillId="0" borderId="0" xfId="569" applyFont="1" applyFill="1"/>
    <xf numFmtId="0" fontId="44" fillId="0" borderId="0" xfId="11266" quotePrefix="1" applyFont="1" applyFill="1" applyAlignment="1"/>
    <xf numFmtId="0" fontId="44" fillId="0" borderId="0" xfId="474" applyFont="1" applyAlignment="1">
      <alignment horizontal="left"/>
    </xf>
    <xf numFmtId="0" fontId="44" fillId="0" borderId="0" xfId="474" applyFont="1" applyFill="1" applyAlignment="1">
      <alignment horizontal="left"/>
    </xf>
    <xf numFmtId="0" fontId="44" fillId="0" borderId="0" xfId="474" applyFont="1" applyAlignment="1">
      <alignment horizontal="left" vertical="top"/>
    </xf>
    <xf numFmtId="0" fontId="44" fillId="0" borderId="30" xfId="0" applyFont="1" applyBorder="1"/>
    <xf numFmtId="0" fontId="44" fillId="0" borderId="30" xfId="0" applyFont="1" applyFill="1" applyBorder="1"/>
    <xf numFmtId="0" fontId="26" fillId="0" borderId="0" xfId="11271" applyFont="1"/>
    <xf numFmtId="164" fontId="26" fillId="0" borderId="0" xfId="11271" applyNumberFormat="1" applyFont="1"/>
    <xf numFmtId="43" fontId="26" fillId="0" borderId="0" xfId="11271" applyNumberFormat="1" applyFont="1"/>
    <xf numFmtId="0" fontId="26" fillId="0" borderId="0" xfId="11271" applyFont="1" applyFill="1" applyAlignment="1">
      <alignment horizontal="left"/>
    </xf>
    <xf numFmtId="164" fontId="26" fillId="0" borderId="0" xfId="11271" applyNumberFormat="1" applyFont="1" applyFill="1"/>
    <xf numFmtId="43" fontId="26" fillId="0" borderId="0" xfId="11271" applyNumberFormat="1" applyFont="1" applyFill="1"/>
    <xf numFmtId="0" fontId="26" fillId="0" borderId="0" xfId="11271" applyFont="1" applyFill="1"/>
    <xf numFmtId="0" fontId="26" fillId="0" borderId="0" xfId="11271" applyFont="1" applyAlignment="1">
      <alignment horizontal="center"/>
    </xf>
    <xf numFmtId="0" fontId="26" fillId="0" borderId="0" xfId="11271" quotePrefix="1" applyFont="1" applyAlignment="1">
      <alignment horizontal="center" vertical="top"/>
    </xf>
    <xf numFmtId="0" fontId="26" fillId="0" borderId="0" xfId="0" applyFont="1"/>
    <xf numFmtId="43" fontId="26" fillId="0" borderId="0" xfId="423" applyNumberFormat="1" applyFont="1" applyFill="1" applyAlignment="1">
      <alignment horizontal="left"/>
    </xf>
    <xf numFmtId="0" fontId="26" fillId="0" borderId="0" xfId="0" applyFont="1" applyFill="1" applyAlignment="1">
      <alignment horizontal="center"/>
    </xf>
    <xf numFmtId="43" fontId="26" fillId="0" borderId="0" xfId="423" applyFont="1" applyFill="1" applyAlignment="1">
      <alignment horizontal="center"/>
    </xf>
    <xf numFmtId="0" fontId="26" fillId="0" borderId="0" xfId="0" applyFont="1" applyFill="1"/>
    <xf numFmtId="164" fontId="26" fillId="0" borderId="0" xfId="423" applyNumberFormat="1" applyFont="1" applyFill="1"/>
    <xf numFmtId="0" fontId="26" fillId="0" borderId="0" xfId="0" applyFont="1" applyFill="1" applyAlignment="1">
      <alignment horizontal="left" indent="1"/>
    </xf>
    <xf numFmtId="164" fontId="26" fillId="0" borderId="0" xfId="0" applyNumberFormat="1" applyFont="1" applyFill="1"/>
    <xf numFmtId="164" fontId="26" fillId="0" borderId="0" xfId="0" applyNumberFormat="1" applyFont="1" applyFill="1" applyBorder="1"/>
    <xf numFmtId="164" fontId="26" fillId="0" borderId="18" xfId="0" applyNumberFormat="1" applyFont="1" applyFill="1" applyBorder="1"/>
    <xf numFmtId="164" fontId="26" fillId="0" borderId="17" xfId="0" applyNumberFormat="1" applyFont="1" applyFill="1" applyBorder="1"/>
    <xf numFmtId="43" fontId="26" fillId="0" borderId="0" xfId="423" applyFont="1" applyFill="1"/>
    <xf numFmtId="0" fontId="44" fillId="0" borderId="0" xfId="0" applyFont="1" applyFill="1" applyBorder="1" applyAlignment="1">
      <alignment vertical="top"/>
    </xf>
    <xf numFmtId="0" fontId="141" fillId="0" borderId="0" xfId="511" applyFont="1"/>
    <xf numFmtId="0" fontId="44" fillId="0" borderId="0" xfId="0" quotePrefix="1" applyFont="1" applyFill="1" applyBorder="1" applyAlignment="1">
      <alignment vertical="top"/>
    </xf>
    <xf numFmtId="0" fontId="44" fillId="0" borderId="0" xfId="484" applyFont="1" applyAlignment="1">
      <alignment horizontal="left" vertical="top"/>
    </xf>
    <xf numFmtId="0" fontId="44" fillId="0" borderId="0" xfId="511" applyFont="1" applyFill="1" applyBorder="1" applyAlignment="1">
      <alignment vertical="top"/>
    </xf>
    <xf numFmtId="0" fontId="64" fillId="0" borderId="0" xfId="0" applyFont="1" applyFill="1" applyAlignment="1" applyProtection="1">
      <alignment horizontal="left"/>
      <protection locked="0"/>
    </xf>
    <xf numFmtId="43" fontId="26" fillId="0" borderId="18" xfId="382" applyFont="1" applyFill="1" applyBorder="1" applyAlignment="1">
      <alignment horizontal="center"/>
    </xf>
    <xf numFmtId="164" fontId="26" fillId="0" borderId="0" xfId="382" applyNumberFormat="1" applyFont="1" applyFill="1"/>
    <xf numFmtId="164" fontId="26" fillId="0" borderId="17" xfId="382" applyNumberFormat="1" applyFont="1" applyFill="1" applyBorder="1"/>
    <xf numFmtId="164" fontId="26" fillId="0" borderId="0" xfId="382" applyNumberFormat="1" applyFont="1" applyFill="1" applyBorder="1"/>
    <xf numFmtId="0" fontId="44" fillId="0" borderId="0" xfId="0" applyFont="1" applyFill="1" applyBorder="1" applyAlignment="1">
      <alignment horizontal="left" wrapText="1"/>
    </xf>
    <xf numFmtId="0" fontId="64" fillId="0" borderId="0" xfId="0" applyFont="1" applyFill="1" applyAlignment="1">
      <alignment horizontal="center"/>
    </xf>
    <xf numFmtId="0" fontId="112" fillId="0" borderId="0" xfId="37698" applyNumberFormat="1" applyFont="1" applyFill="1" applyAlignment="1" applyProtection="1">
      <alignment vertical="top"/>
      <protection locked="0"/>
    </xf>
    <xf numFmtId="0" fontId="28" fillId="0" borderId="0" xfId="496" applyFont="1" applyFill="1" applyAlignment="1">
      <alignment horizontal="left"/>
    </xf>
    <xf numFmtId="2" fontId="44" fillId="0" borderId="0" xfId="512" applyNumberFormat="1" applyFont="1" applyFill="1" applyAlignment="1">
      <alignment horizontal="left"/>
    </xf>
    <xf numFmtId="0" fontId="44" fillId="0" borderId="0" xfId="512" applyNumberFormat="1" applyFont="1" applyFill="1" applyAlignment="1">
      <alignment horizontal="left"/>
    </xf>
    <xf numFmtId="0" fontId="47" fillId="0" borderId="0" xfId="474" applyFont="1" applyFill="1" applyAlignment="1">
      <alignment horizontal="center"/>
    </xf>
    <xf numFmtId="0" fontId="44" fillId="0" borderId="0" xfId="474" quotePrefix="1" applyFont="1" applyFill="1" applyAlignment="1">
      <alignment horizontal="center" vertical="top"/>
    </xf>
    <xf numFmtId="0" fontId="25" fillId="0" borderId="0" xfId="496" applyFont="1" applyFill="1" applyAlignment="1">
      <alignment vertical="top"/>
    </xf>
    <xf numFmtId="0" fontId="28" fillId="0" borderId="0" xfId="496" applyFont="1" applyFill="1" applyAlignment="1">
      <alignment vertical="top"/>
    </xf>
    <xf numFmtId="198" fontId="64" fillId="0" borderId="0" xfId="382" applyNumberFormat="1" applyFont="1" applyFill="1"/>
    <xf numFmtId="164" fontId="44" fillId="0" borderId="0" xfId="0" applyNumberFormat="1" applyFont="1" applyFill="1"/>
    <xf numFmtId="1" fontId="44" fillId="0" borderId="0" xfId="510" applyNumberFormat="1" applyFont="1" applyFill="1" applyBorder="1" applyAlignment="1">
      <alignment horizontal="left" vertical="center"/>
    </xf>
    <xf numFmtId="1" fontId="44" fillId="0" borderId="0" xfId="0" applyNumberFormat="1" applyFont="1" applyFill="1" applyAlignment="1">
      <alignment horizontal="left" vertical="center"/>
    </xf>
    <xf numFmtId="187" fontId="44" fillId="0" borderId="0" xfId="510" applyNumberFormat="1" applyFont="1" applyFill="1" applyBorder="1" applyAlignment="1">
      <alignment horizontal="left" vertical="center"/>
    </xf>
    <xf numFmtId="0" fontId="44" fillId="0" borderId="0" xfId="504" applyFont="1" applyAlignment="1"/>
    <xf numFmtId="164" fontId="126" fillId="0" borderId="0" xfId="382" applyNumberFormat="1" applyFont="1" applyFill="1"/>
    <xf numFmtId="0" fontId="64" fillId="0" borderId="0" xfId="474" applyFont="1" applyFill="1"/>
    <xf numFmtId="0" fontId="64" fillId="0" borderId="0" xfId="0" quotePrefix="1" applyFont="1" applyFill="1" applyAlignment="1"/>
    <xf numFmtId="0" fontId="64" fillId="0" borderId="0" xfId="0" applyFont="1" applyFill="1" applyAlignment="1">
      <alignment horizontal="center" wrapText="1"/>
    </xf>
    <xf numFmtId="37" fontId="64" fillId="0" borderId="0" xfId="0" applyNumberFormat="1" applyFont="1" applyFill="1" applyAlignment="1">
      <alignment horizontal="center"/>
    </xf>
    <xf numFmtId="164" fontId="44" fillId="0" borderId="18" xfId="504" applyNumberFormat="1" applyFont="1" applyFill="1" applyBorder="1" applyAlignment="1">
      <alignment wrapText="1"/>
    </xf>
    <xf numFmtId="16" fontId="112" fillId="0" borderId="0" xfId="37696" quotePrefix="1" applyNumberFormat="1" applyFont="1" applyFill="1" applyAlignment="1" applyProtection="1">
      <alignment horizontal="center"/>
      <protection locked="0"/>
    </xf>
    <xf numFmtId="0" fontId="112" fillId="0" borderId="0" xfId="37696" quotePrefix="1" applyNumberFormat="1" applyFont="1" applyFill="1" applyAlignment="1" applyProtection="1">
      <alignment horizontal="center"/>
      <protection locked="0"/>
    </xf>
    <xf numFmtId="0" fontId="112" fillId="0" borderId="0" xfId="37696" applyNumberFormat="1" applyFont="1" applyFill="1" applyAlignment="1">
      <alignment horizontal="right"/>
    </xf>
    <xf numFmtId="169" fontId="112" fillId="0" borderId="0" xfId="37694" applyNumberFormat="1" applyFont="1" applyFill="1" applyAlignment="1" applyProtection="1">
      <protection locked="0"/>
    </xf>
    <xf numFmtId="0" fontId="112" fillId="0" borderId="0" xfId="37698" applyNumberFormat="1" applyFont="1" applyFill="1" applyAlignment="1" applyProtection="1">
      <alignment horizontal="center" vertical="top"/>
      <protection locked="0"/>
    </xf>
    <xf numFmtId="0" fontId="112" fillId="0" borderId="0" xfId="37694" applyNumberFormat="1" applyFont="1" applyFill="1" applyAlignment="1" applyProtection="1">
      <alignment horizontal="center" vertical="top"/>
      <protection locked="0"/>
    </xf>
    <xf numFmtId="0" fontId="112" fillId="0" borderId="0" xfId="37694" applyNumberFormat="1" applyFont="1" applyFill="1" applyAlignment="1" applyProtection="1">
      <alignment horizontal="center" vertical="top" wrapText="1"/>
      <protection locked="0"/>
    </xf>
    <xf numFmtId="3" fontId="112" fillId="0" borderId="0" xfId="37694" applyNumberFormat="1" applyFont="1" applyFill="1" applyAlignment="1">
      <alignment vertical="top"/>
    </xf>
    <xf numFmtId="0" fontId="45" fillId="0" borderId="0" xfId="0" applyFont="1" applyFill="1" applyAlignment="1"/>
    <xf numFmtId="164" fontId="44" fillId="0" borderId="0" xfId="11645" applyNumberFormat="1" applyFont="1" applyFill="1" applyBorder="1"/>
    <xf numFmtId="164" fontId="44" fillId="0" borderId="54" xfId="382" applyNumberFormat="1" applyFont="1" applyFill="1" applyBorder="1"/>
    <xf numFmtId="164" fontId="131" fillId="0" borderId="0" xfId="382" applyNumberFormat="1" applyFont="1" applyFill="1" applyBorder="1"/>
    <xf numFmtId="164" fontId="44" fillId="0" borderId="45" xfId="382" applyNumberFormat="1" applyFont="1" applyFill="1" applyBorder="1"/>
    <xf numFmtId="0" fontId="64" fillId="0" borderId="0" xfId="569" applyFont="1" applyFill="1" applyAlignment="1">
      <alignment horizontal="left"/>
    </xf>
    <xf numFmtId="2" fontId="44" fillId="0" borderId="0" xfId="0" applyNumberFormat="1" applyFont="1" applyFill="1" applyAlignment="1">
      <alignment horizontal="left"/>
    </xf>
    <xf numFmtId="0" fontId="44" fillId="0" borderId="0" xfId="0" quotePrefix="1" applyFont="1" applyFill="1" applyAlignment="1">
      <alignment horizontal="center" vertical="top"/>
    </xf>
    <xf numFmtId="1" fontId="44" fillId="0" borderId="0" xfId="0" applyNumberFormat="1" applyFont="1" applyFill="1" applyAlignment="1">
      <alignment horizontal="left"/>
    </xf>
    <xf numFmtId="1" fontId="26" fillId="0" borderId="0" xfId="11271" applyNumberFormat="1" applyFont="1" applyFill="1" applyAlignment="1">
      <alignment horizontal="left"/>
    </xf>
    <xf numFmtId="2" fontId="26" fillId="0" borderId="0" xfId="11271" applyNumberFormat="1" applyFont="1" applyFill="1" applyAlignment="1">
      <alignment horizontal="left"/>
    </xf>
    <xf numFmtId="0" fontId="50" fillId="0" borderId="18" xfId="0" applyFont="1" applyFill="1" applyBorder="1" applyAlignment="1">
      <alignment horizontal="left"/>
    </xf>
    <xf numFmtId="3" fontId="48" fillId="0" borderId="20" xfId="0" applyNumberFormat="1" applyFont="1" applyFill="1" applyBorder="1" applyAlignment="1"/>
    <xf numFmtId="0" fontId="46" fillId="50" borderId="6" xfId="0" applyNumberFormat="1" applyFont="1" applyFill="1" applyBorder="1" applyAlignment="1">
      <alignment horizontal="left"/>
    </xf>
    <xf numFmtId="0" fontId="48" fillId="0" borderId="17" xfId="0" applyNumberFormat="1" applyFont="1" applyFill="1" applyBorder="1" applyAlignment="1">
      <alignment horizontal="center"/>
    </xf>
    <xf numFmtId="0" fontId="46" fillId="35" borderId="52" xfId="0" applyFont="1" applyFill="1" applyBorder="1" applyAlignment="1">
      <alignment horizontal="center" wrapText="1"/>
    </xf>
    <xf numFmtId="3" fontId="48" fillId="0" borderId="21" xfId="0" applyNumberFormat="1" applyFont="1" applyFill="1" applyBorder="1" applyAlignment="1"/>
    <xf numFmtId="3" fontId="48" fillId="0" borderId="39" xfId="0" applyNumberFormat="1" applyFont="1" applyFill="1" applyBorder="1" applyAlignment="1"/>
    <xf numFmtId="164" fontId="48" fillId="0" borderId="28" xfId="382" applyNumberFormat="1" applyFont="1" applyFill="1" applyBorder="1" applyAlignment="1"/>
    <xf numFmtId="164" fontId="48" fillId="0" borderId="11" xfId="382" applyNumberFormat="1" applyFont="1" applyFill="1" applyBorder="1" applyAlignment="1">
      <alignment horizontal="right"/>
    </xf>
    <xf numFmtId="0" fontId="46" fillId="0" borderId="47" xfId="0" applyFont="1" applyFill="1" applyBorder="1" applyAlignment="1">
      <alignment horizontal="center"/>
    </xf>
    <xf numFmtId="0" fontId="48" fillId="0" borderId="37" xfId="0" applyNumberFormat="1" applyFont="1" applyFill="1" applyBorder="1" applyAlignment="1">
      <alignment horizontal="left"/>
    </xf>
    <xf numFmtId="0" fontId="48" fillId="0" borderId="0" xfId="0" applyFont="1" applyFill="1" applyAlignment="1">
      <alignment horizontal="left" indent="1"/>
    </xf>
    <xf numFmtId="164" fontId="48" fillId="0" borderId="0" xfId="0" applyNumberFormat="1" applyFont="1" applyFill="1"/>
    <xf numFmtId="0" fontId="26" fillId="0" borderId="0" xfId="513" applyFont="1" applyFill="1" applyAlignment="1">
      <alignment horizontal="center"/>
    </xf>
    <xf numFmtId="0" fontId="26" fillId="0" borderId="0" xfId="513" applyFont="1" applyFill="1" applyBorder="1"/>
    <xf numFmtId="0" fontId="26" fillId="0" borderId="0" xfId="513" applyFont="1" applyFill="1"/>
    <xf numFmtId="0" fontId="26" fillId="0" borderId="0" xfId="513" quotePrefix="1" applyFont="1" applyFill="1" applyAlignment="1">
      <alignment horizontal="center" vertical="top"/>
    </xf>
    <xf numFmtId="0" fontId="48" fillId="0" borderId="18" xfId="0" applyNumberFormat="1" applyFont="1" applyFill="1" applyBorder="1" applyAlignment="1">
      <alignment horizontal="left" indent="1"/>
    </xf>
    <xf numFmtId="0" fontId="48" fillId="0" borderId="0" xfId="0" applyFont="1" applyFill="1" applyBorder="1" applyAlignment="1">
      <alignment horizontal="left" indent="1"/>
    </xf>
    <xf numFmtId="0" fontId="48" fillId="0" borderId="0" xfId="0" applyFont="1" applyFill="1" applyBorder="1" applyAlignment="1">
      <alignment horizontal="left" indent="2"/>
    </xf>
    <xf numFmtId="0" fontId="48" fillId="0" borderId="0" xfId="0" applyFont="1" applyFill="1" applyAlignment="1">
      <alignment horizontal="center"/>
    </xf>
    <xf numFmtId="37" fontId="48" fillId="0" borderId="30" xfId="382" applyNumberFormat="1" applyFont="1" applyFill="1" applyBorder="1" applyAlignment="1">
      <alignment horizontal="right"/>
    </xf>
    <xf numFmtId="164" fontId="48" fillId="0" borderId="0" xfId="382" applyNumberFormat="1" applyFont="1" applyFill="1" applyBorder="1"/>
    <xf numFmtId="164" fontId="64" fillId="0" borderId="0" xfId="382" applyNumberFormat="1" applyFont="1" applyFill="1" applyAlignment="1">
      <alignment horizontal="left"/>
    </xf>
    <xf numFmtId="164" fontId="46" fillId="0" borderId="0" xfId="0" applyNumberFormat="1" applyFont="1" applyFill="1"/>
    <xf numFmtId="1" fontId="64" fillId="0" borderId="0" xfId="511" applyNumberFormat="1" applyFont="1" applyFill="1" applyAlignment="1">
      <alignment horizontal="left"/>
    </xf>
    <xf numFmtId="0" fontId="44" fillId="0" borderId="0" xfId="504" applyFont="1" applyFill="1" applyBorder="1" applyAlignment="1">
      <alignment horizontal="right"/>
    </xf>
    <xf numFmtId="43" fontId="123" fillId="0" borderId="0" xfId="382" applyFont="1" applyFill="1" applyAlignment="1">
      <alignment horizontal="center"/>
    </xf>
    <xf numFmtId="0" fontId="44" fillId="0" borderId="0" xfId="0" applyFont="1" applyFill="1" applyAlignment="1">
      <alignment horizontal="right"/>
    </xf>
    <xf numFmtId="43" fontId="44" fillId="0" borderId="0" xfId="0" applyNumberFormat="1" applyFont="1" applyFill="1" applyAlignment="1">
      <alignment horizontal="right"/>
    </xf>
    <xf numFmtId="43" fontId="44" fillId="0" borderId="0" xfId="382" applyNumberFormat="1" applyFont="1" applyFill="1" applyBorder="1"/>
    <xf numFmtId="43" fontId="44" fillId="0" borderId="0" xfId="504" applyNumberFormat="1" applyFont="1" applyFill="1" applyBorder="1"/>
    <xf numFmtId="0" fontId="45" fillId="0" borderId="0" xfId="0" applyFont="1" applyFill="1" applyAlignment="1">
      <alignment horizontal="left"/>
    </xf>
    <xf numFmtId="0" fontId="45" fillId="0" borderId="0" xfId="0" applyFont="1" applyFill="1" applyAlignment="1">
      <alignment horizontal="left" indent="2"/>
    </xf>
    <xf numFmtId="0" fontId="45" fillId="0" borderId="0" xfId="504" applyFont="1" applyFill="1" applyBorder="1" applyAlignment="1">
      <alignment horizontal="left" indent="2"/>
    </xf>
    <xf numFmtId="0" fontId="45" fillId="0" borderId="0" xfId="504" applyNumberFormat="1" applyFont="1" applyFill="1" applyBorder="1" applyAlignment="1">
      <alignment horizontal="left" wrapText="1" indent="2"/>
    </xf>
    <xf numFmtId="0" fontId="45" fillId="0" borderId="0" xfId="504" applyFont="1" applyFill="1" applyAlignment="1">
      <alignment horizontal="left" indent="2"/>
    </xf>
    <xf numFmtId="0" fontId="44" fillId="0" borderId="0" xfId="504" applyFont="1" applyFill="1" applyAlignment="1">
      <alignment horizontal="center" wrapText="1"/>
    </xf>
    <xf numFmtId="43" fontId="131" fillId="0" borderId="0" xfId="382" applyFont="1" applyFill="1"/>
    <xf numFmtId="164" fontId="26" fillId="0" borderId="0" xfId="382" quotePrefix="1" applyNumberFormat="1" applyFont="1" applyBorder="1" applyAlignment="1">
      <alignment horizontal="center"/>
    </xf>
    <xf numFmtId="0" fontId="44" fillId="0" borderId="0" xfId="512" applyNumberFormat="1" applyFont="1" applyFill="1" applyAlignment="1">
      <alignment horizontal="left" vertical="top"/>
    </xf>
    <xf numFmtId="0" fontId="130" fillId="0" borderId="0" xfId="504" applyFont="1"/>
    <xf numFmtId="0" fontId="130" fillId="0" borderId="0" xfId="504" applyFont="1" applyBorder="1"/>
    <xf numFmtId="0" fontId="130" fillId="0" borderId="0" xfId="504" applyFont="1" applyFill="1" applyBorder="1" applyAlignment="1">
      <alignment horizontal="center" wrapText="1"/>
    </xf>
    <xf numFmtId="0" fontId="130" fillId="0" borderId="0" xfId="0" applyFont="1" applyFill="1" applyBorder="1"/>
    <xf numFmtId="164" fontId="130" fillId="0" borderId="0" xfId="382" applyNumberFormat="1" applyFont="1" applyBorder="1"/>
    <xf numFmtId="164" fontId="130" fillId="0" borderId="0" xfId="382" applyNumberFormat="1" applyFont="1" applyFill="1" applyBorder="1"/>
    <xf numFmtId="0" fontId="130" fillId="0" borderId="0" xfId="504" applyFont="1" applyFill="1" applyBorder="1"/>
    <xf numFmtId="0" fontId="143" fillId="0" borderId="0" xfId="0" applyFont="1" applyFill="1" applyBorder="1" applyAlignment="1">
      <alignment horizontal="left"/>
    </xf>
    <xf numFmtId="0" fontId="130" fillId="0" borderId="0" xfId="0" applyFont="1" applyFill="1" applyBorder="1" applyAlignment="1"/>
    <xf numFmtId="0" fontId="143" fillId="0" borderId="0" xfId="0" applyNumberFormat="1" applyFont="1" applyFill="1" applyBorder="1" applyAlignment="1">
      <alignment horizontal="center"/>
    </xf>
    <xf numFmtId="0" fontId="130" fillId="0" borderId="0" xfId="0" applyFont="1" applyFill="1" applyBorder="1" applyAlignment="1">
      <alignment horizontal="center" wrapText="1"/>
    </xf>
    <xf numFmtId="0" fontId="44" fillId="0" borderId="0" xfId="0" applyFont="1" applyFill="1" applyBorder="1" applyAlignment="1">
      <alignment horizontal="left" vertical="top"/>
    </xf>
    <xf numFmtId="0" fontId="44" fillId="0" borderId="16" xfId="0" applyFont="1" applyFill="1" applyBorder="1"/>
    <xf numFmtId="164" fontId="44" fillId="0" borderId="16" xfId="382" applyNumberFormat="1" applyFont="1" applyFill="1" applyBorder="1"/>
    <xf numFmtId="0" fontId="144" fillId="0" borderId="0" xfId="0" applyFont="1" applyFill="1"/>
    <xf numFmtId="164" fontId="44" fillId="0" borderId="0" xfId="382" applyNumberFormat="1" applyFont="1" applyBorder="1" applyAlignment="1">
      <alignment vertical="top"/>
    </xf>
    <xf numFmtId="170" fontId="56" fillId="0" borderId="0" xfId="382" applyNumberFormat="1" applyFont="1" applyFill="1" applyBorder="1" applyAlignment="1">
      <alignment horizontal="center"/>
    </xf>
    <xf numFmtId="164" fontId="44" fillId="0" borderId="0" xfId="382" applyNumberFormat="1" applyFont="1" applyFill="1" applyAlignment="1">
      <alignment vertical="top"/>
    </xf>
    <xf numFmtId="0" fontId="44" fillId="0" borderId="0" xfId="0" quotePrefix="1" applyFont="1" applyFill="1" applyAlignment="1">
      <alignment horizontal="left" vertical="top"/>
    </xf>
    <xf numFmtId="3" fontId="44" fillId="0" borderId="0" xfId="11265" quotePrefix="1" applyNumberFormat="1" applyFont="1" applyFill="1" applyAlignment="1"/>
    <xf numFmtId="43" fontId="64" fillId="0" borderId="0" xfId="511" applyNumberFormat="1" applyFont="1" applyFill="1" applyAlignment="1">
      <alignment horizontal="left"/>
    </xf>
    <xf numFmtId="0" fontId="64" fillId="0" borderId="0" xfId="511" applyFont="1" applyFill="1" applyAlignment="1">
      <alignment horizontal="center"/>
    </xf>
    <xf numFmtId="0" fontId="64" fillId="0" borderId="0" xfId="511" applyFont="1" applyFill="1" applyAlignment="1">
      <alignment horizontal="left"/>
    </xf>
    <xf numFmtId="2" fontId="64" fillId="0" borderId="0" xfId="511" applyNumberFormat="1" applyFont="1" applyFill="1" applyAlignment="1">
      <alignment horizontal="left"/>
    </xf>
    <xf numFmtId="0" fontId="64" fillId="0" borderId="0" xfId="511" applyFont="1" applyFill="1"/>
    <xf numFmtId="0" fontId="129" fillId="0" borderId="0" xfId="0" applyFont="1" applyFill="1"/>
    <xf numFmtId="193" fontId="44" fillId="0" borderId="0" xfId="0" applyNumberFormat="1" applyFont="1" applyFill="1" applyBorder="1"/>
    <xf numFmtId="170" fontId="112" fillId="0" borderId="0" xfId="382" applyNumberFormat="1" applyFont="1" applyFill="1" applyBorder="1" applyAlignment="1"/>
    <xf numFmtId="164" fontId="112" fillId="0" borderId="0" xfId="382" applyNumberFormat="1" applyFont="1" applyFill="1" applyBorder="1" applyAlignment="1">
      <alignment horizontal="right"/>
    </xf>
    <xf numFmtId="0" fontId="44" fillId="0" borderId="0" xfId="0" applyNumberFormat="1" applyFont="1" applyFill="1" applyBorder="1" applyAlignment="1"/>
    <xf numFmtId="164" fontId="64" fillId="0" borderId="0" xfId="382" applyNumberFormat="1" applyFont="1" applyFill="1" applyAlignment="1"/>
    <xf numFmtId="0" fontId="44" fillId="0" borderId="0" xfId="0" applyFont="1" applyFill="1" applyBorder="1" applyAlignment="1">
      <alignment horizontal="left" wrapText="1" indent="1"/>
    </xf>
    <xf numFmtId="0" fontId="44" fillId="0" borderId="0" xfId="0" applyFont="1" applyFill="1" applyBorder="1" applyAlignment="1">
      <alignment horizontal="left" wrapText="1"/>
    </xf>
    <xf numFmtId="164" fontId="44" fillId="0" borderId="0" xfId="382" applyNumberFormat="1" applyFont="1" applyFill="1" applyBorder="1" applyAlignment="1">
      <alignment vertical="top"/>
    </xf>
    <xf numFmtId="164" fontId="26" fillId="0" borderId="18" xfId="382" applyNumberFormat="1" applyFont="1" applyFill="1" applyBorder="1"/>
    <xf numFmtId="164" fontId="44" fillId="37" borderId="0" xfId="382" applyNumberFormat="1" applyFont="1" applyFill="1" applyAlignment="1">
      <alignment horizontal="left" vertical="top" indent="2"/>
    </xf>
    <xf numFmtId="164" fontId="44" fillId="37" borderId="18" xfId="382" applyNumberFormat="1" applyFont="1" applyFill="1" applyBorder="1" applyAlignment="1">
      <alignment horizontal="left" vertical="top" indent="2"/>
    </xf>
    <xf numFmtId="0" fontId="44" fillId="0" borderId="0" xfId="474" quotePrefix="1" applyFont="1" applyAlignment="1">
      <alignment horizontal="center" vertical="top"/>
    </xf>
    <xf numFmtId="0" fontId="44" fillId="52" borderId="0" xfId="0" applyFont="1" applyFill="1" applyBorder="1" applyAlignment="1">
      <alignment horizontal="left" wrapText="1"/>
    </xf>
    <xf numFmtId="0" fontId="44" fillId="0" borderId="0" xfId="0" applyFont="1" applyFill="1" applyAlignment="1">
      <alignment horizontal="left" vertical="top" wrapText="1"/>
    </xf>
    <xf numFmtId="0" fontId="44" fillId="0" borderId="0" xfId="0" applyFont="1" applyFill="1" applyAlignment="1">
      <alignment horizontal="center"/>
    </xf>
    <xf numFmtId="0" fontId="44" fillId="0" borderId="0" xfId="0" applyFont="1" applyFill="1" applyBorder="1" applyAlignment="1">
      <alignment horizontal="left" wrapText="1"/>
    </xf>
    <xf numFmtId="0" fontId="44" fillId="0" borderId="0" xfId="0" applyFont="1" applyFill="1" applyAlignment="1">
      <alignment horizontal="left" vertical="top"/>
    </xf>
    <xf numFmtId="0" fontId="146" fillId="0" borderId="0" xfId="0" applyFont="1"/>
    <xf numFmtId="0" fontId="147" fillId="0" borderId="0" xfId="513" applyFont="1"/>
    <xf numFmtId="0" fontId="148" fillId="0" borderId="0" xfId="0" applyFont="1" applyFill="1"/>
    <xf numFmtId="0" fontId="147" fillId="0" borderId="0" xfId="511" applyFont="1" applyFill="1"/>
    <xf numFmtId="43" fontId="64" fillId="0" borderId="0" xfId="425" applyFont="1" applyFill="1"/>
    <xf numFmtId="164" fontId="147" fillId="0" borderId="0" xfId="382" applyNumberFormat="1" applyFont="1" applyFill="1" applyBorder="1"/>
    <xf numFmtId="0" fontId="44" fillId="0" borderId="0" xfId="474" applyFont="1" applyFill="1" applyAlignment="1">
      <alignment horizontal="left" vertical="top"/>
    </xf>
    <xf numFmtId="0" fontId="44" fillId="0" borderId="0" xfId="474" quotePrefix="1" applyFont="1" applyFill="1" applyAlignment="1">
      <alignment horizontal="left" vertical="top"/>
    </xf>
    <xf numFmtId="0" fontId="130" fillId="0" borderId="0" xfId="0" applyFont="1" applyFill="1"/>
    <xf numFmtId="0" fontId="126" fillId="0" borderId="0" xfId="484" applyFont="1" applyFill="1" applyBorder="1" applyAlignment="1">
      <alignment vertical="top"/>
    </xf>
    <xf numFmtId="0" fontId="64" fillId="0" borderId="0" xfId="511" applyFont="1" applyAlignment="1">
      <alignment horizontal="left" vertical="top"/>
    </xf>
    <xf numFmtId="0" fontId="149" fillId="0" borderId="0" xfId="0" applyFont="1" applyFill="1" applyBorder="1" applyAlignment="1">
      <alignment horizontal="left"/>
    </xf>
    <xf numFmtId="0" fontId="142" fillId="0" borderId="0" xfId="0" applyFont="1" applyFill="1" applyBorder="1" applyAlignment="1">
      <alignment horizontal="center"/>
    </xf>
    <xf numFmtId="199" fontId="44" fillId="0" borderId="11" xfId="382" applyNumberFormat="1" applyFont="1" applyFill="1" applyBorder="1" applyAlignment="1">
      <alignment horizontal="right"/>
    </xf>
    <xf numFmtId="199" fontId="44" fillId="0" borderId="11" xfId="382" applyNumberFormat="1" applyFont="1" applyFill="1" applyBorder="1"/>
    <xf numFmtId="199" fontId="44" fillId="0" borderId="30" xfId="382" applyNumberFormat="1" applyFont="1" applyFill="1" applyBorder="1"/>
    <xf numFmtId="199" fontId="44" fillId="0" borderId="30" xfId="382" applyNumberFormat="1" applyFont="1" applyFill="1" applyBorder="1" applyAlignment="1">
      <alignment horizontal="right"/>
    </xf>
    <xf numFmtId="199" fontId="44" fillId="0" borderId="11" xfId="382" applyNumberFormat="1" applyFont="1" applyBorder="1"/>
    <xf numFmtId="169" fontId="112" fillId="0" borderId="0" xfId="37694" applyFont="1" applyAlignment="1">
      <alignment horizontal="center"/>
    </xf>
    <xf numFmtId="49" fontId="112" fillId="0" borderId="0" xfId="37696" applyNumberFormat="1" applyFont="1" applyFill="1" applyAlignment="1" applyProtection="1">
      <protection locked="0"/>
    </xf>
    <xf numFmtId="0" fontId="112" fillId="0" borderId="0" xfId="37696" applyNumberFormat="1" applyFont="1" applyFill="1" applyAlignment="1">
      <alignment wrapText="1"/>
    </xf>
    <xf numFmtId="0" fontId="112" fillId="0" borderId="0" xfId="37696" applyNumberFormat="1" applyFont="1" applyFill="1" applyAlignment="1" applyProtection="1">
      <alignment horizontal="left"/>
      <protection locked="0"/>
    </xf>
    <xf numFmtId="164" fontId="112" fillId="0" borderId="6" xfId="382" applyNumberFormat="1" applyFont="1" applyBorder="1" applyAlignment="1"/>
    <xf numFmtId="0" fontId="46" fillId="0" borderId="5" xfId="0" applyNumberFormat="1" applyFont="1" applyFill="1" applyBorder="1" applyAlignment="1">
      <alignment horizontal="left"/>
    </xf>
    <xf numFmtId="0" fontId="46" fillId="0" borderId="5" xfId="0" applyFont="1" applyFill="1" applyBorder="1" applyAlignment="1">
      <alignment horizontal="center"/>
    </xf>
    <xf numFmtId="0" fontId="61" fillId="0" borderId="0" xfId="0" applyFont="1" applyFill="1" applyBorder="1"/>
    <xf numFmtId="3" fontId="48" fillId="0" borderId="35" xfId="0" quotePrefix="1" applyNumberFormat="1" applyFont="1" applyFill="1" applyBorder="1" applyAlignment="1">
      <alignment horizontal="left"/>
    </xf>
    <xf numFmtId="0" fontId="46" fillId="0" borderId="0" xfId="0" applyFont="1" applyFill="1" applyBorder="1" applyAlignment="1">
      <alignment horizontal="left"/>
    </xf>
    <xf numFmtId="3" fontId="48" fillId="0" borderId="18" xfId="0" applyNumberFormat="1" applyFont="1" applyFill="1" applyBorder="1" applyAlignment="1">
      <alignment horizontal="center"/>
    </xf>
    <xf numFmtId="168" fontId="129" fillId="0" borderId="0" xfId="0" applyNumberFormat="1" applyFont="1" applyFill="1" applyBorder="1" applyAlignment="1">
      <alignment horizontal="left"/>
    </xf>
    <xf numFmtId="3" fontId="46" fillId="0" borderId="38" xfId="0" applyNumberFormat="1" applyFont="1" applyFill="1" applyBorder="1" applyAlignment="1">
      <alignment horizontal="right"/>
    </xf>
    <xf numFmtId="0" fontId="129" fillId="0" borderId="0" xfId="0" applyFont="1"/>
    <xf numFmtId="3" fontId="48" fillId="0" borderId="35" xfId="0" applyNumberFormat="1" applyFont="1" applyFill="1" applyBorder="1"/>
    <xf numFmtId="3" fontId="48" fillId="0" borderId="36" xfId="0" applyNumberFormat="1" applyFont="1" applyFill="1" applyBorder="1" applyAlignment="1">
      <alignment horizontal="right"/>
    </xf>
    <xf numFmtId="0" fontId="48" fillId="50" borderId="0" xfId="0" applyFont="1" applyFill="1" applyBorder="1" applyAlignment="1">
      <alignment horizontal="center"/>
    </xf>
    <xf numFmtId="3" fontId="48" fillId="0" borderId="35" xfId="0" applyNumberFormat="1" applyFont="1" applyFill="1" applyBorder="1" applyAlignment="1">
      <alignment wrapText="1"/>
    </xf>
    <xf numFmtId="37" fontId="48" fillId="0" borderId="35" xfId="0" quotePrefix="1" applyNumberFormat="1" applyFont="1" applyFill="1" applyBorder="1" applyAlignment="1"/>
    <xf numFmtId="169" fontId="112" fillId="0" borderId="7" xfId="37696" applyFont="1" applyFill="1" applyBorder="1" applyAlignment="1"/>
    <xf numFmtId="0" fontId="112" fillId="0" borderId="7" xfId="37696" applyNumberFormat="1" applyFont="1" applyFill="1" applyBorder="1" applyProtection="1">
      <protection locked="0"/>
    </xf>
    <xf numFmtId="0" fontId="112" fillId="51" borderId="0" xfId="37695" applyFont="1" applyFill="1"/>
    <xf numFmtId="0" fontId="112" fillId="51" borderId="0" xfId="37696" applyNumberFormat="1" applyFont="1" applyFill="1"/>
    <xf numFmtId="169" fontId="112" fillId="51" borderId="0" xfId="37694" applyFont="1" applyFill="1" applyAlignment="1"/>
    <xf numFmtId="0" fontId="112" fillId="51" borderId="0" xfId="37695" applyFont="1" applyFill="1" applyAlignment="1">
      <alignment horizontal="right"/>
    </xf>
    <xf numFmtId="169" fontId="133" fillId="51" borderId="0" xfId="37694" applyFont="1" applyFill="1" applyAlignment="1">
      <alignment horizontal="center" vertical="center"/>
    </xf>
    <xf numFmtId="170" fontId="112" fillId="0" borderId="0" xfId="382" applyNumberFormat="1" applyFont="1" applyFill="1" applyAlignment="1">
      <alignment horizontal="center" vertical="top"/>
    </xf>
    <xf numFmtId="0" fontId="112" fillId="0" borderId="0" xfId="37694" applyNumberFormat="1" applyFont="1" applyFill="1" applyAlignment="1">
      <alignment vertical="top"/>
    </xf>
    <xf numFmtId="1" fontId="44" fillId="0" borderId="0" xfId="510" applyNumberFormat="1" applyFont="1" applyFill="1" applyBorder="1" applyAlignment="1">
      <alignment horizontal="left"/>
    </xf>
    <xf numFmtId="0" fontId="44" fillId="0" borderId="6" xfId="0" applyFont="1" applyFill="1" applyBorder="1" applyAlignment="1">
      <alignment horizontal="left" wrapText="1"/>
    </xf>
    <xf numFmtId="0" fontId="44" fillId="0" borderId="0" xfId="504" quotePrefix="1" applyFont="1" applyAlignment="1">
      <alignment horizontal="center" vertical="top"/>
    </xf>
    <xf numFmtId="0" fontId="26" fillId="0" borderId="18" xfId="0" applyFont="1" applyFill="1" applyBorder="1" applyAlignment="1">
      <alignment horizontal="left" indent="1"/>
    </xf>
    <xf numFmtId="164" fontId="24" fillId="0" borderId="18" xfId="382" applyNumberFormat="1" applyFont="1" applyFill="1" applyBorder="1"/>
    <xf numFmtId="0" fontId="26" fillId="0" borderId="0" xfId="0" applyFont="1" applyFill="1" applyAlignment="1">
      <alignment horizontal="left"/>
    </xf>
    <xf numFmtId="164" fontId="44" fillId="0" borderId="17" xfId="382" applyNumberFormat="1" applyFont="1" applyFill="1" applyBorder="1" applyAlignment="1">
      <alignment vertical="top"/>
    </xf>
    <xf numFmtId="164" fontId="44" fillId="0" borderId="0" xfId="382" applyNumberFormat="1" applyFont="1" applyFill="1" applyAlignment="1">
      <alignment horizontal="left" vertical="top" indent="2"/>
    </xf>
    <xf numFmtId="0" fontId="64" fillId="0" borderId="0" xfId="511" quotePrefix="1" applyFont="1" applyFill="1" applyAlignment="1">
      <alignment horizontal="center"/>
    </xf>
    <xf numFmtId="0" fontId="64" fillId="0" borderId="0" xfId="511" quotePrefix="1" applyFont="1" applyFill="1" applyAlignment="1">
      <alignment horizontal="center" vertical="top"/>
    </xf>
    <xf numFmtId="0" fontId="141" fillId="0" borderId="0" xfId="0" applyFont="1" applyFill="1"/>
    <xf numFmtId="0" fontId="141" fillId="0" borderId="0" xfId="511" applyFont="1" applyFill="1"/>
    <xf numFmtId="0" fontId="44" fillId="0" borderId="0" xfId="484" quotePrefix="1" applyFont="1" applyFill="1" applyAlignment="1">
      <alignment vertical="top"/>
    </xf>
    <xf numFmtId="0" fontId="93" fillId="0" borderId="0" xfId="0" applyFont="1" applyFill="1" applyAlignment="1">
      <alignment horizontal="left"/>
    </xf>
    <xf numFmtId="0" fontId="93" fillId="0" borderId="0" xfId="0" applyFont="1" applyFill="1"/>
    <xf numFmtId="0" fontId="45" fillId="0" borderId="16" xfId="0" applyFont="1" applyFill="1" applyBorder="1" applyAlignment="1">
      <alignment horizontal="left" indent="1"/>
    </xf>
    <xf numFmtId="1" fontId="64" fillId="0" borderId="0" xfId="11275" applyNumberFormat="1" applyFont="1" applyFill="1" applyAlignment="1">
      <alignment horizontal="left"/>
    </xf>
    <xf numFmtId="0" fontId="64" fillId="0" borderId="0" xfId="11275" applyFont="1" applyFill="1" applyAlignment="1">
      <alignment horizontal="left"/>
    </xf>
    <xf numFmtId="0" fontId="26" fillId="0" borderId="0" xfId="11271" quotePrefix="1" applyFont="1" applyFill="1" applyAlignment="1">
      <alignment horizontal="center"/>
    </xf>
    <xf numFmtId="2" fontId="44" fillId="0" borderId="0" xfId="474" applyNumberFormat="1" applyFont="1" applyFill="1" applyAlignment="1">
      <alignment horizontal="left" vertical="top"/>
    </xf>
    <xf numFmtId="0" fontId="44" fillId="0" borderId="0" xfId="0" applyFont="1" applyAlignment="1">
      <alignment horizontal="center" vertical="center"/>
    </xf>
    <xf numFmtId="0" fontId="23" fillId="0" borderId="0" xfId="0" applyFont="1" applyFill="1" applyAlignment="1">
      <alignment horizontal="center"/>
    </xf>
    <xf numFmtId="0" fontId="23" fillId="0" borderId="0" xfId="0" applyFont="1"/>
    <xf numFmtId="164" fontId="23" fillId="0" borderId="17" xfId="382" applyNumberFormat="1" applyFont="1" applyBorder="1"/>
    <xf numFmtId="164" fontId="44" fillId="0" borderId="17" xfId="382" applyNumberFormat="1" applyFont="1" applyFill="1" applyBorder="1"/>
    <xf numFmtId="0" fontId="23" fillId="0" borderId="0" xfId="0" applyFont="1" applyFill="1"/>
    <xf numFmtId="164" fontId="23" fillId="0" borderId="0" xfId="423" applyNumberFormat="1" applyFont="1" applyFill="1"/>
    <xf numFmtId="164" fontId="23" fillId="0" borderId="0" xfId="382" applyNumberFormat="1" applyFont="1" applyFill="1"/>
    <xf numFmtId="0" fontId="23" fillId="0" borderId="0" xfId="0" applyFont="1" applyFill="1" applyAlignment="1">
      <alignment horizontal="left" indent="1"/>
    </xf>
    <xf numFmtId="164" fontId="23" fillId="0" borderId="0" xfId="382" applyNumberFormat="1" applyFont="1"/>
    <xf numFmtId="164" fontId="23" fillId="0" borderId="17" xfId="382" applyNumberFormat="1" applyFont="1" applyFill="1" applyBorder="1"/>
    <xf numFmtId="0" fontId="23" fillId="0" borderId="0" xfId="0" quotePrefix="1" applyFont="1" applyAlignment="1">
      <alignment horizontal="center" vertical="top"/>
    </xf>
    <xf numFmtId="0" fontId="23" fillId="0" borderId="0" xfId="0" applyFont="1" applyAlignment="1">
      <alignment horizontal="center"/>
    </xf>
    <xf numFmtId="0" fontId="23" fillId="0" borderId="0" xfId="0" applyFont="1" applyFill="1" applyAlignment="1">
      <alignment horizontal="left"/>
    </xf>
    <xf numFmtId="3" fontId="112" fillId="0" borderId="0" xfId="37696" applyNumberFormat="1" applyFont="1" applyFill="1" applyAlignment="1">
      <alignment vertical="top" wrapText="1"/>
    </xf>
    <xf numFmtId="0" fontId="112" fillId="0" borderId="0" xfId="37696" applyNumberFormat="1" applyFont="1" applyFill="1" applyAlignment="1">
      <alignment horizontal="left" vertical="top"/>
    </xf>
    <xf numFmtId="169" fontId="112" fillId="0" borderId="0" xfId="37694" quotePrefix="1" applyFont="1" applyFill="1" applyAlignment="1">
      <alignment vertical="top"/>
    </xf>
    <xf numFmtId="0" fontId="44" fillId="0" borderId="0" xfId="513" applyFont="1"/>
    <xf numFmtId="0" fontId="64" fillId="0" borderId="0" xfId="0" applyFont="1" applyFill="1" applyAlignment="1">
      <alignment horizontal="center"/>
    </xf>
    <xf numFmtId="0" fontId="22" fillId="0" borderId="0" xfId="0" applyFont="1" applyFill="1" applyAlignment="1">
      <alignment horizontal="center"/>
    </xf>
    <xf numFmtId="0" fontId="22" fillId="0" borderId="0" xfId="0" applyFont="1" applyFill="1"/>
    <xf numFmtId="164" fontId="22" fillId="0" borderId="0" xfId="423" applyNumberFormat="1" applyFont="1" applyFill="1"/>
    <xf numFmtId="0" fontId="22" fillId="0" borderId="0" xfId="0" applyFont="1" applyFill="1" applyAlignment="1">
      <alignment horizontal="left" indent="1"/>
    </xf>
    <xf numFmtId="164" fontId="22" fillId="0" borderId="0" xfId="382" applyNumberFormat="1" applyFont="1" applyFill="1"/>
    <xf numFmtId="0" fontId="22" fillId="0" borderId="0" xfId="0" applyFont="1" applyFill="1" applyAlignment="1">
      <alignment horizontal="left"/>
    </xf>
    <xf numFmtId="164" fontId="22" fillId="0" borderId="0" xfId="0" applyNumberFormat="1" applyFont="1" applyFill="1"/>
    <xf numFmtId="164" fontId="22" fillId="0" borderId="0" xfId="0" applyNumberFormat="1" applyFont="1" applyFill="1" applyBorder="1"/>
    <xf numFmtId="164" fontId="22" fillId="0" borderId="17" xfId="0" applyNumberFormat="1" applyFont="1" applyFill="1" applyBorder="1"/>
    <xf numFmtId="43" fontId="22" fillId="0" borderId="0" xfId="423" applyFont="1" applyFill="1"/>
    <xf numFmtId="9" fontId="64" fillId="0" borderId="0" xfId="674" applyFont="1"/>
    <xf numFmtId="164" fontId="21" fillId="0" borderId="18" xfId="382" applyNumberFormat="1" applyFont="1" applyFill="1" applyBorder="1"/>
    <xf numFmtId="0" fontId="46" fillId="0" borderId="56" xfId="0" applyFont="1" applyFill="1" applyBorder="1" applyAlignment="1">
      <alignment horizontal="center"/>
    </xf>
    <xf numFmtId="0" fontId="46" fillId="50" borderId="56" xfId="0" applyFont="1" applyFill="1" applyBorder="1" applyAlignment="1">
      <alignment horizontal="left"/>
    </xf>
    <xf numFmtId="0" fontId="48" fillId="0" borderId="22" xfId="0" applyFont="1" applyBorder="1"/>
    <xf numFmtId="0" fontId="48" fillId="0" borderId="59" xfId="0" applyFont="1" applyFill="1" applyBorder="1" applyAlignment="1">
      <alignment horizontal="center" wrapText="1"/>
    </xf>
    <xf numFmtId="3" fontId="48" fillId="0" borderId="60" xfId="0" applyNumberFormat="1" applyFont="1" applyBorder="1" applyAlignment="1"/>
    <xf numFmtId="164" fontId="48" fillId="0" borderId="60" xfId="382" applyNumberFormat="1" applyFont="1" applyFill="1" applyBorder="1" applyAlignment="1"/>
    <xf numFmtId="164" fontId="48" fillId="0" borderId="61" xfId="382" applyNumberFormat="1" applyFont="1" applyFill="1" applyBorder="1" applyAlignment="1"/>
    <xf numFmtId="164" fontId="48" fillId="0" borderId="62" xfId="382" applyNumberFormat="1" applyFont="1" applyFill="1" applyBorder="1" applyAlignment="1"/>
    <xf numFmtId="171" fontId="46" fillId="0" borderId="60" xfId="674" applyNumberFormat="1" applyFont="1" applyFill="1" applyBorder="1" applyAlignment="1"/>
    <xf numFmtId="0" fontId="48" fillId="0" borderId="60" xfId="0" applyFont="1" applyFill="1" applyBorder="1"/>
    <xf numFmtId="164" fontId="48" fillId="0" borderId="60" xfId="382" applyNumberFormat="1" applyFont="1" applyFill="1" applyBorder="1"/>
    <xf numFmtId="171" fontId="46" fillId="0" borderId="60" xfId="674" applyNumberFormat="1" applyFont="1" applyBorder="1" applyAlignment="1"/>
    <xf numFmtId="0" fontId="48" fillId="50" borderId="64" xfId="0" applyFont="1" applyFill="1" applyBorder="1" applyAlignment="1">
      <alignment horizontal="center" wrapText="1"/>
    </xf>
    <xf numFmtId="0" fontId="48" fillId="0" borderId="60" xfId="0" applyFont="1" applyFill="1" applyBorder="1" applyAlignment="1">
      <alignment horizontal="center" wrapText="1"/>
    </xf>
    <xf numFmtId="3" fontId="48" fillId="0" borderId="60" xfId="0" applyNumberFormat="1" applyFont="1" applyFill="1" applyBorder="1" applyAlignment="1"/>
    <xf numFmtId="164" fontId="46" fillId="0" borderId="60" xfId="382" applyNumberFormat="1" applyFont="1" applyFill="1" applyBorder="1" applyAlignment="1"/>
    <xf numFmtId="171" fontId="48" fillId="0" borderId="61" xfId="674" applyNumberFormat="1" applyFont="1" applyFill="1" applyBorder="1" applyAlignment="1"/>
    <xf numFmtId="164" fontId="46" fillId="0" borderId="63" xfId="382" applyNumberFormat="1" applyFont="1" applyFill="1" applyBorder="1"/>
    <xf numFmtId="164" fontId="69" fillId="0" borderId="60" xfId="382" applyNumberFormat="1" applyFont="1" applyFill="1" applyBorder="1"/>
    <xf numFmtId="3" fontId="48" fillId="0" borderId="60" xfId="0" applyNumberFormat="1" applyFont="1" applyBorder="1"/>
    <xf numFmtId="171" fontId="48" fillId="0" borderId="61" xfId="0" applyNumberFormat="1" applyFont="1" applyFill="1" applyBorder="1" applyAlignment="1">
      <alignment horizontal="right"/>
    </xf>
    <xf numFmtId="164" fontId="48" fillId="0" borderId="60" xfId="382" applyNumberFormat="1" applyFont="1" applyFill="1" applyBorder="1" applyAlignment="1">
      <alignment horizontal="right"/>
    </xf>
    <xf numFmtId="164" fontId="48" fillId="0" borderId="65" xfId="382" applyNumberFormat="1" applyFont="1" applyFill="1" applyBorder="1" applyAlignment="1">
      <alignment horizontal="right"/>
    </xf>
    <xf numFmtId="3" fontId="48" fillId="0" borderId="60" xfId="0" applyNumberFormat="1" applyFont="1" applyFill="1" applyBorder="1" applyAlignment="1">
      <alignment horizontal="right"/>
    </xf>
    <xf numFmtId="164" fontId="48" fillId="37" borderId="60" xfId="382" applyNumberFormat="1" applyFont="1" applyFill="1" applyBorder="1" applyAlignment="1"/>
    <xf numFmtId="3" fontId="46" fillId="0" borderId="60" xfId="0" applyNumberFormat="1" applyFont="1" applyFill="1" applyBorder="1" applyAlignment="1"/>
    <xf numFmtId="171" fontId="48" fillId="0" borderId="60" xfId="0" applyNumberFormat="1" applyFont="1" applyFill="1" applyBorder="1" applyAlignment="1">
      <alignment horizontal="right"/>
    </xf>
    <xf numFmtId="164" fontId="48" fillId="0" borderId="61" xfId="382" applyNumberFormat="1" applyFont="1" applyFill="1" applyBorder="1" applyAlignment="1">
      <alignment horizontal="right"/>
    </xf>
    <xf numFmtId="164" fontId="48" fillId="0" borderId="58" xfId="382" applyNumberFormat="1" applyFont="1" applyFill="1" applyBorder="1" applyAlignment="1">
      <alignment horizontal="right"/>
    </xf>
    <xf numFmtId="164" fontId="46" fillId="0" borderId="60" xfId="382" applyNumberFormat="1" applyFont="1" applyFill="1" applyBorder="1"/>
    <xf numFmtId="0" fontId="48" fillId="0" borderId="60" xfId="0" applyFont="1" applyBorder="1"/>
    <xf numFmtId="164" fontId="46" fillId="0" borderId="60" xfId="382" applyNumberFormat="1" applyFont="1" applyFill="1" applyBorder="1" applyAlignment="1">
      <alignment horizontal="right"/>
    </xf>
    <xf numFmtId="164" fontId="48" fillId="37" borderId="61" xfId="382" applyNumberFormat="1" applyFont="1" applyFill="1" applyBorder="1" applyAlignment="1"/>
    <xf numFmtId="164" fontId="48" fillId="0" borderId="60" xfId="382" applyNumberFormat="1" applyFont="1" applyBorder="1"/>
    <xf numFmtId="164" fontId="46" fillId="0" borderId="63" xfId="382" applyNumberFormat="1" applyFont="1" applyBorder="1"/>
    <xf numFmtId="164" fontId="48" fillId="50" borderId="65" xfId="382" applyNumberFormat="1" applyFont="1" applyFill="1" applyBorder="1" applyAlignment="1">
      <alignment horizontal="center" wrapText="1"/>
    </xf>
    <xf numFmtId="164" fontId="48" fillId="0" borderId="60" xfId="382" applyNumberFormat="1" applyFont="1" applyFill="1" applyBorder="1" applyAlignment="1">
      <alignment horizontal="center" wrapText="1"/>
    </xf>
    <xf numFmtId="164" fontId="48" fillId="0" borderId="60" xfId="382" applyNumberFormat="1" applyFont="1" applyBorder="1" applyAlignment="1"/>
    <xf numFmtId="164" fontId="50" fillId="0" borderId="60" xfId="382" applyNumberFormat="1" applyFont="1" applyFill="1" applyBorder="1" applyAlignment="1">
      <alignment horizontal="right"/>
    </xf>
    <xf numFmtId="164" fontId="46" fillId="0" borderId="63" xfId="382" applyNumberFormat="1" applyFont="1" applyFill="1" applyBorder="1" applyAlignment="1"/>
    <xf numFmtId="171" fontId="50" fillId="0" borderId="60" xfId="0" applyNumberFormat="1" applyFont="1" applyFill="1" applyBorder="1" applyAlignment="1">
      <alignment horizontal="right"/>
    </xf>
    <xf numFmtId="164" fontId="48" fillId="37" borderId="61" xfId="382" applyNumberFormat="1" applyFont="1" applyFill="1" applyBorder="1" applyAlignment="1">
      <alignment horizontal="right"/>
    </xf>
    <xf numFmtId="37" fontId="48" fillId="0" borderId="61" xfId="382" applyNumberFormat="1" applyFont="1" applyFill="1" applyBorder="1" applyAlignment="1">
      <alignment horizontal="right"/>
    </xf>
    <xf numFmtId="164" fontId="46" fillId="0" borderId="63" xfId="382" applyNumberFormat="1" applyFont="1" applyFill="1" applyBorder="1" applyAlignment="1">
      <alignment horizontal="right"/>
    </xf>
    <xf numFmtId="164" fontId="48" fillId="50" borderId="64" xfId="382" applyNumberFormat="1" applyFont="1" applyFill="1" applyBorder="1" applyAlignment="1">
      <alignment horizontal="center" wrapText="1"/>
    </xf>
    <xf numFmtId="164" fontId="46" fillId="0" borderId="60" xfId="382" applyNumberFormat="1" applyFont="1" applyBorder="1" applyAlignment="1"/>
    <xf numFmtId="164" fontId="48" fillId="0" borderId="61" xfId="382" applyNumberFormat="1" applyFont="1" applyFill="1" applyBorder="1"/>
    <xf numFmtId="0" fontId="48" fillId="50" borderId="65" xfId="0" applyFont="1" applyFill="1" applyBorder="1" applyAlignment="1">
      <alignment horizontal="center" wrapText="1"/>
    </xf>
    <xf numFmtId="37" fontId="48" fillId="0" borderId="60" xfId="0" applyNumberFormat="1" applyFont="1" applyFill="1" applyBorder="1"/>
    <xf numFmtId="10" fontId="48" fillId="0" borderId="60" xfId="674" applyNumberFormat="1" applyFont="1" applyFill="1" applyBorder="1" applyAlignment="1"/>
    <xf numFmtId="10" fontId="48" fillId="0" borderId="60" xfId="0" applyNumberFormat="1" applyFont="1" applyFill="1" applyBorder="1" applyAlignment="1"/>
    <xf numFmtId="10" fontId="48" fillId="37" borderId="60" xfId="674" applyNumberFormat="1" applyFont="1" applyFill="1" applyBorder="1" applyAlignment="1"/>
    <xf numFmtId="10" fontId="48" fillId="0" borderId="61" xfId="674" applyNumberFormat="1" applyFont="1" applyFill="1" applyBorder="1" applyAlignment="1"/>
    <xf numFmtId="10" fontId="46" fillId="0" borderId="60" xfId="674" applyNumberFormat="1" applyFont="1" applyFill="1" applyBorder="1" applyAlignment="1"/>
    <xf numFmtId="166" fontId="46" fillId="0" borderId="60" xfId="0" applyNumberFormat="1" applyFont="1" applyBorder="1" applyAlignment="1"/>
    <xf numFmtId="3" fontId="46" fillId="0" borderId="66" xfId="0" applyNumberFormat="1" applyFont="1" applyBorder="1" applyAlignment="1"/>
    <xf numFmtId="166" fontId="48" fillId="0" borderId="60" xfId="0" applyNumberFormat="1" applyFont="1" applyBorder="1" applyAlignment="1"/>
    <xf numFmtId="10" fontId="48" fillId="0" borderId="60" xfId="0" applyNumberFormat="1" applyFont="1" applyFill="1" applyBorder="1"/>
    <xf numFmtId="10" fontId="48" fillId="0" borderId="60" xfId="0" applyNumberFormat="1" applyFont="1" applyFill="1" applyBorder="1" applyAlignment="1">
      <alignment horizontal="right"/>
    </xf>
    <xf numFmtId="10" fontId="48" fillId="0" borderId="60" xfId="674" applyNumberFormat="1" applyFont="1" applyBorder="1" applyAlignment="1"/>
    <xf numFmtId="164" fontId="48" fillId="0" borderId="60" xfId="382" applyNumberFormat="1" applyFont="1" applyBorder="1" applyAlignment="1">
      <alignment horizontal="right"/>
    </xf>
    <xf numFmtId="164" fontId="46" fillId="0" borderId="62" xfId="382" applyNumberFormat="1" applyFont="1" applyBorder="1"/>
    <xf numFmtId="164" fontId="46" fillId="0" borderId="67" xfId="382" applyNumberFormat="1" applyFont="1" applyFill="1" applyBorder="1"/>
    <xf numFmtId="164" fontId="46" fillId="0" borderId="60" xfId="382" applyNumberFormat="1" applyFont="1" applyBorder="1"/>
    <xf numFmtId="164" fontId="46" fillId="0" borderId="69" xfId="382" applyNumberFormat="1" applyFont="1" applyFill="1" applyBorder="1"/>
    <xf numFmtId="43" fontId="46" fillId="0" borderId="69" xfId="382" applyFont="1" applyBorder="1"/>
    <xf numFmtId="0" fontId="44" fillId="0" borderId="0" xfId="0" applyFont="1" applyFill="1" applyBorder="1" applyAlignment="1">
      <alignment horizontal="left" wrapText="1"/>
    </xf>
    <xf numFmtId="0" fontId="64" fillId="0" borderId="0" xfId="0" applyFont="1" applyFill="1" applyAlignment="1">
      <alignment horizontal="center"/>
    </xf>
    <xf numFmtId="164" fontId="64" fillId="37" borderId="0" xfId="382" applyNumberFormat="1" applyFont="1" applyFill="1" applyBorder="1"/>
    <xf numFmtId="0" fontId="141" fillId="0" borderId="0" xfId="513" applyFont="1" applyFill="1"/>
    <xf numFmtId="164" fontId="64" fillId="37" borderId="18" xfId="382" applyNumberFormat="1" applyFont="1" applyFill="1" applyBorder="1"/>
    <xf numFmtId="43" fontId="44" fillId="0" borderId="0" xfId="382" applyFont="1" applyFill="1" applyBorder="1" applyAlignment="1">
      <alignment horizontal="right"/>
    </xf>
    <xf numFmtId="0" fontId="44" fillId="0" borderId="0" xfId="484" quotePrefix="1" applyFont="1" applyFill="1" applyAlignment="1">
      <alignment horizontal="center" vertical="top"/>
    </xf>
    <xf numFmtId="0" fontId="20" fillId="0" borderId="0" xfId="0" applyFont="1" applyFill="1" applyAlignment="1">
      <alignment horizontal="left"/>
    </xf>
    <xf numFmtId="0" fontId="64" fillId="0" borderId="0" xfId="511" quotePrefix="1" applyFont="1" applyAlignment="1">
      <alignment horizontal="center"/>
    </xf>
    <xf numFmtId="0" fontId="44" fillId="0" borderId="0" xfId="511" quotePrefix="1" applyFont="1" applyFill="1" applyAlignment="1">
      <alignment horizontal="center"/>
    </xf>
    <xf numFmtId="0" fontId="23" fillId="0" borderId="0" xfId="0" quotePrefix="1" applyFont="1" applyFill="1" applyAlignment="1">
      <alignment horizontal="center" vertical="top"/>
    </xf>
    <xf numFmtId="0" fontId="25" fillId="0" borderId="0" xfId="0" applyFont="1" applyFill="1"/>
    <xf numFmtId="0" fontId="64" fillId="0" borderId="0" xfId="511" applyFont="1" applyFill="1" applyAlignment="1">
      <alignment vertical="top" wrapText="1"/>
    </xf>
    <xf numFmtId="43" fontId="26" fillId="0" borderId="18" xfId="382" applyFont="1" applyFill="1" applyBorder="1" applyAlignment="1">
      <alignment horizontal="center" wrapText="1"/>
    </xf>
    <xf numFmtId="0" fontId="141" fillId="0" borderId="0" xfId="511" applyFont="1" applyFill="1" applyAlignment="1">
      <alignment vertical="top" wrapText="1"/>
    </xf>
    <xf numFmtId="0" fontId="26" fillId="0" borderId="0" xfId="11271" applyFont="1" applyFill="1" applyAlignment="1">
      <alignment horizontal="center"/>
    </xf>
    <xf numFmtId="0" fontId="44" fillId="0" borderId="0" xfId="0" applyFont="1" applyFill="1" applyBorder="1" applyAlignment="1">
      <alignment vertical="top" wrapText="1"/>
    </xf>
    <xf numFmtId="0" fontId="64" fillId="0" borderId="0" xfId="11275" applyFont="1" applyFill="1"/>
    <xf numFmtId="0" fontId="64" fillId="0" borderId="0" xfId="569" applyFont="1" applyFill="1" applyBorder="1"/>
    <xf numFmtId="0" fontId="64" fillId="0" borderId="0" xfId="11275" quotePrefix="1" applyFont="1" applyFill="1" applyAlignment="1">
      <alignment horizontal="center"/>
    </xf>
    <xf numFmtId="0" fontId="64" fillId="0" borderId="0" xfId="11275" quotePrefix="1" applyFont="1" applyFill="1" applyAlignment="1">
      <alignment horizontal="center" vertical="top"/>
    </xf>
    <xf numFmtId="0" fontId="44" fillId="0" borderId="16" xfId="0" applyFont="1" applyFill="1" applyBorder="1" applyAlignment="1"/>
    <xf numFmtId="164" fontId="64" fillId="0" borderId="0" xfId="382" applyNumberFormat="1" applyFont="1" applyFill="1" applyBorder="1"/>
    <xf numFmtId="0" fontId="0" fillId="0" borderId="0" xfId="0" applyFill="1" applyAlignment="1">
      <alignment horizontal="center"/>
    </xf>
    <xf numFmtId="0" fontId="64" fillId="0" borderId="0" xfId="0" applyFont="1" applyFill="1" applyAlignment="1">
      <alignment horizontal="left"/>
    </xf>
    <xf numFmtId="0" fontId="0" fillId="0" borderId="0" xfId="0" quotePrefix="1" applyFill="1" applyAlignment="1">
      <alignment horizontal="center" vertical="top"/>
    </xf>
    <xf numFmtId="0" fontId="44" fillId="0" borderId="0" xfId="504" quotePrefix="1" applyFont="1" applyFill="1" applyAlignment="1">
      <alignment horizontal="center" vertical="top"/>
    </xf>
    <xf numFmtId="0" fontId="44" fillId="0" borderId="0" xfId="504" applyFont="1" applyFill="1" applyBorder="1" applyAlignment="1">
      <alignment horizontal="left" wrapText="1"/>
    </xf>
    <xf numFmtId="43" fontId="44" fillId="0" borderId="18" xfId="382" applyFont="1" applyFill="1" applyBorder="1" applyAlignment="1">
      <alignment horizontal="center"/>
    </xf>
    <xf numFmtId="166" fontId="44" fillId="0" borderId="0" xfId="678" applyNumberFormat="1" applyFont="1" applyFill="1" applyBorder="1"/>
    <xf numFmtId="0" fontId="46" fillId="0" borderId="17" xfId="0" applyNumberFormat="1" applyFont="1" applyFill="1" applyBorder="1" applyAlignment="1">
      <alignment horizontal="left"/>
    </xf>
    <xf numFmtId="37" fontId="48" fillId="0" borderId="0" xfId="0" applyNumberFormat="1" applyFont="1" applyFill="1" applyBorder="1" applyAlignment="1">
      <alignment horizontal="center"/>
    </xf>
    <xf numFmtId="3" fontId="46" fillId="0" borderId="5" xfId="0" applyNumberFormat="1" applyFont="1" applyFill="1" applyBorder="1" applyAlignment="1">
      <alignment horizontal="center"/>
    </xf>
    <xf numFmtId="3" fontId="46" fillId="0" borderId="35" xfId="0" applyNumberFormat="1" applyFont="1" applyFill="1" applyBorder="1" applyAlignment="1"/>
    <xf numFmtId="3" fontId="46" fillId="0" borderId="18" xfId="0" applyNumberFormat="1" applyFont="1" applyFill="1" applyBorder="1" applyAlignment="1">
      <alignment horizontal="center"/>
    </xf>
    <xf numFmtId="164" fontId="48" fillId="0" borderId="35" xfId="382" applyNumberFormat="1" applyFont="1" applyFill="1" applyBorder="1"/>
    <xf numFmtId="164" fontId="48" fillId="0" borderId="58" xfId="382" applyNumberFormat="1" applyFont="1" applyFill="1" applyBorder="1"/>
    <xf numFmtId="164" fontId="48" fillId="0" borderId="68" xfId="382" applyNumberFormat="1" applyFont="1" applyFill="1" applyBorder="1"/>
    <xf numFmtId="3" fontId="150" fillId="0" borderId="0" xfId="0" applyNumberFormat="1" applyFont="1" applyFill="1" applyBorder="1" applyAlignment="1">
      <alignment horizontal="center"/>
    </xf>
    <xf numFmtId="164" fontId="46" fillId="0" borderId="35" xfId="382" applyNumberFormat="1" applyFont="1" applyFill="1" applyBorder="1"/>
    <xf numFmtId="0" fontId="48" fillId="0" borderId="18" xfId="0" applyFont="1" applyFill="1" applyBorder="1" applyAlignment="1">
      <alignment horizontal="left" indent="1"/>
    </xf>
    <xf numFmtId="0" fontId="152" fillId="0" borderId="0" xfId="37698" applyFont="1" applyFill="1" applyAlignment="1"/>
    <xf numFmtId="164" fontId="135" fillId="0" borderId="0" xfId="382" applyNumberFormat="1" applyFont="1" applyFill="1" applyAlignment="1"/>
    <xf numFmtId="3" fontId="135" fillId="0" borderId="0" xfId="37698" applyNumberFormat="1" applyFont="1" applyFill="1" applyBorder="1" applyAlignment="1"/>
    <xf numFmtId="192" fontId="112" fillId="0" borderId="0" xfId="382" applyNumberFormat="1" applyFont="1" applyFill="1" applyBorder="1" applyAlignment="1"/>
    <xf numFmtId="0" fontId="112" fillId="0" borderId="0" xfId="37698" applyFont="1" applyFill="1" applyBorder="1" applyAlignment="1">
      <alignment horizontal="left" indent="1"/>
    </xf>
    <xf numFmtId="0" fontId="112" fillId="0" borderId="0" xfId="0" applyNumberFormat="1" applyFont="1" applyFill="1" applyBorder="1" applyAlignment="1">
      <alignment horizontal="left" indent="1"/>
    </xf>
    <xf numFmtId="3" fontId="112" fillId="0" borderId="0" xfId="37696" applyNumberFormat="1" applyFont="1" applyFill="1" applyBorder="1" applyAlignment="1"/>
    <xf numFmtId="0" fontId="112" fillId="0" borderId="0" xfId="382" applyNumberFormat="1" applyFont="1" applyFill="1" applyAlignment="1"/>
    <xf numFmtId="164" fontId="112" fillId="0" borderId="7" xfId="382" applyNumberFormat="1" applyFont="1" applyFill="1" applyBorder="1" applyAlignment="1">
      <alignment vertical="top"/>
    </xf>
    <xf numFmtId="49" fontId="112" fillId="0" borderId="0" xfId="37696" applyNumberFormat="1" applyFont="1" applyFill="1" applyAlignment="1">
      <alignment horizontal="right"/>
    </xf>
    <xf numFmtId="195" fontId="112" fillId="0" borderId="0" xfId="382" applyNumberFormat="1" applyFont="1" applyFill="1" applyBorder="1" applyProtection="1"/>
    <xf numFmtId="169" fontId="112" fillId="0" borderId="0" xfId="37694" quotePrefix="1" applyFont="1" applyFill="1" applyAlignment="1">
      <alignment horizontal="center"/>
    </xf>
    <xf numFmtId="0" fontId="44" fillId="0" borderId="0" xfId="0" applyFont="1" applyFill="1" applyBorder="1" applyAlignment="1">
      <alignment horizontal="left" wrapText="1"/>
    </xf>
    <xf numFmtId="0" fontId="100"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3" fontId="44" fillId="0" borderId="0" xfId="11265" quotePrefix="1" applyNumberFormat="1" applyFont="1" applyFill="1" applyAlignment="1">
      <alignment horizontal="center"/>
    </xf>
    <xf numFmtId="0" fontId="44" fillId="0" borderId="0" xfId="0" applyFont="1" applyFill="1" applyAlignment="1">
      <alignment horizontal="left"/>
    </xf>
    <xf numFmtId="164" fontId="19" fillId="0" borderId="0" xfId="382" applyNumberFormat="1" applyFont="1" applyFill="1"/>
    <xf numFmtId="164" fontId="19" fillId="0" borderId="0" xfId="382" applyNumberFormat="1" applyFont="1" applyFill="1" applyBorder="1"/>
    <xf numFmtId="164" fontId="19" fillId="0" borderId="18" xfId="382" applyNumberFormat="1" applyFont="1" applyFill="1" applyBorder="1"/>
    <xf numFmtId="164" fontId="64" fillId="0" borderId="0" xfId="674" applyNumberFormat="1" applyFont="1"/>
    <xf numFmtId="0" fontId="44" fillId="0" borderId="0" xfId="0" quotePrefix="1" applyFont="1" applyFill="1" applyAlignment="1">
      <alignment horizontal="left"/>
    </xf>
    <xf numFmtId="0" fontId="19" fillId="0" borderId="11" xfId="0" applyFont="1" applyFill="1" applyBorder="1" applyAlignment="1">
      <alignment horizontal="center"/>
    </xf>
    <xf numFmtId="0" fontId="19" fillId="0" borderId="11" xfId="0" applyFont="1" applyBorder="1"/>
    <xf numFmtId="199" fontId="19" fillId="0" borderId="30" xfId="382" applyNumberFormat="1" applyFont="1" applyFill="1" applyBorder="1"/>
    <xf numFmtId="0" fontId="19" fillId="0" borderId="11" xfId="0" applyFont="1" applyFill="1" applyBorder="1"/>
    <xf numFmtId="199" fontId="19" fillId="0" borderId="55" xfId="382" applyNumberFormat="1" applyFont="1" applyFill="1" applyBorder="1"/>
    <xf numFmtId="199" fontId="19" fillId="0" borderId="11" xfId="382" applyNumberFormat="1" applyFont="1" applyFill="1" applyBorder="1"/>
    <xf numFmtId="164" fontId="44" fillId="0" borderId="0" xfId="11275" applyNumberFormat="1" applyFont="1" applyFill="1" applyBorder="1" applyAlignment="1">
      <alignment horizontal="center" vertical="top"/>
    </xf>
    <xf numFmtId="164" fontId="44" fillId="0" borderId="43" xfId="11275" applyNumberFormat="1" applyFont="1" applyFill="1" applyBorder="1" applyAlignment="1">
      <alignment horizontal="center" vertical="top"/>
    </xf>
    <xf numFmtId="164" fontId="44" fillId="0" borderId="54" xfId="11275" applyNumberFormat="1" applyFont="1" applyFill="1" applyBorder="1" applyAlignment="1">
      <alignment horizontal="center" vertical="top"/>
    </xf>
    <xf numFmtId="40" fontId="64" fillId="0" borderId="0" xfId="11275" quotePrefix="1" applyNumberFormat="1" applyFont="1" applyFill="1" applyBorder="1" applyAlignment="1">
      <alignment horizontal="left" vertical="top"/>
    </xf>
    <xf numFmtId="164" fontId="44" fillId="0" borderId="18" xfId="11275" applyNumberFormat="1" applyFont="1" applyFill="1" applyBorder="1" applyAlignment="1">
      <alignment horizontal="center" vertical="top"/>
    </xf>
    <xf numFmtId="0" fontId="64" fillId="0" borderId="18" xfId="11275" applyFont="1" applyFill="1" applyBorder="1"/>
    <xf numFmtId="164" fontId="44" fillId="0" borderId="6" xfId="382" applyNumberFormat="1" applyFont="1" applyFill="1" applyBorder="1" applyAlignment="1">
      <alignment horizontal="center"/>
    </xf>
    <xf numFmtId="43" fontId="64" fillId="0" borderId="6" xfId="382" applyFont="1" applyFill="1" applyBorder="1" applyAlignment="1">
      <alignment horizontal="center"/>
    </xf>
    <xf numFmtId="164" fontId="44" fillId="0" borderId="54" xfId="403" applyNumberFormat="1" applyFont="1" applyFill="1" applyBorder="1"/>
    <xf numFmtId="0" fontId="64" fillId="0" borderId="35" xfId="11275" applyFont="1" applyBorder="1"/>
    <xf numFmtId="0" fontId="64" fillId="0" borderId="35" xfId="11275" applyFont="1" applyFill="1" applyBorder="1"/>
    <xf numFmtId="164" fontId="64" fillId="0" borderId="35" xfId="11275" applyNumberFormat="1" applyFont="1" applyBorder="1"/>
    <xf numFmtId="164" fontId="64" fillId="0" borderId="0" xfId="11275" applyNumberFormat="1" applyFont="1" applyFill="1"/>
    <xf numFmtId="164" fontId="64" fillId="0" borderId="17" xfId="11275" applyNumberFormat="1" applyFont="1" applyBorder="1" applyAlignment="1">
      <alignment horizontal="left"/>
    </xf>
    <xf numFmtId="164" fontId="19" fillId="0" borderId="0" xfId="382" quotePrefix="1" applyNumberFormat="1" applyFont="1" applyFill="1"/>
    <xf numFmtId="0" fontId="126" fillId="0" borderId="0" xfId="0" applyFont="1" applyAlignment="1">
      <alignment vertical="top"/>
    </xf>
    <xf numFmtId="0" fontId="44" fillId="0" borderId="0" xfId="0" applyFont="1" applyFill="1" applyAlignment="1">
      <alignment horizontal="center"/>
    </xf>
    <xf numFmtId="0" fontId="44" fillId="0" borderId="0" xfId="0" applyFont="1" applyAlignment="1">
      <alignment horizontal="center"/>
    </xf>
    <xf numFmtId="0" fontId="45" fillId="0" borderId="0" xfId="0" applyFont="1" applyAlignment="1">
      <alignment horizontal="center"/>
    </xf>
    <xf numFmtId="0" fontId="44" fillId="0" borderId="0" xfId="0" applyFont="1" applyFill="1" applyAlignment="1">
      <alignment horizontal="left"/>
    </xf>
    <xf numFmtId="43" fontId="131" fillId="0" borderId="0" xfId="382" applyFont="1" applyFill="1" applyAlignment="1">
      <alignment horizontal="center"/>
    </xf>
    <xf numFmtId="0" fontId="18" fillId="0" borderId="0" xfId="11271" applyFont="1" applyFill="1"/>
    <xf numFmtId="0" fontId="18" fillId="0" borderId="0" xfId="11271" applyFont="1" applyFill="1" applyAlignment="1">
      <alignment horizontal="left"/>
    </xf>
    <xf numFmtId="0" fontId="18" fillId="0" borderId="0" xfId="11271" applyFont="1"/>
    <xf numFmtId="2" fontId="18" fillId="0" borderId="0" xfId="11271" applyNumberFormat="1" applyFont="1" applyFill="1" applyAlignment="1">
      <alignment horizontal="left"/>
    </xf>
    <xf numFmtId="49" fontId="18" fillId="0" borderId="0" xfId="11271" applyNumberFormat="1" applyFont="1" applyFill="1"/>
    <xf numFmtId="0" fontId="18" fillId="0" borderId="0" xfId="11271" applyFont="1" applyBorder="1"/>
    <xf numFmtId="164" fontId="18" fillId="0" borderId="0" xfId="382" applyNumberFormat="1" applyFont="1" applyFill="1" applyBorder="1"/>
    <xf numFmtId="164" fontId="18" fillId="0" borderId="0" xfId="382" applyNumberFormat="1" applyFont="1" applyBorder="1"/>
    <xf numFmtId="49" fontId="18" fillId="0" borderId="0" xfId="11271" applyNumberFormat="1" applyFont="1" applyBorder="1"/>
    <xf numFmtId="0" fontId="18" fillId="0" borderId="0" xfId="11271" quotePrefix="1" applyFont="1" applyFill="1" applyAlignment="1">
      <alignment horizontal="center"/>
    </xf>
    <xf numFmtId="43" fontId="18" fillId="0" borderId="0" xfId="382" applyFont="1"/>
    <xf numFmtId="167" fontId="18" fillId="0" borderId="0" xfId="11271" applyNumberFormat="1" applyFont="1"/>
    <xf numFmtId="164" fontId="18" fillId="0" borderId="0" xfId="382" applyNumberFormat="1" applyFont="1" applyFill="1"/>
    <xf numFmtId="164" fontId="18" fillId="0" borderId="0" xfId="11271" applyNumberFormat="1" applyFont="1" applyFill="1"/>
    <xf numFmtId="0" fontId="18" fillId="0" borderId="0" xfId="11271" quotePrefix="1" applyFont="1" applyFill="1" applyAlignment="1">
      <alignment horizontal="center" vertical="top"/>
    </xf>
    <xf numFmtId="0" fontId="18" fillId="0" borderId="0" xfId="11271" applyFont="1" applyFill="1" applyAlignment="1">
      <alignment horizontal="center"/>
    </xf>
    <xf numFmtId="0" fontId="18" fillId="0" borderId="0" xfId="11271" applyFont="1" applyAlignment="1">
      <alignment horizontal="center"/>
    </xf>
    <xf numFmtId="0" fontId="18" fillId="0" borderId="0" xfId="496" applyFont="1" applyAlignment="1">
      <alignment horizontal="left" vertical="top"/>
    </xf>
    <xf numFmtId="164" fontId="18" fillId="0" borderId="0" xfId="382" applyNumberFormat="1" applyFont="1" applyAlignment="1">
      <alignment horizontal="left" vertical="top"/>
    </xf>
    <xf numFmtId="164" fontId="18" fillId="0" borderId="0" xfId="382" applyNumberFormat="1" applyFont="1"/>
    <xf numFmtId="0" fontId="18" fillId="0" borderId="0" xfId="496" applyFont="1" applyAlignment="1">
      <alignment horizontal="center"/>
    </xf>
    <xf numFmtId="0" fontId="18" fillId="0" borderId="0" xfId="496" applyFont="1"/>
    <xf numFmtId="0" fontId="18" fillId="0" borderId="0" xfId="35157" applyFont="1" applyFill="1" applyBorder="1"/>
    <xf numFmtId="0" fontId="64" fillId="0" borderId="0" xfId="11275" applyFont="1" applyFill="1" applyBorder="1" applyAlignment="1">
      <alignment horizontal="left"/>
    </xf>
    <xf numFmtId="43" fontId="131" fillId="0" borderId="0" xfId="382" applyFont="1" applyFill="1" applyAlignment="1">
      <alignment horizontal="center"/>
    </xf>
    <xf numFmtId="0" fontId="44" fillId="0" borderId="0" xfId="484" applyFont="1" applyFill="1" applyAlignment="1">
      <alignment horizontal="center" vertical="top"/>
    </xf>
    <xf numFmtId="0" fontId="147" fillId="0" borderId="0" xfId="35688" applyFont="1" applyFill="1"/>
    <xf numFmtId="0" fontId="64" fillId="0" borderId="0" xfId="35688" applyFont="1" applyAlignment="1">
      <alignment horizontal="center"/>
    </xf>
    <xf numFmtId="1" fontId="64" fillId="0" borderId="0" xfId="35688" applyNumberFormat="1" applyFont="1" applyFill="1" applyAlignment="1">
      <alignment horizontal="left"/>
    </xf>
    <xf numFmtId="2" fontId="64" fillId="0" borderId="0" xfId="35688" applyNumberFormat="1" applyFont="1" applyFill="1" applyAlignment="1">
      <alignment horizontal="left"/>
    </xf>
    <xf numFmtId="0" fontId="64" fillId="0" borderId="0" xfId="35688" applyFont="1"/>
    <xf numFmtId="0" fontId="64" fillId="0" borderId="0" xfId="35688" applyFont="1" applyFill="1"/>
    <xf numFmtId="0" fontId="64" fillId="0" borderId="0" xfId="35688" applyFont="1" applyFill="1" applyAlignment="1">
      <alignment horizontal="left"/>
    </xf>
    <xf numFmtId="41" fontId="44" fillId="0" borderId="0" xfId="484" applyNumberFormat="1" applyFont="1" applyAlignment="1">
      <alignment vertical="top"/>
    </xf>
    <xf numFmtId="43" fontId="64" fillId="0" borderId="0" xfId="11622" applyFont="1"/>
    <xf numFmtId="164" fontId="44" fillId="37" borderId="18" xfId="382" applyNumberFormat="1" applyFont="1" applyFill="1" applyBorder="1" applyAlignment="1"/>
    <xf numFmtId="187" fontId="44" fillId="0" borderId="0" xfId="0" applyNumberFormat="1" applyFont="1" applyFill="1" applyBorder="1" applyAlignment="1">
      <alignment horizontal="left" vertical="top"/>
    </xf>
    <xf numFmtId="164" fontId="26" fillId="0" borderId="18" xfId="11271" applyNumberFormat="1" applyFont="1" applyBorder="1"/>
    <xf numFmtId="0" fontId="44" fillId="37" borderId="18" xfId="0" applyFont="1" applyFill="1" applyBorder="1"/>
    <xf numFmtId="0" fontId="44" fillId="0" borderId="0" xfId="35688" applyFont="1" applyFill="1" applyAlignment="1">
      <alignment horizontal="left"/>
    </xf>
    <xf numFmtId="169" fontId="44" fillId="0" borderId="0" xfId="512" applyFont="1" applyFill="1" applyAlignment="1">
      <alignment horizontal="left"/>
    </xf>
    <xf numFmtId="169" fontId="44" fillId="0" borderId="0" xfId="512" quotePrefix="1" applyFont="1" applyFill="1" applyAlignment="1">
      <alignment horizontal="left"/>
    </xf>
    <xf numFmtId="0" fontId="17" fillId="0" borderId="0" xfId="0" applyFont="1" applyFill="1" applyAlignment="1">
      <alignment horizontal="left" indent="1"/>
    </xf>
    <xf numFmtId="164" fontId="151" fillId="0" borderId="0" xfId="382" applyNumberFormat="1" applyFont="1" applyFill="1" applyAlignment="1"/>
    <xf numFmtId="164" fontId="112" fillId="0" borderId="17" xfId="382" applyNumberFormat="1" applyFont="1" applyFill="1" applyBorder="1" applyAlignment="1" applyProtection="1">
      <alignment horizontal="right"/>
      <protection locked="0"/>
    </xf>
    <xf numFmtId="2" fontId="44" fillId="37" borderId="0" xfId="0" applyNumberFormat="1" applyFont="1" applyFill="1" applyAlignment="1">
      <alignment horizontal="center" vertical="top"/>
    </xf>
    <xf numFmtId="2" fontId="44" fillId="37" borderId="0" xfId="0" applyNumberFormat="1" applyFont="1" applyFill="1" applyAlignment="1">
      <alignment horizontal="left"/>
    </xf>
    <xf numFmtId="0" fontId="44" fillId="0" borderId="0" xfId="504" applyFont="1" applyFill="1" applyBorder="1" applyAlignment="1">
      <alignment horizontal="left"/>
    </xf>
    <xf numFmtId="0" fontId="44" fillId="0" borderId="0" xfId="0" applyFont="1" applyFill="1" applyBorder="1" applyAlignment="1">
      <alignment horizontal="left" wrapText="1"/>
    </xf>
    <xf numFmtId="0" fontId="64" fillId="0" borderId="0" xfId="0" applyFont="1" applyFill="1" applyAlignment="1">
      <alignment horizontal="center"/>
    </xf>
    <xf numFmtId="0" fontId="44" fillId="0" borderId="0" xfId="484" applyFont="1" applyFill="1" applyAlignment="1">
      <alignment horizontal="center" vertical="top"/>
    </xf>
    <xf numFmtId="0" fontId="64" fillId="0" borderId="45" xfId="569" applyFont="1" applyBorder="1" applyAlignment="1">
      <alignment horizontal="center"/>
    </xf>
    <xf numFmtId="0" fontId="64" fillId="0" borderId="18" xfId="569" applyFont="1" applyBorder="1" applyAlignment="1">
      <alignment horizontal="center"/>
    </xf>
    <xf numFmtId="0" fontId="44" fillId="0" borderId="0" xfId="484" quotePrefix="1" applyFont="1" applyFill="1" applyAlignment="1">
      <alignment horizontal="left" vertical="top" indent="1"/>
    </xf>
    <xf numFmtId="0" fontId="44" fillId="0" borderId="0" xfId="484" quotePrefix="1" applyFont="1" applyFill="1" applyAlignment="1">
      <alignment horizontal="left" vertical="top" indent="2"/>
    </xf>
    <xf numFmtId="0" fontId="44" fillId="0" borderId="0" xfId="484" applyFont="1" applyFill="1" applyAlignment="1">
      <alignment horizontal="left" vertical="top" indent="1"/>
    </xf>
    <xf numFmtId="0" fontId="44" fillId="0" borderId="0" xfId="0" applyNumberFormat="1" applyFont="1" applyFill="1" applyBorder="1" applyAlignment="1">
      <alignment horizontal="left" indent="1"/>
    </xf>
    <xf numFmtId="164" fontId="44" fillId="0" borderId="0" xfId="382" quotePrefix="1" applyNumberFormat="1" applyFont="1" applyFill="1" applyAlignment="1"/>
    <xf numFmtId="164" fontId="44" fillId="0" borderId="0" xfId="382" applyNumberFormat="1" applyFont="1" applyAlignment="1">
      <alignment horizontal="center"/>
    </xf>
    <xf numFmtId="164" fontId="44" fillId="0" borderId="18" xfId="382" applyNumberFormat="1" applyFont="1" applyBorder="1" applyAlignment="1">
      <alignment horizontal="center" wrapText="1"/>
    </xf>
    <xf numFmtId="0" fontId="44" fillId="37" borderId="0" xfId="504" applyFont="1" applyFill="1" applyBorder="1"/>
    <xf numFmtId="0" fontId="44" fillId="37" borderId="0" xfId="504" applyFont="1" applyFill="1" applyAlignment="1">
      <alignment horizontal="left"/>
    </xf>
    <xf numFmtId="0" fontId="44" fillId="37" borderId="0" xfId="0" applyFont="1" applyFill="1" applyAlignment="1">
      <alignment horizontal="left" indent="1"/>
    </xf>
    <xf numFmtId="187" fontId="44" fillId="37" borderId="0" xfId="510" applyNumberFormat="1" applyFont="1" applyFill="1" applyBorder="1" applyAlignment="1">
      <alignment horizontal="left" vertical="center"/>
    </xf>
    <xf numFmtId="0" fontId="44" fillId="37" borderId="0" xfId="504" applyFont="1" applyFill="1"/>
    <xf numFmtId="0" fontId="44" fillId="37" borderId="18" xfId="504" applyFont="1" applyFill="1" applyBorder="1"/>
    <xf numFmtId="43" fontId="44" fillId="0" borderId="0" xfId="382" applyFont="1" applyFill="1" applyBorder="1" applyAlignment="1">
      <alignment horizontal="left" indent="1"/>
    </xf>
    <xf numFmtId="164" fontId="44" fillId="37" borderId="0" xfId="382" applyNumberFormat="1" applyFont="1" applyFill="1" applyBorder="1" applyAlignment="1">
      <alignment horizontal="center" wrapText="1"/>
    </xf>
    <xf numFmtId="164" fontId="44" fillId="37" borderId="0" xfId="382" applyNumberFormat="1" applyFont="1" applyFill="1" applyBorder="1" applyAlignment="1"/>
    <xf numFmtId="164" fontId="18" fillId="37" borderId="0" xfId="11271" applyNumberFormat="1" applyFont="1" applyFill="1"/>
    <xf numFmtId="49" fontId="18" fillId="37" borderId="0" xfId="11271" applyNumberFormat="1" applyFont="1" applyFill="1"/>
    <xf numFmtId="0" fontId="18" fillId="37" borderId="0" xfId="11271" applyFont="1" applyFill="1"/>
    <xf numFmtId="164" fontId="18" fillId="37" borderId="0" xfId="382" applyNumberFormat="1" applyFont="1" applyFill="1"/>
    <xf numFmtId="49" fontId="18" fillId="37" borderId="18" xfId="11271" applyNumberFormat="1" applyFont="1" applyFill="1" applyBorder="1"/>
    <xf numFmtId="164" fontId="18" fillId="37" borderId="18" xfId="11271" applyNumberFormat="1" applyFont="1" applyFill="1" applyBorder="1"/>
    <xf numFmtId="43" fontId="18" fillId="37" borderId="18" xfId="382" applyFont="1" applyFill="1" applyBorder="1"/>
    <xf numFmtId="198" fontId="64" fillId="37" borderId="18" xfId="382" applyNumberFormat="1" applyFont="1" applyFill="1" applyBorder="1"/>
    <xf numFmtId="164" fontId="18" fillId="37" borderId="18" xfId="382" applyNumberFormat="1" applyFont="1" applyFill="1" applyBorder="1"/>
    <xf numFmtId="2" fontId="26" fillId="37" borderId="0" xfId="11271" applyNumberFormat="1" applyFont="1" applyFill="1" applyAlignment="1">
      <alignment horizontal="left"/>
    </xf>
    <xf numFmtId="0" fontId="44" fillId="37" borderId="0" xfId="484" applyFont="1" applyFill="1" applyAlignment="1">
      <alignment horizontal="left" vertical="top" indent="2"/>
    </xf>
    <xf numFmtId="0" fontId="44" fillId="37" borderId="18" xfId="484" applyFont="1" applyFill="1" applyBorder="1" applyAlignment="1">
      <alignment horizontal="left" vertical="top" indent="2"/>
    </xf>
    <xf numFmtId="187" fontId="0" fillId="37" borderId="0" xfId="0" applyNumberFormat="1" applyFill="1" applyAlignment="1">
      <alignment horizontal="left"/>
    </xf>
    <xf numFmtId="164" fontId="64" fillId="37" borderId="0" xfId="382" applyNumberFormat="1" applyFont="1" applyFill="1" applyBorder="1" applyAlignment="1">
      <alignment horizontal="center"/>
    </xf>
    <xf numFmtId="164" fontId="64" fillId="37" borderId="18" xfId="382" applyNumberFormat="1" applyFont="1" applyFill="1" applyBorder="1" applyAlignment="1">
      <alignment horizontal="center"/>
    </xf>
    <xf numFmtId="2" fontId="44" fillId="37" borderId="0" xfId="512" applyNumberFormat="1" applyFont="1" applyFill="1" applyAlignment="1">
      <alignment horizontal="left"/>
    </xf>
    <xf numFmtId="169" fontId="44" fillId="37" borderId="0" xfId="512" applyFont="1" applyFill="1" applyAlignment="1">
      <alignment horizontal="left"/>
    </xf>
    <xf numFmtId="164" fontId="0" fillId="37" borderId="0" xfId="0" applyNumberFormat="1" applyFill="1"/>
    <xf numFmtId="164" fontId="19" fillId="37" borderId="0" xfId="382" applyNumberFormat="1" applyFont="1" applyFill="1" applyAlignment="1">
      <alignment horizontal="center"/>
    </xf>
    <xf numFmtId="169" fontId="44" fillId="37" borderId="0" xfId="512" applyFont="1" applyFill="1" applyAlignment="1">
      <alignment horizontal="left" indent="1"/>
    </xf>
    <xf numFmtId="164" fontId="19" fillId="37" borderId="18" xfId="382" quotePrefix="1" applyNumberFormat="1" applyFont="1" applyFill="1" applyBorder="1"/>
    <xf numFmtId="164" fontId="131" fillId="37" borderId="18" xfId="382" applyNumberFormat="1" applyFont="1" applyFill="1" applyBorder="1" applyAlignment="1">
      <alignment horizontal="center"/>
    </xf>
    <xf numFmtId="0" fontId="44" fillId="37" borderId="0" xfId="35688" applyFont="1" applyFill="1" applyAlignment="1">
      <alignment horizontal="left" indent="1"/>
    </xf>
    <xf numFmtId="164" fontId="64" fillId="37" borderId="0" xfId="382" applyNumberFormat="1" applyFont="1" applyFill="1" applyBorder="1" applyAlignment="1">
      <alignment horizontal="left"/>
    </xf>
    <xf numFmtId="164" fontId="64" fillId="37" borderId="18" xfId="382" applyNumberFormat="1" applyFont="1" applyFill="1" applyBorder="1" applyAlignment="1">
      <alignment horizontal="left"/>
    </xf>
    <xf numFmtId="0" fontId="64" fillId="37" borderId="0" xfId="11275" applyFont="1" applyFill="1" applyBorder="1" applyAlignment="1">
      <alignment horizontal="left"/>
    </xf>
    <xf numFmtId="164" fontId="64" fillId="37" borderId="35" xfId="382" applyNumberFormat="1" applyFont="1" applyFill="1" applyBorder="1" applyAlignment="1">
      <alignment horizontal="left"/>
    </xf>
    <xf numFmtId="0" fontId="64" fillId="37" borderId="18" xfId="11275" applyFont="1" applyFill="1" applyBorder="1" applyAlignment="1">
      <alignment horizontal="left"/>
    </xf>
    <xf numFmtId="164" fontId="64" fillId="37" borderId="37" xfId="382" applyNumberFormat="1" applyFont="1" applyFill="1" applyBorder="1" applyAlignment="1">
      <alignment horizontal="left"/>
    </xf>
    <xf numFmtId="43" fontId="17" fillId="0" borderId="18" xfId="382" applyFont="1" applyFill="1" applyBorder="1" applyAlignment="1">
      <alignment horizontal="center" wrapText="1"/>
    </xf>
    <xf numFmtId="0" fontId="64" fillId="0" borderId="18" xfId="511" applyFont="1" applyFill="1" applyBorder="1" applyAlignment="1">
      <alignment horizontal="center" wrapText="1"/>
    </xf>
    <xf numFmtId="164" fontId="26" fillId="37" borderId="0" xfId="382" applyNumberFormat="1" applyFont="1" applyFill="1"/>
    <xf numFmtId="2" fontId="64" fillId="37" borderId="0" xfId="511" applyNumberFormat="1" applyFont="1" applyFill="1" applyAlignment="1">
      <alignment horizontal="left"/>
    </xf>
    <xf numFmtId="164" fontId="64" fillId="37" borderId="0" xfId="382" applyNumberFormat="1" applyFont="1" applyFill="1"/>
    <xf numFmtId="43" fontId="23" fillId="0" borderId="0" xfId="423" applyFont="1" applyFill="1" applyAlignment="1">
      <alignment horizontal="center"/>
    </xf>
    <xf numFmtId="3" fontId="44" fillId="0" borderId="0" xfId="474" applyNumberFormat="1" applyFont="1" applyFill="1" applyAlignment="1">
      <alignment horizontal="left"/>
    </xf>
    <xf numFmtId="43" fontId="22" fillId="0" borderId="0" xfId="423" applyFont="1" applyFill="1" applyAlignment="1">
      <alignment horizontal="center"/>
    </xf>
    <xf numFmtId="41" fontId="44" fillId="37" borderId="0" xfId="484" applyNumberFormat="1" applyFont="1" applyFill="1" applyBorder="1" applyAlignment="1">
      <alignment vertical="top"/>
    </xf>
    <xf numFmtId="0" fontId="19" fillId="37" borderId="0" xfId="11271" applyFont="1" applyFill="1" applyAlignment="1">
      <alignment horizontal="left"/>
    </xf>
    <xf numFmtId="164" fontId="19" fillId="37" borderId="0" xfId="11271" applyNumberFormat="1" applyFont="1" applyFill="1"/>
    <xf numFmtId="164" fontId="19" fillId="37" borderId="18" xfId="11271" applyNumberFormat="1" applyFont="1" applyFill="1" applyBorder="1"/>
    <xf numFmtId="0" fontId="44" fillId="37" borderId="11" xfId="0" applyFont="1" applyFill="1" applyBorder="1"/>
    <xf numFmtId="199" fontId="44" fillId="37" borderId="11" xfId="382" applyNumberFormat="1" applyFont="1" applyFill="1" applyBorder="1"/>
    <xf numFmtId="199" fontId="44" fillId="37" borderId="11" xfId="382" applyNumberFormat="1" applyFont="1" applyFill="1" applyBorder="1" applyAlignment="1">
      <alignment horizontal="right"/>
    </xf>
    <xf numFmtId="199" fontId="44" fillId="37" borderId="30" xfId="382" applyNumberFormat="1" applyFont="1" applyFill="1" applyBorder="1"/>
    <xf numFmtId="199" fontId="44" fillId="37" borderId="27" xfId="382" applyNumberFormat="1" applyFont="1" applyFill="1" applyBorder="1"/>
    <xf numFmtId="199" fontId="44" fillId="37" borderId="27" xfId="382" applyNumberFormat="1" applyFont="1" applyFill="1" applyBorder="1" applyAlignment="1">
      <alignment horizontal="right"/>
    </xf>
    <xf numFmtId="2" fontId="44" fillId="37" borderId="0" xfId="474" applyNumberFormat="1" applyFont="1" applyFill="1" applyAlignment="1">
      <alignment horizontal="left" vertical="top"/>
    </xf>
    <xf numFmtId="0" fontId="44" fillId="37" borderId="27" xfId="0" applyFont="1" applyFill="1" applyBorder="1"/>
    <xf numFmtId="0" fontId="44" fillId="37" borderId="0" xfId="474" applyFont="1" applyFill="1" applyAlignment="1">
      <alignment horizontal="left" vertical="top"/>
    </xf>
    <xf numFmtId="187" fontId="44" fillId="37" borderId="0" xfId="0" applyNumberFormat="1" applyFont="1" applyFill="1" applyBorder="1" applyAlignment="1">
      <alignment horizontal="left" vertical="top"/>
    </xf>
    <xf numFmtId="164" fontId="44" fillId="37" borderId="0" xfId="13644" applyNumberFormat="1" applyFont="1" applyFill="1"/>
    <xf numFmtId="0" fontId="44" fillId="37" borderId="0" xfId="0" applyFont="1" applyFill="1" applyBorder="1" applyAlignment="1">
      <alignment horizontal="left" vertical="top"/>
    </xf>
    <xf numFmtId="0" fontId="18" fillId="37" borderId="0" xfId="35157" applyFont="1" applyFill="1" applyBorder="1"/>
    <xf numFmtId="164" fontId="18" fillId="37" borderId="0" xfId="382" applyNumberFormat="1" applyFont="1" applyFill="1" applyBorder="1"/>
    <xf numFmtId="2" fontId="44" fillId="37" borderId="0" xfId="0" applyNumberFormat="1" applyFont="1" applyFill="1" applyAlignment="1">
      <alignment horizontal="center"/>
    </xf>
    <xf numFmtId="164" fontId="44" fillId="37" borderId="0" xfId="382" applyNumberFormat="1" applyFont="1" applyFill="1" applyBorder="1" applyProtection="1">
      <protection locked="0"/>
    </xf>
    <xf numFmtId="2" fontId="18" fillId="37" borderId="0" xfId="11271" applyNumberFormat="1" applyFont="1" applyFill="1" applyAlignment="1">
      <alignment horizontal="left"/>
    </xf>
    <xf numFmtId="43" fontId="112" fillId="37" borderId="0" xfId="382" applyFont="1" applyFill="1" applyProtection="1">
      <protection locked="0"/>
    </xf>
    <xf numFmtId="0" fontId="44" fillId="0" borderId="0" xfId="0" applyFont="1" applyFill="1" applyAlignment="1">
      <alignment horizontal="center"/>
    </xf>
    <xf numFmtId="0" fontId="44" fillId="0" borderId="0" xfId="0" applyFont="1" applyFill="1" applyAlignment="1">
      <alignment horizontal="left"/>
    </xf>
    <xf numFmtId="164" fontId="48" fillId="0" borderId="11" xfId="382" applyNumberFormat="1" applyFont="1" applyFill="1" applyBorder="1" applyAlignment="1"/>
    <xf numFmtId="164" fontId="48" fillId="0" borderId="65" xfId="382" applyNumberFormat="1" applyFont="1" applyFill="1" applyBorder="1" applyAlignment="1"/>
    <xf numFmtId="0" fontId="48" fillId="0" borderId="6" xfId="0" applyNumberFormat="1" applyFont="1" applyFill="1" applyBorder="1" applyAlignment="1">
      <alignment horizontal="center"/>
    </xf>
    <xf numFmtId="0" fontId="48" fillId="0" borderId="6" xfId="0" applyFont="1" applyFill="1" applyBorder="1"/>
    <xf numFmtId="0" fontId="48" fillId="0" borderId="6" xfId="0" applyFont="1" applyFill="1" applyBorder="1" applyAlignment="1">
      <alignment horizontal="center"/>
    </xf>
    <xf numFmtId="171" fontId="46" fillId="0" borderId="27" xfId="674" applyNumberFormat="1" applyFont="1" applyFill="1" applyBorder="1" applyAlignment="1"/>
    <xf numFmtId="0" fontId="48" fillId="0" borderId="37" xfId="0" applyNumberFormat="1" applyFont="1" applyFill="1" applyBorder="1" applyAlignment="1"/>
    <xf numFmtId="170" fontId="48" fillId="0" borderId="26" xfId="382" applyNumberFormat="1" applyFont="1" applyFill="1" applyBorder="1" applyAlignment="1"/>
    <xf numFmtId="3" fontId="52" fillId="0" borderId="26" xfId="0" applyNumberFormat="1" applyFont="1" applyFill="1" applyBorder="1" applyAlignment="1">
      <alignment horizontal="right"/>
    </xf>
    <xf numFmtId="3" fontId="52" fillId="0" borderId="60" xfId="0" applyNumberFormat="1" applyFont="1" applyFill="1" applyBorder="1" applyAlignment="1">
      <alignment horizontal="right"/>
    </xf>
    <xf numFmtId="10" fontId="48" fillId="0" borderId="30" xfId="674" applyNumberFormat="1" applyFont="1" applyFill="1" applyBorder="1"/>
    <xf numFmtId="39" fontId="46" fillId="0" borderId="60" xfId="0" applyNumberFormat="1" applyFont="1" applyFill="1" applyBorder="1" applyAlignment="1">
      <alignment horizontal="right"/>
    </xf>
    <xf numFmtId="1" fontId="48" fillId="0" borderId="22" xfId="0" applyNumberFormat="1" applyFont="1" applyFill="1" applyBorder="1" applyAlignment="1">
      <alignment horizontal="center"/>
    </xf>
    <xf numFmtId="194" fontId="112" fillId="0" borderId="0" xfId="37695" applyNumberFormat="1" applyFont="1" applyFill="1" applyAlignment="1">
      <alignment horizontal="right"/>
    </xf>
    <xf numFmtId="10" fontId="112" fillId="0" borderId="0" xfId="382" applyNumberFormat="1" applyFont="1" applyFill="1" applyAlignment="1"/>
    <xf numFmtId="17" fontId="44" fillId="0" borderId="0" xfId="517" applyNumberFormat="1" applyFont="1" applyFill="1" applyBorder="1"/>
    <xf numFmtId="164" fontId="44" fillId="0" borderId="0" xfId="382" applyNumberFormat="1" applyFont="1" applyFill="1" applyBorder="1" applyAlignment="1">
      <alignment horizontal="right"/>
    </xf>
    <xf numFmtId="43" fontId="16" fillId="0" borderId="0" xfId="382" applyFont="1" applyFill="1"/>
    <xf numFmtId="43" fontId="16" fillId="0" borderId="0" xfId="382" applyFont="1" applyFill="1" applyAlignment="1">
      <alignment horizontal="center"/>
    </xf>
    <xf numFmtId="0" fontId="44" fillId="0" borderId="0" xfId="35689" applyFont="1"/>
    <xf numFmtId="0" fontId="93" fillId="0" borderId="0" xfId="0" applyFont="1" applyFill="1" applyAlignment="1">
      <alignment horizontal="right"/>
    </xf>
    <xf numFmtId="37" fontId="93" fillId="0" borderId="0" xfId="0" applyNumberFormat="1" applyFont="1" applyFill="1" applyAlignment="1">
      <alignment horizontal="right"/>
    </xf>
    <xf numFmtId="43" fontId="14" fillId="0" borderId="18" xfId="382" applyFont="1" applyFill="1" applyBorder="1"/>
    <xf numFmtId="0" fontId="44" fillId="0" borderId="54" xfId="0" applyFont="1" applyFill="1" applyBorder="1"/>
    <xf numFmtId="199" fontId="44" fillId="0" borderId="27" xfId="382" applyNumberFormat="1" applyFont="1" applyFill="1" applyBorder="1" applyAlignment="1">
      <alignment horizontal="right"/>
    </xf>
    <xf numFmtId="164" fontId="15" fillId="0" borderId="0" xfId="382" applyNumberFormat="1" applyFont="1" applyFill="1"/>
    <xf numFmtId="164" fontId="112" fillId="53" borderId="0" xfId="382" applyNumberFormat="1" applyFont="1" applyFill="1" applyAlignment="1"/>
    <xf numFmtId="169" fontId="112" fillId="53" borderId="0" xfId="37694" applyFont="1" applyFill="1" applyAlignment="1"/>
    <xf numFmtId="43" fontId="112" fillId="53" borderId="0" xfId="382" applyNumberFormat="1" applyFont="1" applyFill="1" applyAlignment="1"/>
    <xf numFmtId="164" fontId="134" fillId="53" borderId="0" xfId="382" applyNumberFormat="1" applyFont="1" applyFill="1"/>
    <xf numFmtId="3" fontId="112" fillId="53" borderId="0" xfId="37696" applyNumberFormat="1" applyFont="1" applyFill="1" applyAlignment="1"/>
    <xf numFmtId="168" fontId="112" fillId="53" borderId="0" xfId="37696" applyNumberFormat="1" applyFont="1" applyFill="1" applyAlignment="1">
      <alignment horizontal="center"/>
    </xf>
    <xf numFmtId="171" fontId="112" fillId="53" borderId="0" xfId="674" applyNumberFormat="1" applyFont="1" applyFill="1" applyAlignment="1"/>
    <xf numFmtId="194" fontId="112" fillId="53" borderId="0" xfId="37696" applyNumberFormat="1" applyFont="1" applyFill="1" applyAlignment="1"/>
    <xf numFmtId="168" fontId="112" fillId="53" borderId="0" xfId="37696" applyNumberFormat="1" applyFont="1" applyFill="1" applyAlignment="1">
      <alignment horizontal="right"/>
    </xf>
    <xf numFmtId="10" fontId="112" fillId="53" borderId="0" xfId="674" applyNumberFormat="1" applyFont="1" applyFill="1" applyAlignment="1"/>
    <xf numFmtId="3" fontId="135" fillId="53" borderId="0" xfId="37696" applyNumberFormat="1" applyFont="1" applyFill="1" applyAlignment="1"/>
    <xf numFmtId="164" fontId="135" fillId="53" borderId="0" xfId="382" applyNumberFormat="1" applyFont="1" applyFill="1" applyAlignment="1"/>
    <xf numFmtId="168" fontId="135" fillId="53" borderId="0" xfId="37696" applyNumberFormat="1" applyFont="1" applyFill="1" applyAlignment="1">
      <alignment horizontal="center"/>
    </xf>
    <xf numFmtId="164" fontId="112" fillId="53" borderId="18" xfId="382" applyNumberFormat="1" applyFont="1" applyFill="1" applyBorder="1" applyAlignment="1"/>
    <xf numFmtId="0" fontId="112" fillId="53" borderId="0" xfId="37696" applyNumberFormat="1" applyFont="1" applyFill="1"/>
    <xf numFmtId="164" fontId="112" fillId="53" borderId="40" xfId="382" applyNumberFormat="1" applyFont="1" applyFill="1" applyBorder="1" applyAlignment="1"/>
    <xf numFmtId="0" fontId="100" fillId="53" borderId="0" xfId="37696" applyNumberFormat="1" applyFont="1" applyFill="1" applyAlignment="1" applyProtection="1">
      <alignment horizontal="center"/>
      <protection locked="0"/>
    </xf>
    <xf numFmtId="171" fontId="112" fillId="53" borderId="0" xfId="37696" applyNumberFormat="1" applyFont="1" applyFill="1" applyAlignment="1"/>
    <xf numFmtId="171" fontId="112" fillId="53" borderId="0" xfId="674" applyNumberFormat="1" applyFont="1" applyFill="1" applyAlignment="1">
      <alignment vertical="top"/>
    </xf>
    <xf numFmtId="164" fontId="112" fillId="53" borderId="0" xfId="382" applyNumberFormat="1" applyFont="1" applyFill="1" applyAlignment="1">
      <alignment vertical="top"/>
    </xf>
    <xf numFmtId="171" fontId="112" fillId="53" borderId="0" xfId="37696" applyNumberFormat="1" applyFont="1" applyFill="1" applyAlignment="1">
      <alignment vertical="top"/>
    </xf>
    <xf numFmtId="164" fontId="136" fillId="53" borderId="0" xfId="382" applyNumberFormat="1" applyFont="1" applyFill="1" applyAlignment="1"/>
    <xf numFmtId="169" fontId="100" fillId="53" borderId="0" xfId="37694" applyFont="1" applyFill="1" applyAlignment="1"/>
    <xf numFmtId="169" fontId="112" fillId="53" borderId="0" xfId="37696" applyFont="1" applyFill="1" applyAlignment="1"/>
    <xf numFmtId="164" fontId="112" fillId="53" borderId="17" xfId="382" applyNumberFormat="1" applyFont="1" applyFill="1" applyBorder="1" applyAlignment="1"/>
    <xf numFmtId="0" fontId="112" fillId="53" borderId="0" xfId="37694" applyNumberFormat="1" applyFont="1" applyFill="1" applyAlignment="1">
      <alignment vertical="top"/>
    </xf>
    <xf numFmtId="169" fontId="112" fillId="53" borderId="0" xfId="37694" applyFont="1" applyFill="1" applyAlignment="1">
      <alignment vertical="top"/>
    </xf>
    <xf numFmtId="0" fontId="64" fillId="0" borderId="0" xfId="0" applyFont="1" applyFill="1" applyAlignment="1">
      <alignment horizontal="center"/>
    </xf>
    <xf numFmtId="0" fontId="44" fillId="0" borderId="0" xfId="484" applyFont="1" applyFill="1" applyAlignment="1">
      <alignment horizontal="center" vertical="top"/>
    </xf>
    <xf numFmtId="0" fontId="141" fillId="0" borderId="0" xfId="35688" applyFont="1"/>
    <xf numFmtId="0" fontId="64" fillId="0" borderId="0" xfId="35688" applyFont="1" applyFill="1" applyAlignment="1">
      <alignment horizontal="center"/>
    </xf>
    <xf numFmtId="0" fontId="13" fillId="0" borderId="0" xfId="0" applyFont="1" applyFill="1" applyAlignment="1">
      <alignment horizontal="center"/>
    </xf>
    <xf numFmtId="43" fontId="13" fillId="0" borderId="0" xfId="11622" applyFont="1" applyFill="1" applyAlignment="1">
      <alignment horizontal="center"/>
    </xf>
    <xf numFmtId="0" fontId="13" fillId="0" borderId="0" xfId="0" applyFont="1"/>
    <xf numFmtId="0" fontId="13" fillId="0" borderId="0" xfId="0" applyFont="1" applyFill="1" applyAlignment="1">
      <alignment horizontal="left"/>
    </xf>
    <xf numFmtId="0" fontId="13" fillId="0" borderId="0" xfId="0" applyFont="1" applyFill="1"/>
    <xf numFmtId="164" fontId="13" fillId="0" borderId="17" xfId="382" applyNumberFormat="1" applyFont="1" applyBorder="1"/>
    <xf numFmtId="164" fontId="13" fillId="0" borderId="0" xfId="11622" applyNumberFormat="1" applyFont="1" applyFill="1"/>
    <xf numFmtId="0" fontId="13" fillId="0" borderId="0" xfId="0" applyFont="1" applyFill="1" applyAlignment="1">
      <alignment horizontal="left" indent="1"/>
    </xf>
    <xf numFmtId="164" fontId="13" fillId="0" borderId="0" xfId="382" applyNumberFormat="1" applyFont="1" applyFill="1"/>
    <xf numFmtId="0" fontId="141" fillId="0" borderId="0" xfId="484" applyFont="1" applyFill="1" applyAlignment="1">
      <alignment vertical="top"/>
    </xf>
    <xf numFmtId="164" fontId="13" fillId="0" borderId="0" xfId="382" applyNumberFormat="1" applyFont="1"/>
    <xf numFmtId="164" fontId="13" fillId="0" borderId="0" xfId="382" applyNumberFormat="1" applyFont="1" applyFill="1" applyBorder="1"/>
    <xf numFmtId="164" fontId="13" fillId="0" borderId="18" xfId="382" applyNumberFormat="1" applyFont="1" applyFill="1" applyBorder="1"/>
    <xf numFmtId="164" fontId="13" fillId="0" borderId="17" xfId="382" applyNumberFormat="1" applyFont="1" applyFill="1" applyBorder="1"/>
    <xf numFmtId="164" fontId="13" fillId="0" borderId="0" xfId="0" applyNumberFormat="1" applyFont="1" applyFill="1"/>
    <xf numFmtId="0" fontId="64" fillId="0" borderId="0" xfId="0" applyFont="1" applyFill="1" applyAlignment="1">
      <alignment horizontal="center"/>
    </xf>
    <xf numFmtId="0" fontId="44" fillId="0" borderId="0" xfId="0" applyFont="1" applyFill="1" applyAlignment="1">
      <alignment horizontal="left"/>
    </xf>
    <xf numFmtId="0" fontId="44" fillId="0" borderId="0" xfId="484" applyFont="1" applyFill="1" applyAlignment="1">
      <alignment horizontal="center" vertical="top"/>
    </xf>
    <xf numFmtId="43" fontId="13" fillId="0" borderId="0" xfId="11622" applyFont="1" applyFill="1"/>
    <xf numFmtId="10" fontId="44" fillId="0" borderId="0" xfId="0" applyNumberFormat="1" applyFont="1" applyFill="1"/>
    <xf numFmtId="0" fontId="44" fillId="0" borderId="0" xfId="533" applyFont="1" applyFill="1"/>
    <xf numFmtId="0" fontId="64" fillId="0" borderId="0" xfId="11275" quotePrefix="1" applyFont="1" applyFill="1" applyAlignment="1">
      <alignment horizontal="left"/>
    </xf>
    <xf numFmtId="0" fontId="46" fillId="0" borderId="64" xfId="0" applyFont="1" applyFill="1" applyBorder="1" applyAlignment="1">
      <alignment horizontal="center" wrapText="1"/>
    </xf>
    <xf numFmtId="37" fontId="44" fillId="0" borderId="0" xfId="0" applyNumberFormat="1" applyFont="1" applyFill="1" applyBorder="1" applyAlignment="1">
      <alignment vertical="top" wrapText="1"/>
    </xf>
    <xf numFmtId="0" fontId="44" fillId="0" borderId="0" xfId="0" applyFont="1" applyFill="1" applyBorder="1" applyAlignment="1">
      <alignment horizontal="left" vertical="top"/>
    </xf>
    <xf numFmtId="0" fontId="44" fillId="0" borderId="0" xfId="0" applyFont="1" applyFill="1" applyAlignment="1">
      <alignment vertical="top" wrapText="1"/>
    </xf>
    <xf numFmtId="0" fontId="130" fillId="0" borderId="0" xfId="504" applyFont="1" applyFill="1"/>
    <xf numFmtId="0" fontId="44" fillId="37" borderId="0" xfId="0" applyNumberFormat="1" applyFont="1" applyFill="1" applyBorder="1" applyAlignment="1">
      <alignment horizontal="left" indent="1"/>
    </xf>
    <xf numFmtId="0" fontId="130" fillId="37" borderId="0" xfId="504" applyFont="1" applyFill="1"/>
    <xf numFmtId="0" fontId="45" fillId="0" borderId="0" xfId="0" applyFont="1" applyAlignment="1">
      <alignment horizontal="center" vertical="top"/>
    </xf>
    <xf numFmtId="197" fontId="45" fillId="0" borderId="0" xfId="434" applyNumberFormat="1" applyFont="1" applyFill="1" applyAlignment="1">
      <alignment horizontal="center" vertical="top"/>
    </xf>
    <xf numFmtId="43" fontId="124" fillId="0" borderId="0" xfId="382" applyFont="1" applyFill="1" applyAlignment="1">
      <alignment horizontal="center" vertical="top"/>
    </xf>
    <xf numFmtId="0" fontId="45" fillId="0" borderId="0" xfId="0" applyFont="1" applyFill="1" applyAlignment="1">
      <alignment horizontal="center" vertical="top"/>
    </xf>
    <xf numFmtId="164" fontId="44" fillId="0" borderId="35" xfId="382" applyNumberFormat="1" applyFont="1" applyFill="1" applyBorder="1" applyAlignment="1">
      <alignment vertical="top"/>
    </xf>
    <xf numFmtId="164" fontId="123" fillId="0" borderId="0" xfId="382" applyNumberFormat="1" applyFont="1" applyFill="1" applyAlignment="1">
      <alignment vertical="top"/>
    </xf>
    <xf numFmtId="164" fontId="123" fillId="0" borderId="35" xfId="382" applyNumberFormat="1" applyFont="1" applyFill="1" applyBorder="1" applyAlignment="1">
      <alignment vertical="top"/>
    </xf>
    <xf numFmtId="37" fontId="44" fillId="0" borderId="0" xfId="0" applyNumberFormat="1" applyFont="1" applyFill="1" applyBorder="1" applyAlignment="1">
      <alignment vertical="top"/>
    </xf>
    <xf numFmtId="49" fontId="44" fillId="0" borderId="0" xfId="0" applyNumberFormat="1" applyFont="1" applyFill="1" applyAlignment="1">
      <alignment vertical="top"/>
    </xf>
    <xf numFmtId="0" fontId="44" fillId="37" borderId="0" xfId="0" applyFont="1" applyFill="1" applyBorder="1" applyAlignment="1">
      <alignment vertical="top"/>
    </xf>
    <xf numFmtId="0" fontId="44" fillId="37" borderId="0" xfId="0" applyFont="1" applyFill="1" applyBorder="1" applyAlignment="1">
      <alignment vertical="top" wrapText="1"/>
    </xf>
    <xf numFmtId="0" fontId="45" fillId="0" borderId="19" xfId="0" applyFont="1" applyFill="1" applyBorder="1" applyAlignment="1">
      <alignment vertical="top"/>
    </xf>
    <xf numFmtId="0" fontId="63" fillId="0" borderId="5" xfId="0" applyFont="1" applyFill="1" applyBorder="1" applyAlignment="1">
      <alignment vertical="top"/>
    </xf>
    <xf numFmtId="164" fontId="44" fillId="0" borderId="5" xfId="382" applyNumberFormat="1" applyFont="1" applyFill="1" applyBorder="1" applyAlignment="1">
      <alignment vertical="top"/>
    </xf>
    <xf numFmtId="164" fontId="123" fillId="0" borderId="0" xfId="382" applyNumberFormat="1" applyFont="1" applyFill="1" applyBorder="1" applyAlignment="1">
      <alignment vertical="top"/>
    </xf>
    <xf numFmtId="0" fontId="45" fillId="0" borderId="0" xfId="0" applyFont="1" applyFill="1" applyBorder="1" applyAlignment="1">
      <alignment vertical="top"/>
    </xf>
    <xf numFmtId="0" fontId="63" fillId="0" borderId="0" xfId="0" applyFont="1" applyFill="1" applyBorder="1" applyAlignment="1">
      <alignment vertical="top"/>
    </xf>
    <xf numFmtId="0" fontId="44" fillId="0" borderId="0" xfId="0" applyFont="1" applyBorder="1" applyAlignment="1">
      <alignment horizontal="left" vertical="top"/>
    </xf>
    <xf numFmtId="0" fontId="44" fillId="37" borderId="0" xfId="0" applyFont="1" applyFill="1" applyAlignment="1">
      <alignment vertical="top"/>
    </xf>
    <xf numFmtId="0" fontId="44" fillId="37" borderId="0" xfId="0" applyFont="1" applyFill="1" applyAlignment="1">
      <alignment vertical="top" wrapText="1"/>
    </xf>
    <xf numFmtId="0" fontId="45" fillId="37" borderId="0" xfId="0" applyFont="1" applyFill="1" applyAlignment="1">
      <alignment vertical="top"/>
    </xf>
    <xf numFmtId="0" fontId="45" fillId="37" borderId="0" xfId="0" applyFont="1" applyFill="1" applyAlignment="1">
      <alignment vertical="top" wrapText="1"/>
    </xf>
    <xf numFmtId="0" fontId="44" fillId="0" borderId="0" xfId="0" applyFont="1" applyFill="1" applyAlignment="1">
      <alignment horizontal="center"/>
    </xf>
    <xf numFmtId="164" fontId="112" fillId="0" borderId="0" xfId="382" quotePrefix="1" applyNumberFormat="1" applyFont="1" applyFill="1" applyAlignment="1"/>
    <xf numFmtId="164" fontId="12" fillId="0" borderId="0" xfId="382" applyNumberFormat="1" applyFont="1" applyFill="1"/>
    <xf numFmtId="164" fontId="44" fillId="0" borderId="0" xfId="403" applyNumberFormat="1" applyFont="1" applyFill="1"/>
    <xf numFmtId="164" fontId="44" fillId="0" borderId="0" xfId="382" applyNumberFormat="1" applyFont="1" applyFill="1" applyBorder="1" applyAlignment="1">
      <alignment horizontal="left" indent="1"/>
    </xf>
    <xf numFmtId="164" fontId="27" fillId="0" borderId="0" xfId="382" applyNumberFormat="1" applyFont="1" applyFill="1"/>
    <xf numFmtId="0" fontId="64" fillId="0" borderId="0" xfId="11275" applyFont="1" applyFill="1" applyAlignment="1">
      <alignment horizontal="center"/>
    </xf>
    <xf numFmtId="195" fontId="11" fillId="37" borderId="18" xfId="382" applyNumberFormat="1" applyFont="1" applyFill="1" applyBorder="1"/>
    <xf numFmtId="0" fontId="144" fillId="0" borderId="0" xfId="474" applyFont="1"/>
    <xf numFmtId="0" fontId="11" fillId="0" borderId="11" xfId="0" applyFont="1" applyBorder="1"/>
    <xf numFmtId="164" fontId="64" fillId="0" borderId="37" xfId="382" applyNumberFormat="1" applyFont="1" applyFill="1" applyBorder="1" applyAlignment="1">
      <alignment horizontal="left"/>
    </xf>
    <xf numFmtId="164" fontId="154" fillId="0" borderId="0" xfId="382" applyNumberFormat="1" applyFont="1" applyFill="1" applyAlignment="1"/>
    <xf numFmtId="169" fontId="135" fillId="0" borderId="0" xfId="37696" applyFont="1" applyFill="1" applyAlignment="1"/>
    <xf numFmtId="164" fontId="44" fillId="0" borderId="0" xfId="382" applyNumberFormat="1" applyFont="1" applyFill="1" applyBorder="1" applyAlignment="1">
      <alignment horizontal="center"/>
    </xf>
    <xf numFmtId="0" fontId="44" fillId="0" borderId="0" xfId="0" applyFont="1" applyFill="1" applyAlignment="1">
      <alignment vertical="top" wrapText="1"/>
    </xf>
    <xf numFmtId="164" fontId="44" fillId="37" borderId="18" xfId="404" applyNumberFormat="1" applyFont="1" applyFill="1" applyBorder="1"/>
    <xf numFmtId="17" fontId="44" fillId="0" borderId="18" xfId="382" applyNumberFormat="1" applyFont="1" applyFill="1" applyBorder="1" applyAlignment="1">
      <alignment horizontal="center"/>
    </xf>
    <xf numFmtId="43" fontId="10" fillId="0" borderId="18" xfId="382" applyFont="1" applyFill="1" applyBorder="1"/>
    <xf numFmtId="164" fontId="10" fillId="0" borderId="18" xfId="382" applyNumberFormat="1" applyFont="1" applyBorder="1"/>
    <xf numFmtId="164" fontId="44" fillId="37" borderId="18" xfId="382" applyNumberFormat="1" applyFont="1" applyFill="1" applyBorder="1" applyProtection="1">
      <protection locked="0"/>
    </xf>
    <xf numFmtId="0" fontId="144" fillId="0" borderId="0" xfId="0" applyFont="1" applyAlignment="1">
      <alignment vertical="top"/>
    </xf>
    <xf numFmtId="0" fontId="112" fillId="0" borderId="0" xfId="37695" applyFont="1" applyFill="1" applyAlignment="1">
      <alignment horizontal="center"/>
    </xf>
    <xf numFmtId="43" fontId="44" fillId="0" borderId="18" xfId="382" applyFont="1" applyBorder="1" applyAlignment="1">
      <alignment horizontal="center" wrapText="1"/>
    </xf>
    <xf numFmtId="164" fontId="64" fillId="0" borderId="18" xfId="382" quotePrefix="1" applyNumberFormat="1" applyFont="1" applyBorder="1" applyAlignment="1">
      <alignment horizontal="center" wrapText="1"/>
    </xf>
    <xf numFmtId="2" fontId="44" fillId="37" borderId="0" xfId="0" applyNumberFormat="1" applyFont="1" applyFill="1" applyAlignment="1">
      <alignment horizontal="left" vertical="top"/>
    </xf>
    <xf numFmtId="2" fontId="44" fillId="37" borderId="0" xfId="0" quotePrefix="1" applyNumberFormat="1" applyFont="1" applyFill="1" applyAlignment="1">
      <alignment horizontal="left" vertical="top"/>
    </xf>
    <xf numFmtId="2" fontId="44" fillId="37" borderId="0" xfId="0" quotePrefix="1" applyNumberFormat="1" applyFont="1" applyFill="1" applyAlignment="1">
      <alignment horizontal="center" vertical="top"/>
    </xf>
    <xf numFmtId="2" fontId="10" fillId="0" borderId="0" xfId="11271" applyNumberFormat="1" applyFont="1" applyFill="1" applyAlignment="1">
      <alignment horizontal="left"/>
    </xf>
    <xf numFmtId="2" fontId="10" fillId="37" borderId="0" xfId="11271" applyNumberFormat="1" applyFont="1" applyFill="1" applyAlignment="1">
      <alignment horizontal="left"/>
    </xf>
    <xf numFmtId="164" fontId="158" fillId="0" borderId="0" xfId="382" applyNumberFormat="1" applyFont="1" applyFill="1"/>
    <xf numFmtId="164" fontId="10" fillId="0" borderId="0" xfId="11271" applyNumberFormat="1" applyFont="1" applyFill="1"/>
    <xf numFmtId="43" fontId="44" fillId="0" borderId="18" xfId="382" quotePrefix="1" applyFont="1" applyFill="1" applyBorder="1" applyAlignment="1">
      <alignment horizontal="left"/>
    </xf>
    <xf numFmtId="164" fontId="44" fillId="0" borderId="18" xfId="382" applyNumberFormat="1" applyFont="1" applyFill="1" applyBorder="1" applyAlignment="1">
      <alignment horizontal="center" wrapText="1"/>
    </xf>
    <xf numFmtId="164" fontId="44" fillId="0" borderId="18" xfId="382" applyNumberFormat="1" applyFont="1" applyFill="1" applyBorder="1" applyAlignment="1">
      <alignment horizontal="center"/>
    </xf>
    <xf numFmtId="43" fontId="44" fillId="0" borderId="18" xfId="382" applyFont="1" applyBorder="1" applyAlignment="1">
      <alignment horizontal="center"/>
    </xf>
    <xf numFmtId="0" fontId="64" fillId="0" borderId="0" xfId="11275" quotePrefix="1" applyFont="1" applyAlignment="1">
      <alignment horizontal="left"/>
    </xf>
    <xf numFmtId="0" fontId="44" fillId="37" borderId="0" xfId="0" applyFont="1" applyFill="1" applyAlignment="1">
      <alignment horizontal="left"/>
    </xf>
    <xf numFmtId="43" fontId="10" fillId="0" borderId="18" xfId="382" applyFont="1" applyBorder="1" applyAlignment="1">
      <alignment horizontal="center"/>
    </xf>
    <xf numFmtId="43" fontId="10" fillId="0" borderId="18" xfId="382" applyFont="1" applyFill="1" applyBorder="1" applyAlignment="1">
      <alignment horizontal="center"/>
    </xf>
    <xf numFmtId="0" fontId="44" fillId="0" borderId="18" xfId="484" applyFont="1" applyFill="1" applyBorder="1" applyAlignment="1">
      <alignment vertical="top"/>
    </xf>
    <xf numFmtId="43" fontId="9" fillId="0" borderId="18" xfId="382" applyFont="1" applyFill="1" applyBorder="1" applyAlignment="1">
      <alignment horizontal="center"/>
    </xf>
    <xf numFmtId="0" fontId="44" fillId="0" borderId="0" xfId="0" applyFont="1" applyAlignment="1">
      <alignment horizontal="center" vertical="top"/>
    </xf>
    <xf numFmtId="43" fontId="44" fillId="0" borderId="18" xfId="382" applyFont="1" applyFill="1" applyBorder="1" applyAlignment="1">
      <alignment horizontal="center" vertical="center" wrapText="1"/>
    </xf>
    <xf numFmtId="0" fontId="130" fillId="0" borderId="0" xfId="0" quotePrefix="1" applyFont="1" applyFill="1" applyAlignment="1">
      <alignment vertical="center"/>
    </xf>
    <xf numFmtId="164" fontId="44" fillId="0" borderId="0" xfId="674" applyNumberFormat="1" applyFont="1" applyFill="1" applyAlignment="1">
      <alignment vertical="center"/>
    </xf>
    <xf numFmtId="164" fontId="44" fillId="0" borderId="3" xfId="0" applyNumberFormat="1" applyFont="1" applyFill="1" applyBorder="1"/>
    <xf numFmtId="0" fontId="44" fillId="0" borderId="0" xfId="0" applyFont="1" applyFill="1" applyBorder="1" applyAlignment="1">
      <alignment horizontal="left" vertical="top"/>
    </xf>
    <xf numFmtId="0" fontId="160" fillId="0" borderId="0" xfId="0" applyFont="1"/>
    <xf numFmtId="2" fontId="7" fillId="0" borderId="0" xfId="11271" applyNumberFormat="1" applyFont="1" applyFill="1" applyAlignment="1">
      <alignment horizontal="left"/>
    </xf>
    <xf numFmtId="0" fontId="7" fillId="0" borderId="0" xfId="11271" applyFont="1" applyFill="1"/>
    <xf numFmtId="164" fontId="7" fillId="0" borderId="0" xfId="11271" applyNumberFormat="1" applyFont="1" applyFill="1"/>
    <xf numFmtId="0" fontId="7" fillId="0" borderId="0" xfId="11271" applyFont="1"/>
    <xf numFmtId="0" fontId="44" fillId="0" borderId="0" xfId="0" applyFont="1" applyFill="1" applyAlignment="1">
      <alignment vertical="top" wrapText="1"/>
    </xf>
    <xf numFmtId="0" fontId="44" fillId="0" borderId="0" xfId="0" applyFont="1" applyFill="1" applyBorder="1" applyAlignment="1">
      <alignment horizontal="left" vertical="top"/>
    </xf>
    <xf numFmtId="164" fontId="7" fillId="0" borderId="18" xfId="382" applyNumberFormat="1" applyFont="1" applyFill="1" applyBorder="1"/>
    <xf numFmtId="164" fontId="7" fillId="0" borderId="0" xfId="382" quotePrefix="1" applyNumberFormat="1" applyFont="1" applyFill="1"/>
    <xf numFmtId="0" fontId="44" fillId="0" borderId="0" xfId="504" applyFont="1" applyFill="1" applyAlignment="1">
      <alignment horizontal="left" wrapText="1"/>
    </xf>
    <xf numFmtId="164" fontId="44" fillId="0" borderId="54" xfId="382" applyNumberFormat="1" applyFont="1" applyFill="1" applyBorder="1" applyAlignment="1">
      <alignment vertical="top"/>
    </xf>
    <xf numFmtId="164" fontId="123" fillId="0" borderId="54" xfId="382" applyNumberFormat="1" applyFont="1" applyFill="1" applyBorder="1" applyAlignment="1">
      <alignment vertical="top"/>
    </xf>
    <xf numFmtId="37" fontId="44" fillId="0" borderId="54" xfId="0" applyNumberFormat="1" applyFont="1" applyFill="1" applyBorder="1" applyAlignment="1">
      <alignment vertical="top"/>
    </xf>
    <xf numFmtId="164" fontId="18" fillId="37" borderId="35" xfId="382" applyNumberFormat="1" applyFont="1" applyFill="1" applyBorder="1"/>
    <xf numFmtId="195" fontId="44" fillId="37" borderId="37" xfId="382" applyNumberFormat="1" applyFont="1" applyFill="1" applyBorder="1"/>
    <xf numFmtId="164" fontId="18" fillId="0" borderId="35" xfId="382" applyNumberFormat="1" applyFont="1" applyFill="1" applyBorder="1"/>
    <xf numFmtId="0" fontId="45" fillId="0" borderId="45" xfId="0" applyFont="1" applyFill="1" applyBorder="1" applyAlignment="1">
      <alignment horizontal="center"/>
    </xf>
    <xf numFmtId="14" fontId="45" fillId="0" borderId="18" xfId="0" applyNumberFormat="1" applyFont="1" applyFill="1" applyBorder="1" applyAlignment="1">
      <alignment horizontal="center" wrapText="1"/>
    </xf>
    <xf numFmtId="0" fontId="44" fillId="0" borderId="0" xfId="0" applyFont="1" applyFill="1" applyBorder="1" applyAlignment="1">
      <alignment horizontal="left" vertical="top"/>
    </xf>
    <xf numFmtId="0" fontId="45" fillId="0" borderId="0" xfId="0" applyFont="1" applyFill="1" applyBorder="1" applyAlignment="1">
      <alignment horizontal="left" vertical="top"/>
    </xf>
    <xf numFmtId="0" fontId="161" fillId="0" borderId="0" xfId="0" applyFont="1" applyFill="1" applyBorder="1"/>
    <xf numFmtId="43" fontId="124" fillId="0" borderId="54" xfId="382" applyFont="1" applyFill="1" applyBorder="1" applyAlignment="1">
      <alignment horizontal="center" vertical="top"/>
    </xf>
    <xf numFmtId="0" fontId="44" fillId="0" borderId="0" xfId="0" applyFont="1" applyFill="1" applyAlignment="1">
      <alignment vertical="top" wrapText="1"/>
    </xf>
    <xf numFmtId="0" fontId="162" fillId="0" borderId="0" xfId="0" applyFont="1" applyFill="1" applyBorder="1"/>
    <xf numFmtId="0" fontId="45" fillId="0" borderId="0" xfId="0" applyFont="1" applyAlignment="1">
      <alignment vertical="top"/>
    </xf>
    <xf numFmtId="0" fontId="161" fillId="0" borderId="0" xfId="11271" applyFont="1" applyFill="1"/>
    <xf numFmtId="164" fontId="161" fillId="0" borderId="0" xfId="382" applyNumberFormat="1" applyFont="1" applyFill="1"/>
    <xf numFmtId="0" fontId="161" fillId="0" borderId="0" xfId="11271" applyFont="1"/>
    <xf numFmtId="0" fontId="161" fillId="0" borderId="0" xfId="11271" applyFont="1" applyBorder="1"/>
    <xf numFmtId="164" fontId="161" fillId="0" borderId="0" xfId="11271" applyNumberFormat="1" applyFont="1" applyFill="1"/>
    <xf numFmtId="198" fontId="161" fillId="0" borderId="0" xfId="382" applyNumberFormat="1" applyFont="1" applyFill="1"/>
    <xf numFmtId="0" fontId="161" fillId="0" borderId="0" xfId="0" applyFont="1" applyBorder="1"/>
    <xf numFmtId="0" fontId="161" fillId="0" borderId="0" xfId="0" applyFont="1" applyAlignment="1">
      <alignment vertical="top"/>
    </xf>
    <xf numFmtId="201" fontId="44" fillId="0" borderId="0" xfId="0" applyNumberFormat="1" applyFont="1" applyFill="1" applyAlignment="1">
      <alignment horizontal="left" vertical="top"/>
    </xf>
    <xf numFmtId="201" fontId="44" fillId="0" borderId="0" xfId="0" applyNumberFormat="1" applyFont="1" applyFill="1" applyAlignment="1">
      <alignment horizontal="left"/>
    </xf>
    <xf numFmtId="201" fontId="44" fillId="37" borderId="0" xfId="0" applyNumberFormat="1" applyFont="1" applyFill="1" applyAlignment="1">
      <alignment horizontal="left" vertical="top"/>
    </xf>
    <xf numFmtId="0" fontId="44" fillId="0" borderId="54" xfId="0" applyFont="1" applyFill="1" applyBorder="1" applyAlignment="1">
      <alignment vertical="top" wrapText="1"/>
    </xf>
    <xf numFmtId="201" fontId="44" fillId="0" borderId="0" xfId="0" applyNumberFormat="1" applyFont="1" applyFill="1" applyAlignment="1">
      <alignment horizontal="center"/>
    </xf>
    <xf numFmtId="1" fontId="44" fillId="0" borderId="0" xfId="0" applyNumberFormat="1" applyFont="1" applyFill="1" applyAlignment="1">
      <alignment horizontal="center"/>
    </xf>
    <xf numFmtId="201" fontId="44" fillId="37" borderId="0" xfId="0" applyNumberFormat="1" applyFont="1" applyFill="1" applyAlignment="1">
      <alignment horizontal="center"/>
    </xf>
    <xf numFmtId="0" fontId="0" fillId="0" borderId="0" xfId="0" applyFill="1" applyAlignment="1">
      <alignment vertical="top"/>
    </xf>
    <xf numFmtId="0" fontId="161" fillId="0" borderId="0" xfId="0" applyFont="1" applyBorder="1" applyAlignment="1">
      <alignment horizontal="left" vertical="top" wrapText="1"/>
    </xf>
    <xf numFmtId="0" fontId="126" fillId="0" borderId="0" xfId="0" applyFont="1" applyFill="1" applyAlignment="1">
      <alignment vertical="top"/>
    </xf>
    <xf numFmtId="0" fontId="6" fillId="0" borderId="11" xfId="0" applyFont="1" applyFill="1" applyBorder="1"/>
    <xf numFmtId="0" fontId="48" fillId="0" borderId="0" xfId="0" applyFont="1" applyFill="1" applyAlignment="1">
      <alignment horizontal="left" vertical="top"/>
    </xf>
    <xf numFmtId="0" fontId="48" fillId="0" borderId="0" xfId="0" applyNumberFormat="1" applyFont="1" applyFill="1" applyAlignment="1">
      <alignment horizontal="left" vertical="top" wrapText="1"/>
    </xf>
    <xf numFmtId="0" fontId="46" fillId="0" borderId="0" xfId="0" applyNumberFormat="1" applyFont="1" applyFill="1" applyAlignment="1">
      <alignment horizontal="left" vertical="top" wrapText="1"/>
    </xf>
    <xf numFmtId="0" fontId="48" fillId="0" borderId="56" xfId="0" applyNumberFormat="1" applyFont="1" applyFill="1" applyBorder="1" applyAlignment="1">
      <alignment horizontal="center"/>
    </xf>
    <xf numFmtId="10" fontId="48" fillId="0" borderId="26" xfId="674" applyNumberFormat="1" applyFont="1" applyFill="1" applyBorder="1" applyAlignment="1">
      <alignment vertical="top"/>
    </xf>
    <xf numFmtId="3" fontId="46" fillId="0" borderId="38" xfId="0" applyNumberFormat="1" applyFont="1" applyFill="1" applyBorder="1" applyAlignment="1">
      <alignment horizontal="left"/>
    </xf>
    <xf numFmtId="0" fontId="0" fillId="0" borderId="0" xfId="0" applyAlignment="1"/>
    <xf numFmtId="0" fontId="44" fillId="0" borderId="0" xfId="0" applyFont="1" applyFill="1" applyBorder="1" applyAlignment="1">
      <alignment horizontal="left" vertical="top"/>
    </xf>
    <xf numFmtId="0" fontId="44" fillId="0" borderId="0" xfId="0" applyFont="1" applyFill="1" applyAlignment="1">
      <alignment vertical="top" wrapText="1"/>
    </xf>
    <xf numFmtId="43" fontId="45" fillId="0" borderId="45" xfId="403" applyFont="1" applyFill="1" applyBorder="1" applyAlignment="1">
      <alignment horizontal="center" vertical="top"/>
    </xf>
    <xf numFmtId="164" fontId="44" fillId="37" borderId="54" xfId="403" applyNumberFormat="1" applyFont="1" applyFill="1" applyBorder="1" applyAlignment="1">
      <alignment horizontal="center" vertical="top"/>
    </xf>
    <xf numFmtId="0" fontId="44" fillId="37" borderId="54" xfId="0" applyFont="1" applyFill="1" applyBorder="1" applyAlignment="1">
      <alignment vertical="top" wrapText="1"/>
    </xf>
    <xf numFmtId="37" fontId="44" fillId="0" borderId="43" xfId="0" applyNumberFormat="1" applyFont="1" applyFill="1" applyBorder="1" applyAlignment="1">
      <alignment vertical="top"/>
    </xf>
    <xf numFmtId="0" fontId="44" fillId="0" borderId="5" xfId="0" applyFont="1" applyBorder="1" applyAlignment="1">
      <alignment vertical="top"/>
    </xf>
    <xf numFmtId="0" fontId="44" fillId="0" borderId="7" xfId="0" applyFont="1" applyBorder="1" applyAlignment="1">
      <alignment vertical="top"/>
    </xf>
    <xf numFmtId="0" fontId="44" fillId="0" borderId="19" xfId="0" applyFont="1" applyFill="1" applyBorder="1" applyAlignment="1">
      <alignment horizontal="left" vertical="top"/>
    </xf>
    <xf numFmtId="0" fontId="44" fillId="0" borderId="54" xfId="0" applyFont="1" applyFill="1" applyBorder="1" applyAlignment="1">
      <alignment vertical="top"/>
    </xf>
    <xf numFmtId="0" fontId="44" fillId="0" borderId="7" xfId="0" applyFont="1" applyFill="1" applyBorder="1" applyAlignment="1">
      <alignment horizontal="left" vertical="top"/>
    </xf>
    <xf numFmtId="2" fontId="44" fillId="0" borderId="0" xfId="11271" applyNumberFormat="1" applyFont="1" applyFill="1" applyAlignment="1">
      <alignment horizontal="left"/>
    </xf>
    <xf numFmtId="0" fontId="44" fillId="0" borderId="0" xfId="11271" applyFont="1" applyFill="1"/>
    <xf numFmtId="164" fontId="44" fillId="0" borderId="0" xfId="11271" applyNumberFormat="1" applyFont="1" applyFill="1"/>
    <xf numFmtId="164" fontId="44" fillId="0" borderId="0" xfId="11271" applyNumberFormat="1" applyFont="1"/>
    <xf numFmtId="164" fontId="44" fillId="0" borderId="0" xfId="382" quotePrefix="1" applyNumberFormat="1" applyFont="1" applyFill="1"/>
    <xf numFmtId="164" fontId="44" fillId="0" borderId="18" xfId="11645" applyNumberFormat="1" applyFont="1" applyFill="1" applyBorder="1"/>
    <xf numFmtId="0" fontId="44" fillId="0" borderId="0" xfId="35157" applyFont="1" applyFill="1" applyBorder="1"/>
    <xf numFmtId="0" fontId="44" fillId="37" borderId="0" xfId="35157" applyFont="1" applyFill="1" applyBorder="1"/>
    <xf numFmtId="164" fontId="44" fillId="37" borderId="35" xfId="382" applyNumberFormat="1" applyFont="1" applyFill="1" applyBorder="1"/>
    <xf numFmtId="0" fontId="44" fillId="0" borderId="0" xfId="0" applyFont="1" applyFill="1" applyBorder="1" applyAlignment="1">
      <alignment horizontal="left" vertical="top" indent="1"/>
    </xf>
    <xf numFmtId="10" fontId="44" fillId="0" borderId="0" xfId="674" applyNumberFormat="1" applyFont="1" applyFill="1" applyAlignment="1">
      <alignment horizontal="center" wrapText="1"/>
    </xf>
    <xf numFmtId="0" fontId="44" fillId="0" borderId="0" xfId="474" applyFont="1" applyAlignment="1"/>
    <xf numFmtId="0" fontId="44" fillId="0" borderId="0" xfId="474" applyFont="1" applyFill="1" applyAlignment="1"/>
    <xf numFmtId="0" fontId="44" fillId="0" borderId="0" xfId="0" applyFont="1" applyFill="1" applyBorder="1" applyAlignment="1">
      <alignment horizontal="left" vertical="top"/>
    </xf>
    <xf numFmtId="0" fontId="164" fillId="0" borderId="0" xfId="0" applyFont="1" applyFill="1" applyAlignment="1"/>
    <xf numFmtId="0" fontId="164" fillId="0" borderId="0" xfId="0" applyFont="1" applyAlignment="1"/>
    <xf numFmtId="0" fontId="0" fillId="0" borderId="0" xfId="0" applyFont="1" applyFill="1" applyAlignment="1"/>
    <xf numFmtId="164" fontId="45" fillId="0" borderId="0" xfId="382" applyNumberFormat="1" applyFont="1" applyAlignment="1">
      <alignment horizontal="center" vertical="top"/>
    </xf>
    <xf numFmtId="164" fontId="44" fillId="0" borderId="0" xfId="382" applyNumberFormat="1" applyFont="1" applyAlignment="1">
      <alignment vertical="top"/>
    </xf>
    <xf numFmtId="164" fontId="45" fillId="0" borderId="0" xfId="382" applyNumberFormat="1" applyFont="1" applyFill="1" applyAlignment="1">
      <alignment horizontal="center" vertical="top"/>
    </xf>
    <xf numFmtId="164" fontId="44" fillId="0" borderId="35" xfId="382" applyNumberFormat="1" applyFont="1" applyBorder="1" applyAlignment="1">
      <alignment vertical="top"/>
    </xf>
    <xf numFmtId="164" fontId="124" fillId="0" borderId="0" xfId="382" applyNumberFormat="1" applyFont="1" applyFill="1" applyAlignment="1">
      <alignment horizontal="center" wrapText="1"/>
    </xf>
    <xf numFmtId="164" fontId="124" fillId="0" borderId="35" xfId="382" applyNumberFormat="1" applyFont="1" applyFill="1" applyBorder="1" applyAlignment="1">
      <alignment horizontal="center" wrapText="1"/>
    </xf>
    <xf numFmtId="164" fontId="124" fillId="0" borderId="54" xfId="382" applyNumberFormat="1" applyFont="1" applyFill="1" applyBorder="1" applyAlignment="1">
      <alignment horizontal="center" wrapText="1"/>
    </xf>
    <xf numFmtId="164" fontId="124" fillId="0" borderId="0" xfId="382" applyNumberFormat="1" applyFont="1" applyFill="1" applyBorder="1" applyAlignment="1">
      <alignment horizontal="center" wrapText="1"/>
    </xf>
    <xf numFmtId="164" fontId="44" fillId="0" borderId="0" xfId="382" applyNumberFormat="1" applyFont="1" applyFill="1" applyAlignment="1">
      <alignment horizontal="left" vertical="top"/>
    </xf>
    <xf numFmtId="164" fontId="62" fillId="0" borderId="35" xfId="382" applyNumberFormat="1" applyFont="1" applyFill="1" applyBorder="1" applyAlignment="1">
      <alignment vertical="top"/>
    </xf>
    <xf numFmtId="164" fontId="45" fillId="0" borderId="35" xfId="382" applyNumberFormat="1" applyFont="1" applyFill="1" applyBorder="1" applyAlignment="1">
      <alignment vertical="top"/>
    </xf>
    <xf numFmtId="164" fontId="163" fillId="0" borderId="54" xfId="382" applyNumberFormat="1" applyFont="1" applyFill="1" applyBorder="1" applyAlignment="1">
      <alignment vertical="top"/>
    </xf>
    <xf numFmtId="164" fontId="163" fillId="0" borderId="0" xfId="382" applyNumberFormat="1" applyFont="1" applyFill="1" applyBorder="1" applyAlignment="1">
      <alignment vertical="top"/>
    </xf>
    <xf numFmtId="164" fontId="163" fillId="0" borderId="35" xfId="382" applyNumberFormat="1" applyFont="1" applyFill="1" applyBorder="1" applyAlignment="1">
      <alignment vertical="top"/>
    </xf>
    <xf numFmtId="164" fontId="44" fillId="37" borderId="0" xfId="382" applyNumberFormat="1" applyFont="1" applyFill="1" applyAlignment="1"/>
    <xf numFmtId="164" fontId="44" fillId="37" borderId="54" xfId="382" applyNumberFormat="1" applyFont="1" applyFill="1" applyBorder="1" applyAlignment="1">
      <alignment vertical="top"/>
    </xf>
    <xf numFmtId="164" fontId="44" fillId="37" borderId="0" xfId="382" applyNumberFormat="1" applyFont="1" applyFill="1" applyBorder="1" applyAlignment="1">
      <alignment vertical="top"/>
    </xf>
    <xf numFmtId="164" fontId="44" fillId="37" borderId="35" xfId="382" applyNumberFormat="1" applyFont="1" applyFill="1" applyBorder="1" applyAlignment="1">
      <alignment vertical="top"/>
    </xf>
    <xf numFmtId="164" fontId="44" fillId="37" borderId="45" xfId="382" applyNumberFormat="1" applyFont="1" applyFill="1" applyBorder="1" applyAlignment="1">
      <alignment vertical="top"/>
    </xf>
    <xf numFmtId="164" fontId="44" fillId="37" borderId="37" xfId="382" applyNumberFormat="1" applyFont="1" applyFill="1" applyBorder="1" applyAlignment="1">
      <alignment vertical="top"/>
    </xf>
    <xf numFmtId="164" fontId="44" fillId="0" borderId="43" xfId="382" applyNumberFormat="1" applyFont="1" applyFill="1" applyBorder="1" applyAlignment="1">
      <alignment vertical="top"/>
    </xf>
    <xf numFmtId="164" fontId="44" fillId="0" borderId="16" xfId="382" applyNumberFormat="1" applyFont="1" applyFill="1" applyBorder="1" applyAlignment="1">
      <alignment vertical="top"/>
    </xf>
    <xf numFmtId="164" fontId="44" fillId="0" borderId="20" xfId="382" applyNumberFormat="1" applyFont="1" applyFill="1" applyBorder="1" applyAlignment="1">
      <alignment vertical="top"/>
    </xf>
    <xf numFmtId="164" fontId="44" fillId="0" borderId="44" xfId="382" applyNumberFormat="1" applyFont="1" applyFill="1" applyBorder="1" applyAlignment="1">
      <alignment vertical="top"/>
    </xf>
    <xf numFmtId="164" fontId="45" fillId="0" borderId="0" xfId="382" applyNumberFormat="1" applyFont="1" applyFill="1" applyAlignment="1">
      <alignment horizontal="left" vertical="top"/>
    </xf>
    <xf numFmtId="164" fontId="45" fillId="0" borderId="0" xfId="382" applyNumberFormat="1" applyFont="1" applyFill="1" applyAlignment="1">
      <alignment vertical="top"/>
    </xf>
    <xf numFmtId="164" fontId="44" fillId="0" borderId="54" xfId="382" applyNumberFormat="1" applyFont="1" applyFill="1" applyBorder="1" applyAlignment="1">
      <alignment horizontal="center" vertical="top"/>
    </xf>
    <xf numFmtId="164" fontId="44" fillId="37" borderId="54" xfId="382" applyNumberFormat="1" applyFont="1" applyFill="1" applyBorder="1" applyAlignment="1">
      <alignment horizontal="center" vertical="top"/>
    </xf>
    <xf numFmtId="164" fontId="44" fillId="37" borderId="0" xfId="382" applyNumberFormat="1" applyFont="1" applyFill="1" applyBorder="1" applyAlignment="1">
      <alignment horizontal="center" vertical="top"/>
    </xf>
    <xf numFmtId="164" fontId="44" fillId="37" borderId="35" xfId="382" applyNumberFormat="1" applyFont="1" applyFill="1" applyBorder="1" applyAlignment="1">
      <alignment horizontal="center" vertical="top"/>
    </xf>
    <xf numFmtId="164" fontId="44" fillId="0" borderId="0" xfId="382" applyNumberFormat="1" applyFont="1" applyFill="1" applyBorder="1" applyAlignment="1">
      <alignment horizontal="left" vertical="top"/>
    </xf>
    <xf numFmtId="164" fontId="44" fillId="0" borderId="0" xfId="382" applyNumberFormat="1" applyFont="1" applyBorder="1" applyAlignment="1">
      <alignment horizontal="left" vertical="top"/>
    </xf>
    <xf numFmtId="164" fontId="94" fillId="0" borderId="0" xfId="382" applyNumberFormat="1" applyFont="1" applyFill="1" applyBorder="1" applyAlignment="1">
      <alignment vertical="top"/>
    </xf>
    <xf numFmtId="164" fontId="44" fillId="0" borderId="0" xfId="382" applyNumberFormat="1" applyFont="1" applyFill="1" applyBorder="1" applyAlignment="1">
      <alignment horizontal="center" vertical="top"/>
    </xf>
    <xf numFmtId="164" fontId="62" fillId="0" borderId="0" xfId="382" applyNumberFormat="1" applyFont="1" applyFill="1" applyAlignment="1">
      <alignment vertical="top"/>
    </xf>
    <xf numFmtId="164" fontId="144" fillId="0" borderId="54" xfId="382" applyNumberFormat="1" applyFont="1" applyFill="1" applyBorder="1" applyAlignment="1">
      <alignment vertical="top"/>
    </xf>
    <xf numFmtId="164" fontId="144" fillId="0" borderId="0" xfId="382" applyNumberFormat="1" applyFont="1" applyFill="1" applyAlignment="1">
      <alignment vertical="top"/>
    </xf>
    <xf numFmtId="164" fontId="130" fillId="0" borderId="35" xfId="382" applyNumberFormat="1" applyFont="1" applyFill="1" applyBorder="1" applyAlignment="1">
      <alignment vertical="top"/>
    </xf>
    <xf numFmtId="164" fontId="157" fillId="0" borderId="35" xfId="382" applyNumberFormat="1" applyFont="1" applyFill="1" applyBorder="1" applyAlignment="1">
      <alignment vertical="top"/>
    </xf>
    <xf numFmtId="164" fontId="45" fillId="37" borderId="54" xfId="382" applyNumberFormat="1" applyFont="1" applyFill="1" applyBorder="1" applyAlignment="1">
      <alignment vertical="top"/>
    </xf>
    <xf numFmtId="164" fontId="45" fillId="37" borderId="0" xfId="382" applyNumberFormat="1" applyFont="1" applyFill="1" applyBorder="1" applyAlignment="1">
      <alignment vertical="top"/>
    </xf>
    <xf numFmtId="164" fontId="45" fillId="37" borderId="35" xfId="382" applyNumberFormat="1" applyFont="1" applyFill="1" applyBorder="1" applyAlignment="1">
      <alignment vertical="top"/>
    </xf>
    <xf numFmtId="164" fontId="44" fillId="0" borderId="0" xfId="382" applyNumberFormat="1" applyFont="1" applyFill="1" applyBorder="1" applyAlignment="1">
      <alignment vertical="top" wrapText="1"/>
    </xf>
    <xf numFmtId="164" fontId="44" fillId="0" borderId="0" xfId="382" applyNumberFormat="1" applyFont="1" applyFill="1" applyBorder="1" applyAlignment="1">
      <alignment horizontal="left" vertical="top" wrapText="1"/>
    </xf>
    <xf numFmtId="164" fontId="44" fillId="0" borderId="0" xfId="382" applyNumberFormat="1" applyFont="1" applyAlignment="1">
      <alignment horizontal="left" vertical="top"/>
    </xf>
    <xf numFmtId="164" fontId="44" fillId="37" borderId="0" xfId="0" applyNumberFormat="1" applyFont="1" applyFill="1" applyAlignment="1"/>
    <xf numFmtId="0" fontId="5" fillId="37" borderId="0" xfId="35157" applyFont="1" applyFill="1" applyBorder="1"/>
    <xf numFmtId="0" fontId="164" fillId="0" borderId="0" xfId="0" applyFont="1" applyAlignment="1">
      <alignment horizontal="left" indent="1"/>
    </xf>
    <xf numFmtId="0" fontId="5" fillId="0" borderId="0" xfId="11271" applyFont="1" applyFill="1" applyAlignment="1"/>
    <xf numFmtId="0" fontId="44" fillId="0" borderId="0" xfId="0" applyFont="1" applyAlignment="1">
      <alignment horizontal="left" indent="2"/>
    </xf>
    <xf numFmtId="0" fontId="5" fillId="0" borderId="0" xfId="0" applyFont="1" applyFill="1" applyAlignment="1">
      <alignment horizontal="left" indent="1"/>
    </xf>
    <xf numFmtId="0" fontId="164" fillId="37" borderId="0" xfId="0" applyFont="1" applyFill="1" applyAlignment="1"/>
    <xf numFmtId="0" fontId="44" fillId="37" borderId="0" xfId="11271" applyFont="1" applyFill="1" applyAlignment="1"/>
    <xf numFmtId="164" fontId="0" fillId="0" borderId="0" xfId="382" applyNumberFormat="1" applyFont="1"/>
    <xf numFmtId="0" fontId="44" fillId="0" borderId="0" xfId="0" applyFont="1" applyFill="1" applyAlignment="1">
      <alignment vertical="center"/>
    </xf>
    <xf numFmtId="0" fontId="44" fillId="0" borderId="0" xfId="0" applyFont="1" applyFill="1" applyAlignment="1">
      <alignment horizontal="left" indent="3"/>
    </xf>
    <xf numFmtId="0" fontId="63" fillId="0" borderId="0" xfId="0" applyFont="1" applyFill="1" applyBorder="1" applyAlignment="1">
      <alignment vertical="center"/>
    </xf>
    <xf numFmtId="9" fontId="48" fillId="0" borderId="60" xfId="674" applyNumberFormat="1" applyFont="1" applyFill="1" applyBorder="1" applyAlignment="1">
      <alignment vertical="top"/>
    </xf>
    <xf numFmtId="0" fontId="48" fillId="0" borderId="0" xfId="0" applyFont="1" applyFill="1" applyAlignment="1">
      <alignment vertical="top"/>
    </xf>
    <xf numFmtId="0" fontId="0" fillId="0" borderId="18" xfId="0" applyBorder="1"/>
    <xf numFmtId="0" fontId="44" fillId="0" borderId="0" xfId="484" applyFont="1" applyFill="1" applyAlignment="1">
      <alignment horizontal="center" vertical="top"/>
    </xf>
    <xf numFmtId="0" fontId="5" fillId="0" borderId="0" xfId="0" applyFont="1" applyFill="1" applyAlignment="1">
      <alignment horizontal="center"/>
    </xf>
    <xf numFmtId="43" fontId="5" fillId="0" borderId="0" xfId="11622" applyFont="1" applyFill="1" applyAlignment="1">
      <alignment horizontal="center"/>
    </xf>
    <xf numFmtId="164" fontId="5" fillId="0" borderId="0" xfId="382" applyNumberFormat="1" applyFont="1" applyFill="1"/>
    <xf numFmtId="164" fontId="5" fillId="0" borderId="0" xfId="11622" applyNumberFormat="1" applyFont="1" applyFill="1"/>
    <xf numFmtId="164" fontId="5" fillId="0" borderId="0" xfId="0" applyNumberFormat="1" applyFont="1" applyFill="1"/>
    <xf numFmtId="164" fontId="5" fillId="0" borderId="0" xfId="0" applyNumberFormat="1" applyFont="1" applyFill="1" applyBorder="1"/>
    <xf numFmtId="164" fontId="5" fillId="0" borderId="17" xfId="0" applyNumberFormat="1" applyFont="1" applyFill="1" applyBorder="1"/>
    <xf numFmtId="0" fontId="5" fillId="0" borderId="0" xfId="0" applyFont="1" applyFill="1"/>
    <xf numFmtId="0" fontId="44" fillId="0" borderId="0" xfId="0" applyFont="1" applyAlignment="1">
      <alignment horizontal="center" vertical="top"/>
    </xf>
    <xf numFmtId="201" fontId="44" fillId="37" borderId="0" xfId="37699" applyNumberFormat="1" applyFont="1" applyFill="1" applyAlignment="1">
      <alignment horizontal="center"/>
    </xf>
    <xf numFmtId="0" fontId="4" fillId="37" borderId="0" xfId="37700" applyFont="1" applyFill="1" applyBorder="1"/>
    <xf numFmtId="164" fontId="44" fillId="0" borderId="0" xfId="37701" applyNumberFormat="1" applyFont="1" applyFill="1" applyBorder="1"/>
    <xf numFmtId="0" fontId="44" fillId="0" borderId="0" xfId="37699" applyFont="1" applyFill="1" applyBorder="1"/>
    <xf numFmtId="0" fontId="44" fillId="0" borderId="0" xfId="11275" applyFont="1" applyFill="1" applyBorder="1" applyAlignment="1">
      <alignment vertical="top"/>
    </xf>
    <xf numFmtId="0" fontId="44" fillId="0" borderId="0" xfId="11275" quotePrefix="1" applyFont="1" applyFill="1" applyBorder="1" applyAlignment="1">
      <alignment vertical="top"/>
    </xf>
    <xf numFmtId="0" fontId="141" fillId="0" borderId="0" xfId="11275" applyFont="1"/>
    <xf numFmtId="164" fontId="0" fillId="0" borderId="0" xfId="382" applyNumberFormat="1" applyFont="1" applyAlignment="1">
      <alignment horizontal="center"/>
    </xf>
    <xf numFmtId="0" fontId="0" fillId="0" borderId="0" xfId="0" applyAlignment="1">
      <alignment horizontal="left" indent="1"/>
    </xf>
    <xf numFmtId="164" fontId="0" fillId="0" borderId="18" xfId="382" applyNumberFormat="1" applyFont="1" applyBorder="1"/>
    <xf numFmtId="0" fontId="0" fillId="0" borderId="0" xfId="0" quotePrefix="1" applyAlignment="1">
      <alignment horizontal="center"/>
    </xf>
    <xf numFmtId="43" fontId="0" fillId="0" borderId="0" xfId="0" applyNumberFormat="1" applyBorder="1"/>
    <xf numFmtId="0" fontId="0" fillId="0" borderId="0" xfId="0" applyBorder="1"/>
    <xf numFmtId="164" fontId="0" fillId="0" borderId="0" xfId="0" applyNumberFormat="1" applyBorder="1"/>
    <xf numFmtId="164" fontId="0" fillId="0" borderId="18" xfId="0" applyNumberFormat="1" applyBorder="1"/>
    <xf numFmtId="169" fontId="151" fillId="0" borderId="0" xfId="37694" applyFont="1" applyAlignment="1"/>
    <xf numFmtId="169" fontId="48" fillId="0" borderId="0" xfId="37694" applyFont="1" applyAlignment="1">
      <alignment vertical="top"/>
    </xf>
    <xf numFmtId="10" fontId="48" fillId="0" borderId="60" xfId="674" applyNumberFormat="1" applyFont="1" applyFill="1" applyBorder="1" applyAlignment="1">
      <alignment vertical="top"/>
    </xf>
    <xf numFmtId="170" fontId="48" fillId="0" borderId="60" xfId="382" applyNumberFormat="1" applyFont="1" applyFill="1" applyBorder="1" applyAlignment="1"/>
    <xf numFmtId="10" fontId="0" fillId="0" borderId="0" xfId="0" applyNumberFormat="1"/>
    <xf numFmtId="10" fontId="0" fillId="0" borderId="0" xfId="674" applyNumberFormat="1" applyFont="1"/>
    <xf numFmtId="0" fontId="0" fillId="0" borderId="16" xfId="0" applyBorder="1"/>
    <xf numFmtId="10" fontId="0" fillId="0" borderId="16" xfId="0" applyNumberFormat="1" applyBorder="1"/>
    <xf numFmtId="0" fontId="0" fillId="0" borderId="16" xfId="0" applyBorder="1" applyAlignment="1">
      <alignment horizontal="center"/>
    </xf>
    <xf numFmtId="0" fontId="44" fillId="0" borderId="0" xfId="0" applyFont="1" applyFill="1" applyAlignment="1">
      <alignment horizontal="center"/>
    </xf>
    <xf numFmtId="0" fontId="44" fillId="0" borderId="0" xfId="0" applyFont="1" applyFill="1" applyBorder="1" applyAlignment="1">
      <alignment horizontal="left" vertical="top"/>
    </xf>
    <xf numFmtId="0" fontId="44" fillId="0" borderId="0" xfId="0" quotePrefix="1" applyFont="1" applyFill="1" applyBorder="1" applyAlignment="1">
      <alignment horizontal="center" vertical="top"/>
    </xf>
    <xf numFmtId="0" fontId="44" fillId="0" borderId="0" xfId="484" applyFont="1" applyFill="1" applyAlignment="1">
      <alignment horizontal="center" vertical="top"/>
    </xf>
    <xf numFmtId="164" fontId="0" fillId="0" borderId="16" xfId="382" applyNumberFormat="1" applyFont="1" applyBorder="1"/>
    <xf numFmtId="164" fontId="44" fillId="0" borderId="0" xfId="382" applyNumberFormat="1" applyFont="1" applyAlignment="1">
      <alignment horizontal="left"/>
    </xf>
    <xf numFmtId="0" fontId="44" fillId="0" borderId="0" xfId="35688" applyFont="1" applyAlignment="1">
      <alignment horizontal="center"/>
    </xf>
    <xf numFmtId="43" fontId="44" fillId="0" borderId="0" xfId="11622" applyFont="1" applyFill="1" applyAlignment="1">
      <alignment horizontal="center"/>
    </xf>
    <xf numFmtId="1" fontId="44" fillId="0" borderId="0" xfId="35688" applyNumberFormat="1" applyFont="1" applyFill="1" applyAlignment="1">
      <alignment horizontal="left"/>
    </xf>
    <xf numFmtId="2" fontId="44" fillId="0" borderId="0" xfId="35688" applyNumberFormat="1" applyFont="1" applyFill="1" applyAlignment="1">
      <alignment horizontal="left"/>
    </xf>
    <xf numFmtId="164" fontId="44" fillId="0" borderId="0" xfId="382" applyNumberFormat="1" applyFont="1" applyFill="1" applyAlignment="1">
      <alignment horizontal="center" vertical="top"/>
    </xf>
    <xf numFmtId="164" fontId="44" fillId="0" borderId="0" xfId="0" applyNumberFormat="1" applyFont="1" applyFill="1" applyBorder="1"/>
    <xf numFmtId="0" fontId="44" fillId="0" borderId="0" xfId="484" quotePrefix="1" applyFont="1" applyAlignment="1">
      <alignment horizontal="center" vertical="top"/>
    </xf>
    <xf numFmtId="0" fontId="44" fillId="0" borderId="0" xfId="35688" applyFont="1"/>
    <xf numFmtId="43" fontId="44" fillId="0" borderId="0" xfId="11622" applyFont="1"/>
    <xf numFmtId="0" fontId="44" fillId="0" borderId="0" xfId="35688" applyFont="1" applyFill="1"/>
    <xf numFmtId="43" fontId="44" fillId="0" borderId="0" xfId="382" applyFont="1" applyAlignment="1">
      <alignment horizontal="center"/>
    </xf>
    <xf numFmtId="0" fontId="44" fillId="0" borderId="0" xfId="0" quotePrefix="1" applyFont="1" applyFill="1" applyAlignment="1"/>
    <xf numFmtId="43" fontId="44" fillId="0" borderId="0" xfId="382" applyFont="1" applyAlignment="1"/>
    <xf numFmtId="0" fontId="130" fillId="0" borderId="0" xfId="0" applyFont="1" applyAlignment="1">
      <alignment horizontal="center"/>
    </xf>
    <xf numFmtId="164" fontId="44" fillId="0" borderId="0" xfId="0" applyNumberFormat="1" applyFont="1" applyFill="1" applyAlignment="1"/>
    <xf numFmtId="164" fontId="44" fillId="0" borderId="35" xfId="382" applyNumberFormat="1" applyFont="1" applyFill="1" applyBorder="1"/>
    <xf numFmtId="0" fontId="44" fillId="0" borderId="0" xfId="0" applyFont="1" applyFill="1" applyAlignment="1">
      <alignment vertical="center" wrapText="1"/>
    </xf>
    <xf numFmtId="0" fontId="45" fillId="0" borderId="0" xfId="0" applyFont="1" applyFill="1" applyBorder="1" applyAlignment="1">
      <alignment vertical="center"/>
    </xf>
    <xf numFmtId="43" fontId="123" fillId="0" borderId="0" xfId="382" applyFont="1"/>
    <xf numFmtId="43" fontId="123" fillId="0" borderId="0" xfId="382" applyFont="1" applyAlignment="1">
      <alignment horizontal="center"/>
    </xf>
    <xf numFmtId="164" fontId="0" fillId="51" borderId="0" xfId="382" applyNumberFormat="1" applyFont="1" applyFill="1"/>
    <xf numFmtId="164" fontId="0" fillId="0" borderId="18" xfId="382" applyNumberFormat="1" applyFont="1" applyFill="1" applyBorder="1"/>
    <xf numFmtId="0" fontId="0" fillId="0" borderId="0" xfId="0" quotePrefix="1" applyAlignment="1">
      <alignment vertical="top"/>
    </xf>
    <xf numFmtId="0" fontId="0" fillId="0" borderId="0" xfId="0" quotePrefix="1"/>
    <xf numFmtId="0" fontId="44" fillId="0" borderId="0" xfId="0" quotePrefix="1" applyFont="1" applyBorder="1"/>
    <xf numFmtId="164" fontId="44" fillId="0" borderId="70" xfId="382" applyNumberFormat="1" applyFont="1" applyFill="1" applyBorder="1" applyAlignment="1">
      <alignment vertical="top"/>
    </xf>
    <xf numFmtId="0" fontId="48" fillId="0" borderId="0" xfId="0" applyNumberFormat="1" applyFont="1" applyFill="1" applyBorder="1" applyAlignment="1">
      <alignment horizontal="left"/>
    </xf>
    <xf numFmtId="0" fontId="48" fillId="0" borderId="18" xfId="0" applyNumberFormat="1" applyFont="1" applyFill="1" applyBorder="1" applyAlignment="1">
      <alignment horizontal="left"/>
    </xf>
    <xf numFmtId="0" fontId="44" fillId="0" borderId="0" xfId="0" applyFont="1" applyAlignment="1">
      <alignment horizontal="center"/>
    </xf>
    <xf numFmtId="0" fontId="44" fillId="0" borderId="0" xfId="474" applyFont="1" applyAlignment="1">
      <alignment horizontal="center"/>
    </xf>
    <xf numFmtId="164" fontId="44" fillId="0" borderId="0" xfId="382" quotePrefix="1" applyNumberFormat="1" applyFont="1" applyFill="1" applyBorder="1"/>
    <xf numFmtId="0" fontId="44" fillId="0" borderId="0" xfId="504" quotePrefix="1" applyFont="1" applyFill="1" applyAlignment="1">
      <alignment horizontal="left"/>
    </xf>
    <xf numFmtId="164" fontId="48" fillId="0" borderId="30" xfId="382" quotePrefix="1" applyNumberFormat="1" applyFont="1" applyFill="1" applyBorder="1" applyAlignment="1">
      <alignment horizontal="right" vertical="center"/>
    </xf>
    <xf numFmtId="164" fontId="48" fillId="0" borderId="61" xfId="382" quotePrefix="1" applyNumberFormat="1" applyFont="1" applyFill="1" applyBorder="1" applyAlignment="1">
      <alignment horizontal="right" vertical="center"/>
    </xf>
    <xf numFmtId="164" fontId="48" fillId="0" borderId="26" xfId="382" quotePrefix="1" applyNumberFormat="1" applyFont="1" applyFill="1" applyBorder="1" applyAlignment="1">
      <alignment horizontal="right" vertical="center"/>
    </xf>
    <xf numFmtId="164" fontId="48" fillId="0" borderId="60" xfId="382" quotePrefix="1" applyNumberFormat="1" applyFont="1" applyFill="1" applyBorder="1" applyAlignment="1">
      <alignment horizontal="right" vertical="center"/>
    </xf>
    <xf numFmtId="0" fontId="166" fillId="0" borderId="0" xfId="474" applyFont="1" applyFill="1"/>
    <xf numFmtId="39" fontId="44" fillId="0" borderId="0" xfId="474" applyNumberFormat="1" applyFont="1" applyFill="1" applyBorder="1"/>
    <xf numFmtId="0" fontId="44" fillId="0" borderId="0" xfId="474" applyFont="1" applyFill="1" applyBorder="1"/>
    <xf numFmtId="0" fontId="44" fillId="0" borderId="11" xfId="474" applyFont="1" applyBorder="1" applyAlignment="1">
      <alignment horizontal="center" wrapText="1"/>
    </xf>
    <xf numFmtId="0" fontId="166" fillId="0" borderId="0" xfId="474" applyFont="1" applyAlignment="1">
      <alignment horizontal="left"/>
    </xf>
    <xf numFmtId="39" fontId="44" fillId="0" borderId="0" xfId="474" quotePrefix="1" applyNumberFormat="1" applyFont="1" applyAlignment="1">
      <alignment horizontal="center"/>
    </xf>
    <xf numFmtId="39" fontId="44" fillId="0" borderId="0" xfId="474" applyNumberFormat="1" applyFont="1"/>
    <xf numFmtId="39" fontId="44" fillId="0" borderId="0" xfId="474" applyNumberFormat="1" applyFont="1" applyBorder="1"/>
    <xf numFmtId="164" fontId="44" fillId="0" borderId="0" xfId="382" quotePrefix="1" applyNumberFormat="1" applyFont="1" applyAlignment="1">
      <alignment horizontal="center"/>
    </xf>
    <xf numFmtId="0" fontId="44" fillId="0" borderId="0" xfId="0" quotePrefix="1" applyFont="1"/>
    <xf numFmtId="0" fontId="44" fillId="0" borderId="0" xfId="474" applyFont="1" applyAlignment="1">
      <alignment horizontal="center" wrapText="1"/>
    </xf>
    <xf numFmtId="0" fontId="44" fillId="0" borderId="0" xfId="504" quotePrefix="1" applyFont="1" applyAlignment="1">
      <alignment horizontal="left"/>
    </xf>
    <xf numFmtId="164" fontId="48" fillId="0" borderId="0" xfId="382" quotePrefix="1" applyNumberFormat="1" applyFont="1" applyFill="1" applyBorder="1"/>
    <xf numFmtId="164" fontId="48" fillId="0" borderId="26" xfId="382" quotePrefix="1" applyNumberFormat="1" applyFont="1" applyFill="1" applyBorder="1" applyAlignment="1"/>
    <xf numFmtId="164" fontId="48" fillId="0" borderId="60" xfId="382" quotePrefix="1" applyNumberFormat="1" applyFont="1" applyFill="1" applyBorder="1" applyAlignment="1"/>
    <xf numFmtId="0" fontId="48" fillId="54" borderId="0" xfId="0" applyFont="1" applyFill="1"/>
    <xf numFmtId="164" fontId="48" fillId="0" borderId="30" xfId="382" quotePrefix="1" applyNumberFormat="1" applyFont="1" applyFill="1" applyBorder="1" applyAlignment="1"/>
    <xf numFmtId="164" fontId="48" fillId="0" borderId="61" xfId="382" quotePrefix="1" applyNumberFormat="1" applyFont="1" applyFill="1" applyBorder="1" applyAlignment="1"/>
    <xf numFmtId="164" fontId="48" fillId="0" borderId="62" xfId="382" quotePrefix="1" applyNumberFormat="1" applyFont="1" applyFill="1" applyBorder="1" applyAlignment="1"/>
    <xf numFmtId="3" fontId="165" fillId="0" borderId="35" xfId="0" quotePrefix="1" applyNumberFormat="1" applyFont="1" applyBorder="1" applyAlignment="1"/>
    <xf numFmtId="164" fontId="168" fillId="0" borderId="28" xfId="382" quotePrefix="1" applyNumberFormat="1" applyFont="1" applyFill="1" applyBorder="1" applyAlignment="1">
      <alignment horizontal="right"/>
    </xf>
    <xf numFmtId="164" fontId="123" fillId="37" borderId="0" xfId="382" applyNumberFormat="1" applyFont="1" applyFill="1"/>
    <xf numFmtId="0" fontId="126" fillId="0" borderId="0" xfId="0" applyFont="1" applyFill="1" applyAlignment="1">
      <alignment horizontal="left"/>
    </xf>
    <xf numFmtId="17" fontId="44" fillId="37" borderId="0" xfId="0" applyNumberFormat="1" applyFont="1" applyFill="1" applyBorder="1" applyAlignment="1">
      <alignment horizontal="center"/>
    </xf>
    <xf numFmtId="10" fontId="44" fillId="37" borderId="0" xfId="678" applyNumberFormat="1" applyFont="1" applyFill="1" applyBorder="1"/>
    <xf numFmtId="0" fontId="126" fillId="0" borderId="0" xfId="0" quotePrefix="1" applyFont="1" applyFill="1" applyAlignment="1">
      <alignment horizontal="center"/>
    </xf>
    <xf numFmtId="164" fontId="3" fillId="0" borderId="0" xfId="382" applyNumberFormat="1" applyFont="1" applyFill="1"/>
    <xf numFmtId="164" fontId="123" fillId="0" borderId="0" xfId="0" applyNumberFormat="1" applyFont="1" applyFill="1"/>
    <xf numFmtId="0" fontId="44" fillId="0" borderId="0" xfId="0" applyFont="1" applyFill="1" applyAlignment="1">
      <alignment horizontal="center"/>
    </xf>
    <xf numFmtId="164" fontId="48" fillId="0" borderId="0" xfId="382" applyNumberFormat="1" applyFont="1" applyAlignment="1"/>
    <xf numFmtId="164" fontId="48" fillId="0" borderId="0" xfId="382" applyNumberFormat="1" applyFont="1" applyFill="1" applyAlignment="1">
      <alignment vertical="top"/>
    </xf>
    <xf numFmtId="164" fontId="46" fillId="0" borderId="0" xfId="382" applyNumberFormat="1" applyFont="1" applyFill="1" applyAlignment="1">
      <alignment vertical="top"/>
    </xf>
    <xf numFmtId="10" fontId="44" fillId="0" borderId="0" xfId="674" applyNumberFormat="1" applyFont="1" applyFill="1" applyAlignment="1">
      <alignment horizontal="center"/>
    </xf>
    <xf numFmtId="10" fontId="44" fillId="0" borderId="0" xfId="31558" applyNumberFormat="1" applyFont="1" applyAlignment="1">
      <alignment horizontal="center"/>
    </xf>
    <xf numFmtId="10" fontId="44" fillId="0" borderId="0" xfId="0" applyNumberFormat="1" applyFont="1" applyFill="1" applyAlignment="1">
      <alignment horizontal="center"/>
    </xf>
    <xf numFmtId="10" fontId="44" fillId="0" borderId="0" xfId="31558" applyNumberFormat="1" applyFont="1" applyAlignment="1">
      <alignment horizontal="center" vertical="center"/>
    </xf>
    <xf numFmtId="0" fontId="44" fillId="0" borderId="0" xfId="533" applyFont="1" applyFill="1" applyAlignment="1">
      <alignment horizontal="center"/>
    </xf>
    <xf numFmtId="10" fontId="44" fillId="0" borderId="0" xfId="674" applyNumberFormat="1" applyFont="1" applyAlignment="1">
      <alignment horizontal="center"/>
    </xf>
    <xf numFmtId="37" fontId="64" fillId="0" borderId="0" xfId="0" applyNumberFormat="1" applyFont="1" applyBorder="1" applyAlignment="1"/>
    <xf numFmtId="164" fontId="44" fillId="0" borderId="0" xfId="37703" applyNumberFormat="1" applyFont="1"/>
    <xf numFmtId="164" fontId="44" fillId="0" borderId="6" xfId="37703" applyNumberFormat="1" applyFont="1" applyBorder="1"/>
    <xf numFmtId="0" fontId="3" fillId="0" borderId="0" xfId="37702" applyFont="1"/>
    <xf numFmtId="0" fontId="140" fillId="0" borderId="18" xfId="37702" applyFont="1" applyBorder="1" applyAlignment="1">
      <alignment horizontal="center"/>
    </xf>
    <xf numFmtId="164" fontId="140" fillId="0" borderId="18" xfId="37703" applyNumberFormat="1" applyFont="1" applyBorder="1" applyAlignment="1">
      <alignment horizontal="center"/>
    </xf>
    <xf numFmtId="0" fontId="3" fillId="0" borderId="6" xfId="37702" applyFont="1" applyBorder="1"/>
    <xf numFmtId="0" fontId="3" fillId="0" borderId="0" xfId="37702" applyFont="1" applyAlignment="1">
      <alignment horizontal="right"/>
    </xf>
    <xf numFmtId="0" fontId="140" fillId="0" borderId="0" xfId="37702" applyFont="1" applyBorder="1" applyAlignment="1">
      <alignment horizontal="right"/>
    </xf>
    <xf numFmtId="164" fontId="140" fillId="0" borderId="17" xfId="37703" applyNumberFormat="1" applyFont="1" applyBorder="1"/>
    <xf numFmtId="164" fontId="13" fillId="37" borderId="0" xfId="382" applyNumberFormat="1" applyFont="1" applyFill="1"/>
    <xf numFmtId="0" fontId="161" fillId="0" borderId="0" xfId="0" applyFont="1" applyFill="1"/>
    <xf numFmtId="0" fontId="161" fillId="0" borderId="0" xfId="0" applyFont="1"/>
    <xf numFmtId="0" fontId="44" fillId="0" borderId="0" xfId="0" applyFont="1" applyFill="1" applyAlignment="1">
      <alignment wrapText="1"/>
    </xf>
    <xf numFmtId="164" fontId="44" fillId="37" borderId="18" xfId="13644" applyNumberFormat="1" applyFont="1" applyFill="1" applyBorder="1"/>
    <xf numFmtId="43" fontId="44" fillId="37" borderId="0" xfId="382" applyFont="1" applyFill="1" applyBorder="1"/>
    <xf numFmtId="43" fontId="18" fillId="37" borderId="0" xfId="382" applyFont="1" applyFill="1" applyBorder="1"/>
    <xf numFmtId="164" fontId="28" fillId="0" borderId="0" xfId="496" applyNumberFormat="1" applyFont="1" applyFill="1" applyAlignment="1">
      <alignment vertical="top"/>
    </xf>
    <xf numFmtId="164" fontId="44" fillId="37" borderId="18" xfId="0" applyNumberFormat="1" applyFont="1" applyFill="1" applyBorder="1" applyAlignment="1"/>
    <xf numFmtId="1" fontId="64" fillId="0" borderId="0" xfId="35688" applyNumberFormat="1" applyFont="1" applyFill="1" applyAlignment="1">
      <alignment horizontal="left" wrapText="1"/>
    </xf>
    <xf numFmtId="43" fontId="9" fillId="0" borderId="18" xfId="382" applyFont="1" applyFill="1" applyBorder="1" applyAlignment="1">
      <alignment horizontal="center" wrapText="1"/>
    </xf>
    <xf numFmtId="43" fontId="5" fillId="0" borderId="18" xfId="382" applyFont="1" applyFill="1" applyBorder="1" applyAlignment="1">
      <alignment horizontal="center" wrapText="1"/>
    </xf>
    <xf numFmtId="0" fontId="44" fillId="0" borderId="0" xfId="484" applyFont="1" applyAlignment="1">
      <alignment vertical="top" wrapText="1"/>
    </xf>
    <xf numFmtId="10" fontId="48" fillId="37" borderId="60" xfId="0" applyNumberFormat="1" applyFont="1" applyFill="1" applyBorder="1" applyAlignment="1"/>
    <xf numFmtId="171" fontId="46" fillId="0" borderId="63" xfId="674" applyNumberFormat="1" applyFont="1" applyFill="1" applyBorder="1" applyAlignment="1"/>
    <xf numFmtId="10" fontId="48" fillId="0" borderId="61" xfId="674" applyNumberFormat="1" applyFont="1" applyFill="1" applyBorder="1"/>
    <xf numFmtId="164" fontId="168" fillId="0" borderId="62" xfId="382" quotePrefix="1" applyNumberFormat="1" applyFont="1" applyFill="1" applyBorder="1" applyAlignment="1">
      <alignment horizontal="right"/>
    </xf>
    <xf numFmtId="0" fontId="0" fillId="0" borderId="0" xfId="0" applyFill="1"/>
    <xf numFmtId="164" fontId="0" fillId="0" borderId="0" xfId="37703" applyNumberFormat="1" applyFont="1" applyFill="1"/>
    <xf numFmtId="0" fontId="18" fillId="37" borderId="18" xfId="11271" applyFont="1" applyFill="1" applyBorder="1"/>
    <xf numFmtId="164" fontId="44" fillId="37" borderId="0" xfId="11271" applyNumberFormat="1" applyFont="1" applyFill="1"/>
    <xf numFmtId="0" fontId="44" fillId="37" borderId="0" xfId="11271" applyFont="1" applyFill="1"/>
    <xf numFmtId="0" fontId="44" fillId="0" borderId="0" xfId="0" applyFont="1" applyFill="1" applyAlignment="1">
      <alignment horizontal="center"/>
    </xf>
    <xf numFmtId="0" fontId="44" fillId="0" borderId="0" xfId="484" applyFont="1" applyFill="1" applyAlignment="1">
      <alignment horizontal="center" vertical="top"/>
    </xf>
    <xf numFmtId="43" fontId="44" fillId="0" borderId="0" xfId="382" applyFont="1" applyFill="1" applyAlignment="1">
      <alignment horizontal="center"/>
    </xf>
    <xf numFmtId="0" fontId="0" fillId="0" borderId="0" xfId="0" applyAlignment="1">
      <alignment vertical="top" wrapText="1"/>
    </xf>
    <xf numFmtId="164" fontId="44" fillId="51" borderId="0" xfId="382" applyNumberFormat="1" applyFont="1" applyFill="1" applyAlignment="1">
      <alignment horizontal="center" vertical="top"/>
    </xf>
    <xf numFmtId="0" fontId="45" fillId="0" borderId="18" xfId="0" applyFont="1" applyBorder="1" applyAlignment="1">
      <alignment horizontal="center" vertical="top" wrapText="1"/>
    </xf>
    <xf numFmtId="0" fontId="45" fillId="0" borderId="0" xfId="0" applyFont="1" applyAlignment="1">
      <alignment horizontal="center" vertical="top" wrapText="1"/>
    </xf>
    <xf numFmtId="43" fontId="123" fillId="0" borderId="0" xfId="403" applyFont="1" applyFill="1" applyAlignment="1">
      <alignment horizontal="left" vertical="top"/>
    </xf>
    <xf numFmtId="0" fontId="170" fillId="0" borderId="0" xfId="0" applyFont="1" applyFill="1" applyAlignment="1">
      <alignment vertical="top"/>
    </xf>
    <xf numFmtId="0" fontId="100" fillId="51" borderId="0" xfId="37697" applyNumberFormat="1" applyFont="1" applyFill="1" applyAlignment="1">
      <alignment horizontal="right"/>
    </xf>
    <xf numFmtId="43" fontId="123" fillId="0" borderId="0" xfId="382" applyFont="1" applyFill="1" applyAlignment="1">
      <alignment horizontal="center" vertical="top"/>
    </xf>
    <xf numFmtId="43" fontId="123" fillId="0" borderId="0" xfId="382" applyFont="1" applyAlignment="1">
      <alignment horizontal="center" vertical="top"/>
    </xf>
    <xf numFmtId="164" fontId="44" fillId="51" borderId="0" xfId="382" applyNumberFormat="1" applyFont="1" applyFill="1"/>
    <xf numFmtId="164" fontId="44" fillId="51" borderId="18" xfId="382" applyNumberFormat="1" applyFont="1" applyFill="1" applyBorder="1"/>
    <xf numFmtId="43" fontId="123" fillId="0" borderId="0" xfId="382" applyFont="1" applyAlignment="1"/>
    <xf numFmtId="0" fontId="93" fillId="0" borderId="0" xfId="0" applyFont="1" applyBorder="1" applyAlignment="1">
      <alignment horizontal="center"/>
    </xf>
    <xf numFmtId="0" fontId="93" fillId="0" borderId="0" xfId="0" applyFont="1" applyBorder="1" applyAlignment="1">
      <alignment horizontal="center" vertical="center"/>
    </xf>
    <xf numFmtId="0" fontId="126" fillId="0" borderId="0" xfId="11271" applyFont="1"/>
    <xf numFmtId="0" fontId="1" fillId="0" borderId="0" xfId="11271" applyFont="1"/>
    <xf numFmtId="0" fontId="1" fillId="55" borderId="0" xfId="11271" applyFont="1" applyFill="1"/>
    <xf numFmtId="0" fontId="0" fillId="0" borderId="0" xfId="0" applyAlignment="1">
      <alignment horizontal="center" vertical="top"/>
    </xf>
    <xf numFmtId="164" fontId="0" fillId="0" borderId="0" xfId="382" applyNumberFormat="1" applyFont="1" applyAlignment="1">
      <alignment vertical="top"/>
    </xf>
    <xf numFmtId="10" fontId="0" fillId="0" borderId="0" xfId="674" applyNumberFormat="1" applyFont="1" applyFill="1" applyBorder="1" applyAlignment="1">
      <alignment vertical="top"/>
    </xf>
    <xf numFmtId="0" fontId="0" fillId="0" borderId="0" xfId="0" applyAlignment="1">
      <alignment horizontal="left" wrapText="1" indent="1"/>
    </xf>
    <xf numFmtId="43" fontId="123" fillId="0" borderId="0" xfId="382" applyFont="1" applyAlignment="1">
      <alignment horizontal="left" wrapText="1" indent="1"/>
    </xf>
    <xf numFmtId="0" fontId="0" fillId="0" borderId="0" xfId="0" quotePrefix="1" applyAlignment="1">
      <alignment horizontal="left" vertical="top" wrapText="1" indent="1"/>
    </xf>
    <xf numFmtId="0" fontId="0" fillId="0" borderId="0" xfId="0" applyAlignment="1">
      <alignment horizontal="left" vertical="top" wrapText="1" indent="1"/>
    </xf>
    <xf numFmtId="0" fontId="0" fillId="0" borderId="0" xfId="0" applyFill="1" applyAlignment="1">
      <alignment horizontal="center" vertical="top"/>
    </xf>
    <xf numFmtId="164" fontId="0" fillId="0" borderId="0" xfId="37703" applyNumberFormat="1" applyFont="1" applyFill="1" applyAlignment="1">
      <alignment vertical="top"/>
    </xf>
    <xf numFmtId="164" fontId="0" fillId="0" borderId="18" xfId="37703" applyNumberFormat="1" applyFont="1" applyFill="1" applyBorder="1" applyAlignment="1">
      <alignment vertical="top"/>
    </xf>
    <xf numFmtId="164" fontId="0" fillId="0" borderId="0" xfId="382" applyNumberFormat="1" applyFont="1" applyFill="1" applyAlignment="1">
      <alignment vertical="top"/>
    </xf>
    <xf numFmtId="0" fontId="0" fillId="0" borderId="0" xfId="0" quotePrefix="1" applyAlignment="1">
      <alignment horizontal="center" vertical="top"/>
    </xf>
    <xf numFmtId="0" fontId="44" fillId="0" borderId="0" xfId="0" applyFont="1" applyFill="1" applyAlignment="1">
      <alignment horizontal="center"/>
    </xf>
    <xf numFmtId="0" fontId="44" fillId="0" borderId="0" xfId="0" applyFont="1" applyAlignment="1">
      <alignment horizontal="center" vertical="top"/>
    </xf>
    <xf numFmtId="0" fontId="44" fillId="0" borderId="0" xfId="0" applyFont="1" applyAlignment="1">
      <alignment horizontal="center" vertical="center"/>
    </xf>
    <xf numFmtId="43" fontId="44" fillId="0" borderId="18" xfId="382" applyFont="1" applyFill="1" applyBorder="1" applyAlignment="1">
      <alignment horizontal="center"/>
    </xf>
    <xf numFmtId="0" fontId="0" fillId="0" borderId="0" xfId="0" applyFill="1" applyAlignment="1">
      <alignment vertical="top" wrapText="1"/>
    </xf>
    <xf numFmtId="10" fontId="0" fillId="51" borderId="18" xfId="674" applyNumberFormat="1" applyFont="1" applyFill="1" applyBorder="1" applyAlignment="1">
      <alignment vertical="top"/>
    </xf>
    <xf numFmtId="0" fontId="0" fillId="0" borderId="0" xfId="0" applyAlignment="1">
      <alignment horizontal="left" vertical="top"/>
    </xf>
    <xf numFmtId="0" fontId="44" fillId="0" borderId="0" xfId="474" applyFont="1" applyAlignment="1">
      <alignment horizontal="center" vertical="top"/>
    </xf>
    <xf numFmtId="0" fontId="44" fillId="0" borderId="0" xfId="0" applyFont="1" applyFill="1" applyAlignment="1">
      <alignment vertical="top" wrapText="1"/>
    </xf>
    <xf numFmtId="3" fontId="48" fillId="0" borderId="0" xfId="0" applyNumberFormat="1" applyFont="1" applyFill="1" applyBorder="1" applyAlignment="1">
      <alignment horizontal="left" indent="1"/>
    </xf>
    <xf numFmtId="3" fontId="44" fillId="0" borderId="0" xfId="11265" quotePrefix="1" applyNumberFormat="1" applyFont="1" applyFill="1" applyAlignment="1">
      <alignment horizontal="center" vertical="top"/>
    </xf>
    <xf numFmtId="0" fontId="44" fillId="0" borderId="0" xfId="474" applyFont="1" applyAlignment="1">
      <alignment vertical="top"/>
    </xf>
    <xf numFmtId="0" fontId="144" fillId="0" borderId="0" xfId="0" applyFont="1" applyAlignment="1">
      <alignment horizontal="center" vertical="top"/>
    </xf>
    <xf numFmtId="0" fontId="169" fillId="0" borderId="0" xfId="0" applyFont="1" applyAlignment="1">
      <alignment horizontal="center" vertical="top" wrapText="1"/>
    </xf>
    <xf numFmtId="0" fontId="93" fillId="0" borderId="0" xfId="0" applyFont="1" applyAlignment="1">
      <alignment horizontal="center" vertical="top"/>
    </xf>
    <xf numFmtId="0" fontId="44" fillId="0" borderId="0" xfId="0" applyFont="1" applyFill="1" applyAlignment="1">
      <alignment horizontal="center"/>
    </xf>
    <xf numFmtId="0" fontId="44" fillId="0" borderId="0" xfId="0" applyFont="1" applyAlignment="1">
      <alignment horizontal="center"/>
    </xf>
    <xf numFmtId="3" fontId="44" fillId="0" borderId="0" xfId="11265" quotePrefix="1" applyNumberFormat="1" applyFont="1" applyFill="1" applyAlignment="1">
      <alignment horizontal="center"/>
    </xf>
    <xf numFmtId="0" fontId="44" fillId="0" borderId="0" xfId="474" applyFont="1" applyFill="1" applyAlignment="1">
      <alignment horizontal="center"/>
    </xf>
    <xf numFmtId="0" fontId="0" fillId="0" borderId="0" xfId="0" applyAlignment="1">
      <alignment horizontal="left" vertical="top"/>
    </xf>
    <xf numFmtId="0" fontId="44" fillId="0" borderId="0" xfId="474" quotePrefix="1" applyFont="1" applyFill="1" applyAlignment="1">
      <alignment horizontal="center"/>
    </xf>
    <xf numFmtId="164" fontId="0" fillId="0" borderId="0" xfId="37703" applyNumberFormat="1" applyFont="1" applyFill="1" applyBorder="1" applyAlignment="1">
      <alignment horizontal="centerContinuous" vertical="top"/>
    </xf>
    <xf numFmtId="164" fontId="0" fillId="0" borderId="18" xfId="37703" applyNumberFormat="1" applyFont="1" applyFill="1" applyBorder="1"/>
    <xf numFmtId="0" fontId="169" fillId="0" borderId="0" xfId="0" applyFont="1" applyFill="1" applyAlignment="1">
      <alignment horizontal="center" vertical="top" wrapText="1"/>
    </xf>
    <xf numFmtId="0" fontId="0" fillId="0" borderId="0" xfId="0" quotePrefix="1" applyFill="1" applyAlignment="1">
      <alignment vertical="top"/>
    </xf>
    <xf numFmtId="0" fontId="0" fillId="0" borderId="0" xfId="0" quotePrefix="1" applyFill="1" applyAlignment="1">
      <alignment horizontal="left" vertical="top"/>
    </xf>
    <xf numFmtId="0" fontId="0" fillId="0" borderId="0" xfId="0" quotePrefix="1" applyFill="1" applyAlignment="1">
      <alignment horizontal="center"/>
    </xf>
    <xf numFmtId="164" fontId="0" fillId="0" borderId="0" xfId="0" applyNumberFormat="1"/>
    <xf numFmtId="164" fontId="0" fillId="0" borderId="0" xfId="37703" applyNumberFormat="1" applyFont="1" applyFill="1" applyBorder="1"/>
    <xf numFmtId="0" fontId="0" fillId="0" borderId="0" xfId="0" applyFill="1" applyAlignment="1">
      <alignment horizontal="left" vertical="top"/>
    </xf>
    <xf numFmtId="0" fontId="0" fillId="0" borderId="0" xfId="0" applyFill="1" applyAlignment="1">
      <alignment horizontal="left" vertical="top" wrapText="1"/>
    </xf>
    <xf numFmtId="0" fontId="93" fillId="0" borderId="0" xfId="0" applyFont="1" applyAlignment="1">
      <alignment horizontal="center"/>
    </xf>
    <xf numFmtId="43" fontId="44" fillId="0" borderId="0" xfId="382" applyFont="1" applyAlignment="1">
      <alignment horizontal="left" indent="1"/>
    </xf>
    <xf numFmtId="10" fontId="0" fillId="0" borderId="0" xfId="37704" applyNumberFormat="1" applyFont="1" applyAlignment="1">
      <alignment horizontal="center"/>
    </xf>
    <xf numFmtId="168" fontId="0" fillId="0" borderId="0" xfId="37704" applyNumberFormat="1" applyFont="1" applyAlignment="1">
      <alignment horizontal="center"/>
    </xf>
    <xf numFmtId="164" fontId="172" fillId="0" borderId="16" xfId="382" applyNumberFormat="1" applyFont="1" applyBorder="1"/>
    <xf numFmtId="10" fontId="44" fillId="0" borderId="0" xfId="0" applyNumberFormat="1" applyFont="1" applyAlignment="1">
      <alignment horizontal="center"/>
    </xf>
    <xf numFmtId="164" fontId="44" fillId="0" borderId="18" xfId="0" applyNumberFormat="1" applyFont="1" applyBorder="1"/>
    <xf numFmtId="164" fontId="45" fillId="0" borderId="0" xfId="0" applyNumberFormat="1" applyFont="1" applyBorder="1"/>
    <xf numFmtId="0" fontId="93" fillId="0" borderId="0" xfId="0" applyFont="1"/>
    <xf numFmtId="0" fontId="44" fillId="0" borderId="0" xfId="0" applyFont="1" applyFill="1" applyAlignment="1">
      <alignment horizontal="center"/>
    </xf>
    <xf numFmtId="0" fontId="44" fillId="0" borderId="0" xfId="0" applyFont="1" applyFill="1" applyAlignment="1">
      <alignment horizontal="center" wrapText="1"/>
    </xf>
    <xf numFmtId="43" fontId="123" fillId="0" borderId="0" xfId="382" applyFont="1" applyFill="1" applyAlignment="1">
      <alignment horizontal="left"/>
    </xf>
    <xf numFmtId="0" fontId="44" fillId="0" borderId="0" xfId="0" applyFont="1" applyAlignment="1">
      <alignment horizontal="center"/>
    </xf>
    <xf numFmtId="0" fontId="44" fillId="0" borderId="0" xfId="0" quotePrefix="1" applyFont="1" applyFill="1" applyAlignment="1">
      <alignment horizontal="center" wrapText="1"/>
    </xf>
    <xf numFmtId="0" fontId="44" fillId="0" borderId="0" xfId="0" applyFont="1" applyFill="1" applyAlignment="1">
      <alignment vertical="top" wrapText="1"/>
    </xf>
    <xf numFmtId="0" fontId="48" fillId="0" borderId="35" xfId="0" quotePrefix="1" applyFont="1" applyFill="1" applyBorder="1" applyAlignment="1">
      <alignment horizontal="left" vertical="center"/>
    </xf>
    <xf numFmtId="0" fontId="48" fillId="0" borderId="0" xfId="0" quotePrefix="1" applyFont="1" applyFill="1" applyBorder="1" applyAlignment="1">
      <alignment horizontal="center"/>
    </xf>
    <xf numFmtId="0" fontId="48" fillId="0" borderId="18" xfId="0" quotePrefix="1" applyNumberFormat="1" applyFont="1" applyFill="1" applyBorder="1" applyAlignment="1">
      <alignment horizontal="center"/>
    </xf>
    <xf numFmtId="164" fontId="123" fillId="0" borderId="0" xfId="382" applyNumberFormat="1" applyFont="1"/>
    <xf numFmtId="10" fontId="44" fillId="0" borderId="0" xfId="678" applyNumberFormat="1" applyFont="1" applyFill="1" applyBorder="1" applyAlignment="1">
      <alignment horizontal="left" vertical="top"/>
    </xf>
    <xf numFmtId="166" fontId="44" fillId="0" borderId="0" xfId="678" applyNumberFormat="1" applyFont="1" applyFill="1" applyBorder="1" applyAlignment="1">
      <alignment horizontal="left" vertical="top"/>
    </xf>
    <xf numFmtId="166" fontId="44" fillId="0" borderId="0" xfId="0" applyNumberFormat="1" applyFont="1" applyFill="1" applyAlignment="1">
      <alignment horizontal="center" vertical="center"/>
    </xf>
    <xf numFmtId="39" fontId="44" fillId="0" borderId="0" xfId="403" applyNumberFormat="1" applyFont="1" applyFill="1" applyAlignment="1">
      <alignment horizontal="center" vertical="center"/>
    </xf>
    <xf numFmtId="43" fontId="44" fillId="0" borderId="0" xfId="382" quotePrefix="1" applyFont="1" applyFill="1" applyAlignment="1">
      <alignment horizontal="left"/>
    </xf>
    <xf numFmtId="0" fontId="157" fillId="0" borderId="0" xfId="0" applyFont="1" applyFill="1" applyAlignment="1">
      <alignment horizontal="left"/>
    </xf>
    <xf numFmtId="0" fontId="44" fillId="0" borderId="0" xfId="0" quotePrefix="1" applyFont="1" applyFill="1"/>
    <xf numFmtId="164" fontId="44" fillId="0" borderId="0" xfId="382" quotePrefix="1" applyNumberFormat="1" applyFont="1" applyFill="1" applyAlignment="1">
      <alignment horizontal="center"/>
    </xf>
    <xf numFmtId="0" fontId="44" fillId="0" borderId="0" xfId="504" applyFont="1" applyFill="1" applyAlignment="1">
      <alignment horizontal="center"/>
    </xf>
    <xf numFmtId="0" fontId="44" fillId="0" borderId="0" xfId="504" applyFont="1" applyFill="1" applyAlignment="1"/>
    <xf numFmtId="0" fontId="44" fillId="0" borderId="0" xfId="511" applyFont="1" applyFill="1"/>
    <xf numFmtId="0" fontId="93" fillId="0" borderId="0" xfId="504" applyFont="1" applyFill="1"/>
    <xf numFmtId="0" fontId="173" fillId="0" borderId="0" xfId="0" applyFont="1" applyFill="1" applyAlignment="1">
      <alignment vertical="center" wrapText="1"/>
    </xf>
    <xf numFmtId="37" fontId="44" fillId="0" borderId="0" xfId="0" applyNumberFormat="1" applyFont="1" applyFill="1" applyAlignment="1">
      <alignment horizontal="center"/>
    </xf>
    <xf numFmtId="43" fontId="44" fillId="0" borderId="0" xfId="382" applyFont="1" applyFill="1" applyAlignment="1">
      <alignment wrapText="1"/>
    </xf>
    <xf numFmtId="43" fontId="44" fillId="0" borderId="0" xfId="382" applyFont="1" applyFill="1" applyAlignment="1">
      <alignment horizontal="left"/>
    </xf>
    <xf numFmtId="0" fontId="44" fillId="0" borderId="0" xfId="474" applyFont="1" applyFill="1" applyBorder="1" applyAlignment="1">
      <alignment horizontal="center"/>
    </xf>
    <xf numFmtId="0" fontId="145" fillId="0" borderId="0" xfId="0" applyFont="1" applyFill="1"/>
    <xf numFmtId="164" fontId="44" fillId="0" borderId="0" xfId="474" applyNumberFormat="1" applyFont="1" applyFill="1" applyBorder="1"/>
    <xf numFmtId="164" fontId="44" fillId="0" borderId="0" xfId="474" applyNumberFormat="1" applyFont="1" applyFill="1"/>
    <xf numFmtId="164" fontId="0" fillId="0" borderId="11" xfId="37703" applyNumberFormat="1" applyFont="1" applyFill="1" applyBorder="1" applyAlignment="1">
      <alignment horizontal="centerContinuous" vertical="top"/>
    </xf>
    <xf numFmtId="164" fontId="0" fillId="0" borderId="11" xfId="37703" applyNumberFormat="1" applyFont="1" applyFill="1" applyBorder="1" applyAlignment="1">
      <alignment horizontal="center" vertical="top" wrapText="1"/>
    </xf>
    <xf numFmtId="0" fontId="44" fillId="0" borderId="0" xfId="564" quotePrefix="1" applyFont="1" applyFill="1" applyBorder="1" applyAlignment="1">
      <alignment vertical="top"/>
    </xf>
    <xf numFmtId="14" fontId="44" fillId="0" borderId="0" xfId="0" quotePrefix="1" applyNumberFormat="1" applyFont="1" applyFill="1"/>
    <xf numFmtId="0" fontId="44" fillId="0" borderId="0" xfId="11271" applyFont="1"/>
    <xf numFmtId="0" fontId="44" fillId="0" borderId="0" xfId="11271" applyFont="1" applyBorder="1"/>
    <xf numFmtId="167" fontId="44" fillId="0" borderId="0" xfId="11271" applyNumberFormat="1" applyFont="1"/>
    <xf numFmtId="0" fontId="44" fillId="0" borderId="0" xfId="496" applyFont="1"/>
    <xf numFmtId="0" fontId="173" fillId="0" borderId="0" xfId="496" applyFont="1"/>
    <xf numFmtId="0" fontId="44" fillId="0" borderId="0" xfId="569" applyFont="1"/>
    <xf numFmtId="0" fontId="173" fillId="0" borderId="0" xfId="569" applyFont="1"/>
    <xf numFmtId="0" fontId="173" fillId="0" borderId="0" xfId="35689" applyFont="1" applyFill="1"/>
    <xf numFmtId="0" fontId="173" fillId="0" borderId="0" xfId="496" applyFont="1" applyFill="1"/>
    <xf numFmtId="0" fontId="173" fillId="0" borderId="0" xfId="0" applyFont="1" applyAlignment="1"/>
    <xf numFmtId="0" fontId="93" fillId="0" borderId="0" xfId="0" applyFont="1" applyBorder="1"/>
    <xf numFmtId="0" fontId="18" fillId="0" borderId="0" xfId="35157" applyFont="1" applyFill="1" applyBorder="1" applyAlignment="1">
      <alignment wrapText="1"/>
    </xf>
    <xf numFmtId="201" fontId="44" fillId="0" borderId="0" xfId="0" applyNumberFormat="1" applyFont="1" applyFill="1" applyAlignment="1">
      <alignment horizontal="center" vertical="top"/>
    </xf>
    <xf numFmtId="0" fontId="44" fillId="0" borderId="0" xfId="35157" applyFont="1" applyFill="1" applyBorder="1" applyAlignment="1">
      <alignment wrapText="1"/>
    </xf>
    <xf numFmtId="43" fontId="44" fillId="0" borderId="0" xfId="382" applyFont="1" applyFill="1" applyAlignment="1"/>
    <xf numFmtId="0" fontId="44" fillId="0" borderId="0" xfId="0" quotePrefix="1" applyFont="1" applyFill="1" applyAlignment="1">
      <alignment vertical="center"/>
    </xf>
    <xf numFmtId="0" fontId="44" fillId="0" borderId="0" xfId="0" applyFont="1" applyFill="1" applyAlignment="1">
      <alignment horizontal="left" indent="2"/>
    </xf>
    <xf numFmtId="0" fontId="171" fillId="0" borderId="0" xfId="0" applyFont="1" applyFill="1"/>
    <xf numFmtId="176" fontId="44" fillId="0" borderId="0" xfId="474" applyNumberFormat="1" applyFont="1" applyFill="1" applyAlignment="1">
      <alignment horizontal="left"/>
    </xf>
    <xf numFmtId="2" fontId="44" fillId="0" borderId="0" xfId="511" applyNumberFormat="1" applyFont="1" applyFill="1" applyAlignment="1">
      <alignment horizontal="left"/>
    </xf>
    <xf numFmtId="0" fontId="44" fillId="0" borderId="0" xfId="0" applyFont="1" applyFill="1" applyAlignment="1">
      <alignment horizontal="center" vertical="top" wrapText="1"/>
    </xf>
    <xf numFmtId="0" fontId="100" fillId="0" borderId="0" xfId="37696" applyNumberFormat="1" applyFont="1" applyFill="1" applyAlignment="1">
      <alignment horizontal="center"/>
    </xf>
    <xf numFmtId="3" fontId="112" fillId="0" borderId="0" xfId="37696" applyNumberFormat="1" applyFont="1" applyFill="1" applyAlignment="1">
      <alignment horizontal="left" vertical="top" wrapText="1"/>
    </xf>
    <xf numFmtId="169" fontId="151" fillId="0" borderId="0" xfId="37694" applyFont="1" applyAlignment="1">
      <alignment horizontal="left" vertical="top" wrapText="1"/>
    </xf>
    <xf numFmtId="0" fontId="100" fillId="0" borderId="0" xfId="37696" applyNumberFormat="1" applyFont="1" applyFill="1" applyAlignment="1" applyProtection="1">
      <alignment horizontal="center"/>
      <protection locked="0"/>
    </xf>
    <xf numFmtId="0" fontId="48" fillId="0" borderId="0" xfId="0" applyFont="1" applyFill="1" applyBorder="1" applyAlignment="1">
      <alignment horizontal="left" vertical="top" wrapText="1"/>
    </xf>
    <xf numFmtId="0" fontId="44" fillId="0" borderId="0" xfId="0" applyFont="1" applyFill="1" applyAlignment="1">
      <alignment horizontal="left" vertical="top" wrapText="1"/>
    </xf>
    <xf numFmtId="0" fontId="48" fillId="0" borderId="0" xfId="0" applyFont="1" applyFill="1" applyBorder="1" applyAlignment="1">
      <alignment horizontal="left" vertical="top"/>
    </xf>
    <xf numFmtId="0" fontId="48" fillId="0" borderId="0" xfId="0" applyFont="1" applyFill="1" applyAlignment="1">
      <alignment horizontal="left" vertical="top" wrapText="1"/>
    </xf>
    <xf numFmtId="0" fontId="48" fillId="33" borderId="0" xfId="0" applyFont="1" applyFill="1" applyAlignment="1">
      <alignment horizontal="left" wrapText="1"/>
    </xf>
    <xf numFmtId="0" fontId="48" fillId="0" borderId="0" xfId="0" applyNumberFormat="1" applyFont="1" applyFill="1" applyAlignment="1">
      <alignment horizontal="left" vertical="top" wrapText="1"/>
    </xf>
    <xf numFmtId="0" fontId="48" fillId="0" borderId="0" xfId="0" applyNumberFormat="1" applyFont="1" applyFill="1" applyAlignment="1">
      <alignment horizontal="left" vertical="top"/>
    </xf>
    <xf numFmtId="169" fontId="48" fillId="0" borderId="0" xfId="590" applyFont="1" applyFill="1" applyAlignment="1" applyProtection="1">
      <alignment horizontal="left" vertical="top" wrapText="1"/>
      <protection locked="0"/>
    </xf>
    <xf numFmtId="0" fontId="60" fillId="0" borderId="0" xfId="0" applyFont="1" applyAlignment="1">
      <alignment horizontal="center"/>
    </xf>
    <xf numFmtId="0" fontId="57" fillId="0" borderId="0" xfId="0" applyFont="1" applyAlignment="1">
      <alignment horizontal="center"/>
    </xf>
    <xf numFmtId="0" fontId="46" fillId="0" borderId="0" xfId="0" applyNumberFormat="1" applyFont="1" applyBorder="1" applyAlignment="1">
      <alignment horizontal="center"/>
    </xf>
    <xf numFmtId="0" fontId="48" fillId="0" borderId="0" xfId="0" applyFont="1" applyBorder="1" applyAlignment="1">
      <alignment horizontal="center" wrapText="1"/>
    </xf>
    <xf numFmtId="0" fontId="48" fillId="0" borderId="18" xfId="0" applyFont="1" applyBorder="1" applyAlignment="1">
      <alignment horizontal="center" wrapText="1"/>
    </xf>
    <xf numFmtId="3" fontId="48" fillId="0" borderId="35" xfId="0" applyNumberFormat="1" applyFont="1" applyBorder="1" applyAlignment="1">
      <alignment horizontal="center" vertical="top"/>
    </xf>
    <xf numFmtId="3" fontId="48" fillId="0" borderId="37" xfId="0" applyNumberFormat="1" applyFont="1" applyBorder="1" applyAlignment="1">
      <alignment horizontal="center" vertical="top"/>
    </xf>
    <xf numFmtId="0" fontId="48" fillId="0" borderId="18" xfId="0" applyFont="1" applyFill="1" applyBorder="1" applyAlignment="1">
      <alignment horizontal="left"/>
    </xf>
    <xf numFmtId="0" fontId="48" fillId="0" borderId="18" xfId="0" applyNumberFormat="1" applyFont="1" applyFill="1" applyBorder="1" applyAlignment="1">
      <alignment horizontal="left"/>
    </xf>
    <xf numFmtId="0" fontId="48" fillId="0" borderId="47" xfId="0" applyNumberFormat="1" applyFont="1" applyFill="1" applyBorder="1" applyAlignment="1">
      <alignment horizontal="left"/>
    </xf>
    <xf numFmtId="0" fontId="48" fillId="0" borderId="0" xfId="0" applyNumberFormat="1" applyFont="1" applyFill="1" applyBorder="1" applyAlignment="1">
      <alignment horizontal="left"/>
    </xf>
    <xf numFmtId="0" fontId="46" fillId="0" borderId="17" xfId="0" applyFont="1" applyFill="1" applyBorder="1" applyAlignment="1">
      <alignment horizontal="left"/>
    </xf>
    <xf numFmtId="0" fontId="46" fillId="0" borderId="0" xfId="0" applyNumberFormat="1" applyFont="1" applyFill="1" applyBorder="1" applyAlignment="1">
      <alignment horizontal="left"/>
    </xf>
    <xf numFmtId="0" fontId="48" fillId="0" borderId="0" xfId="0" applyFont="1" applyFill="1" applyBorder="1" applyAlignment="1">
      <alignment horizontal="left"/>
    </xf>
    <xf numFmtId="0" fontId="46" fillId="0" borderId="0" xfId="0" applyFont="1" applyFill="1" applyAlignment="1">
      <alignment horizontal="left"/>
    </xf>
    <xf numFmtId="0" fontId="46" fillId="50" borderId="57" xfId="0" applyFont="1" applyFill="1" applyBorder="1" applyAlignment="1">
      <alignment horizontal="left"/>
    </xf>
    <xf numFmtId="0" fontId="46" fillId="50" borderId="32" xfId="0" applyFont="1" applyFill="1" applyBorder="1" applyAlignment="1">
      <alignment horizontal="left"/>
    </xf>
    <xf numFmtId="0" fontId="60" fillId="35" borderId="31" xfId="0" applyFont="1" applyFill="1" applyBorder="1" applyAlignment="1">
      <alignment horizontal="left"/>
    </xf>
    <xf numFmtId="0" fontId="60" fillId="35" borderId="46" xfId="0" applyFont="1" applyFill="1" applyBorder="1" applyAlignment="1">
      <alignment horizontal="left"/>
    </xf>
    <xf numFmtId="0" fontId="46" fillId="50" borderId="56" xfId="0" applyFont="1" applyFill="1" applyBorder="1" applyAlignment="1">
      <alignment horizontal="left"/>
    </xf>
    <xf numFmtId="0" fontId="46" fillId="50" borderId="6" xfId="0" applyFont="1" applyFill="1" applyBorder="1" applyAlignment="1">
      <alignment horizontal="left"/>
    </xf>
    <xf numFmtId="0" fontId="46" fillId="0" borderId="47" xfId="0" applyNumberFormat="1" applyFont="1" applyFill="1" applyBorder="1" applyAlignment="1">
      <alignment horizontal="left"/>
    </xf>
    <xf numFmtId="0" fontId="46" fillId="0" borderId="17" xfId="0" applyFont="1" applyBorder="1" applyAlignment="1">
      <alignment horizontal="left"/>
    </xf>
    <xf numFmtId="0" fontId="46" fillId="0" borderId="47" xfId="0" applyFont="1" applyFill="1" applyBorder="1" applyAlignment="1">
      <alignment horizontal="left"/>
    </xf>
    <xf numFmtId="0" fontId="46" fillId="0" borderId="47" xfId="0" applyNumberFormat="1" applyFont="1" applyBorder="1" applyAlignment="1">
      <alignment horizontal="left" vertical="center" wrapText="1"/>
    </xf>
    <xf numFmtId="0" fontId="167" fillId="0" borderId="47" xfId="0" applyNumberFormat="1" applyFont="1" applyBorder="1" applyAlignment="1">
      <alignment horizontal="left" vertical="center" wrapText="1"/>
    </xf>
    <xf numFmtId="0" fontId="48" fillId="0" borderId="0" xfId="0" applyNumberFormat="1" applyFont="1" applyFill="1" applyBorder="1" applyAlignment="1">
      <alignment horizontal="left" indent="1"/>
    </xf>
    <xf numFmtId="0" fontId="46" fillId="0" borderId="17" xfId="0" applyNumberFormat="1" applyFont="1" applyFill="1" applyBorder="1" applyAlignment="1">
      <alignment horizontal="left"/>
    </xf>
    <xf numFmtId="0" fontId="46" fillId="0" borderId="0" xfId="0" applyNumberFormat="1" applyFont="1" applyBorder="1" applyAlignment="1">
      <alignment horizontal="left"/>
    </xf>
    <xf numFmtId="0" fontId="46" fillId="0" borderId="17" xfId="0" applyNumberFormat="1" applyFont="1" applyBorder="1" applyAlignment="1">
      <alignment horizontal="left"/>
    </xf>
    <xf numFmtId="0" fontId="48" fillId="0" borderId="0" xfId="0" applyFont="1" applyFill="1" applyAlignment="1">
      <alignment horizontal="left" vertical="top"/>
    </xf>
    <xf numFmtId="168" fontId="46" fillId="0" borderId="0" xfId="0" applyNumberFormat="1" applyFont="1" applyBorder="1" applyAlignment="1">
      <alignment horizontal="left"/>
    </xf>
    <xf numFmtId="0" fontId="48" fillId="0" borderId="18" xfId="0" applyNumberFormat="1" applyFont="1" applyFill="1" applyBorder="1" applyAlignment="1">
      <alignment horizontal="center"/>
    </xf>
    <xf numFmtId="168" fontId="46" fillId="0" borderId="17" xfId="0" applyNumberFormat="1" applyFont="1" applyBorder="1" applyAlignment="1">
      <alignment horizontal="left"/>
    </xf>
    <xf numFmtId="168" fontId="48" fillId="0" borderId="0" xfId="0" applyNumberFormat="1" applyFont="1" applyFill="1" applyBorder="1" applyAlignment="1">
      <alignment horizontal="left"/>
    </xf>
    <xf numFmtId="168" fontId="48" fillId="0" borderId="18" xfId="0" applyNumberFormat="1" applyFont="1" applyFill="1" applyBorder="1" applyAlignment="1">
      <alignment horizontal="left"/>
    </xf>
    <xf numFmtId="0" fontId="48" fillId="0" borderId="0" xfId="0" quotePrefix="1" applyNumberFormat="1" applyFont="1" applyFill="1" applyBorder="1" applyAlignment="1">
      <alignment horizontal="center" vertical="top" wrapText="1"/>
    </xf>
    <xf numFmtId="0" fontId="48" fillId="0" borderId="0" xfId="0" quotePrefix="1" applyNumberFormat="1" applyFont="1" applyFill="1" applyBorder="1" applyAlignment="1">
      <alignment horizontal="left" vertical="top" wrapText="1"/>
    </xf>
    <xf numFmtId="0" fontId="46" fillId="0" borderId="35" xfId="0" applyNumberFormat="1" applyFont="1" applyBorder="1" applyAlignment="1">
      <alignment horizontal="left"/>
    </xf>
    <xf numFmtId="0" fontId="44" fillId="0" borderId="0" xfId="0" applyFont="1" applyFill="1" applyAlignment="1">
      <alignment horizontal="center"/>
    </xf>
    <xf numFmtId="0" fontId="44" fillId="0" borderId="0" xfId="0" applyFont="1" applyFill="1" applyAlignment="1">
      <alignment horizontal="center" wrapText="1"/>
    </xf>
    <xf numFmtId="0" fontId="44" fillId="0" borderId="0" xfId="0" applyFont="1" applyAlignment="1">
      <alignment horizontal="left" wrapText="1"/>
    </xf>
    <xf numFmtId="43" fontId="123" fillId="0" borderId="0" xfId="382" applyFont="1" applyFill="1" applyAlignment="1">
      <alignment horizontal="left"/>
    </xf>
    <xf numFmtId="0" fontId="44" fillId="0" borderId="0" xfId="504" applyFont="1" applyFill="1" applyBorder="1" applyAlignment="1">
      <alignment horizontal="left" vertical="top" wrapText="1"/>
    </xf>
    <xf numFmtId="0" fontId="44" fillId="0" borderId="0" xfId="0" applyFont="1" applyFill="1" applyAlignment="1">
      <alignment horizontal="left" wrapText="1"/>
    </xf>
    <xf numFmtId="43" fontId="44" fillId="0" borderId="0" xfId="0" applyNumberFormat="1" applyFont="1" applyFill="1" applyAlignment="1">
      <alignment horizontal="left"/>
    </xf>
    <xf numFmtId="0" fontId="44" fillId="0" borderId="0" xfId="0" applyFont="1" applyAlignment="1">
      <alignment horizontal="center"/>
    </xf>
    <xf numFmtId="0" fontId="44" fillId="0" borderId="0" xfId="0" applyFont="1" applyFill="1" applyBorder="1" applyAlignment="1">
      <alignment horizontal="left" vertical="top" wrapText="1"/>
    </xf>
    <xf numFmtId="0" fontId="29" fillId="0" borderId="0" xfId="11271" applyFont="1" applyFill="1" applyAlignment="1">
      <alignment horizontal="left" wrapText="1"/>
    </xf>
    <xf numFmtId="0" fontId="145" fillId="0" borderId="0" xfId="0" applyFont="1" applyFill="1" applyAlignment="1">
      <alignment horizontal="left" vertical="center" wrapText="1"/>
    </xf>
    <xf numFmtId="0" fontId="44" fillId="0" borderId="0" xfId="504" applyFont="1" applyFill="1" applyAlignment="1">
      <alignment horizontal="left" vertical="top" wrapText="1"/>
    </xf>
    <xf numFmtId="0" fontId="44" fillId="0" borderId="0" xfId="504" applyFont="1" applyFill="1" applyBorder="1" applyAlignment="1">
      <alignment horizontal="left"/>
    </xf>
    <xf numFmtId="0" fontId="44" fillId="0" borderId="0" xfId="504" applyFont="1" applyBorder="1" applyAlignment="1">
      <alignment horizontal="left" vertical="top" wrapText="1"/>
    </xf>
    <xf numFmtId="0" fontId="44" fillId="0" borderId="0" xfId="504" applyFont="1" applyFill="1" applyAlignment="1">
      <alignment horizontal="left"/>
    </xf>
    <xf numFmtId="0" fontId="44" fillId="0" borderId="0" xfId="0" applyFont="1" applyAlignment="1">
      <alignment horizontal="center" vertical="top"/>
    </xf>
    <xf numFmtId="0" fontId="64" fillId="0" borderId="0" xfId="11272" applyFont="1" applyAlignment="1">
      <alignment horizontal="center"/>
    </xf>
    <xf numFmtId="0" fontId="64" fillId="0" borderId="0" xfId="474" quotePrefix="1" applyFont="1" applyFill="1" applyAlignment="1">
      <alignment horizontal="center"/>
    </xf>
    <xf numFmtId="0" fontId="44" fillId="0" borderId="0" xfId="474" applyFont="1" applyAlignment="1">
      <alignment horizontal="left" vertical="top" wrapText="1"/>
    </xf>
    <xf numFmtId="0" fontId="93" fillId="0" borderId="0" xfId="474" applyFont="1" applyFill="1" applyAlignment="1">
      <alignment horizontal="center"/>
    </xf>
    <xf numFmtId="3" fontId="44" fillId="0" borderId="0" xfId="11265" quotePrefix="1" applyNumberFormat="1" applyFont="1" applyFill="1" applyAlignment="1">
      <alignment horizontal="center"/>
    </xf>
    <xf numFmtId="0" fontId="44" fillId="0" borderId="0" xfId="474" applyFont="1" applyFill="1" applyAlignment="1">
      <alignment horizontal="left" vertical="top" wrapText="1"/>
    </xf>
    <xf numFmtId="0" fontId="0" fillId="0" borderId="0" xfId="0" applyFill="1" applyAlignment="1">
      <alignment horizontal="left" vertical="top"/>
    </xf>
    <xf numFmtId="0" fontId="44" fillId="0" borderId="0" xfId="474" applyFont="1" applyFill="1" applyAlignment="1">
      <alignment horizontal="center"/>
    </xf>
    <xf numFmtId="0" fontId="0" fillId="0" borderId="0" xfId="0" applyFill="1" applyAlignment="1">
      <alignment horizontal="left" vertical="top" wrapText="1"/>
    </xf>
    <xf numFmtId="0" fontId="0" fillId="0" borderId="0" xfId="0" applyAlignment="1">
      <alignment horizontal="left" vertical="top"/>
    </xf>
    <xf numFmtId="0" fontId="44" fillId="0" borderId="0" xfId="569" applyFont="1" applyFill="1" applyBorder="1" applyAlignment="1">
      <alignment horizontal="center" vertical="top"/>
    </xf>
    <xf numFmtId="0" fontId="44" fillId="0" borderId="0" xfId="564" quotePrefix="1" applyFont="1" applyFill="1" applyBorder="1" applyAlignment="1">
      <alignment horizontal="center" vertical="top"/>
    </xf>
    <xf numFmtId="0" fontId="44" fillId="0" borderId="0" xfId="0" applyFont="1" applyBorder="1" applyAlignment="1">
      <alignment horizontal="left" vertical="top" wrapText="1"/>
    </xf>
    <xf numFmtId="0" fontId="45" fillId="0" borderId="0" xfId="0" applyFont="1" applyFill="1" applyBorder="1" applyAlignment="1">
      <alignment horizontal="left" vertical="top" wrapText="1"/>
    </xf>
    <xf numFmtId="164" fontId="124" fillId="0" borderId="0" xfId="382" applyNumberFormat="1" applyFont="1" applyFill="1" applyBorder="1" applyAlignment="1">
      <alignment horizontal="center" vertical="top"/>
    </xf>
    <xf numFmtId="164" fontId="124" fillId="0" borderId="35" xfId="382" applyNumberFormat="1" applyFont="1" applyFill="1" applyBorder="1" applyAlignment="1">
      <alignment horizontal="center" vertical="top"/>
    </xf>
    <xf numFmtId="164" fontId="124" fillId="0" borderId="54" xfId="382" applyNumberFormat="1" applyFont="1" applyFill="1" applyBorder="1" applyAlignment="1">
      <alignment horizontal="center" vertical="top"/>
    </xf>
    <xf numFmtId="0" fontId="44" fillId="0" borderId="0" xfId="0" applyFont="1" applyFill="1" applyBorder="1" applyAlignment="1">
      <alignment horizontal="left" vertical="top"/>
    </xf>
    <xf numFmtId="164" fontId="124" fillId="0" borderId="44" xfId="382" applyNumberFormat="1" applyFont="1" applyFill="1" applyBorder="1" applyAlignment="1">
      <alignment horizontal="center" vertical="top"/>
    </xf>
    <xf numFmtId="0" fontId="45" fillId="0" borderId="24" xfId="0" applyFont="1" applyFill="1" applyBorder="1" applyAlignment="1">
      <alignment horizontal="left" vertical="top" wrapText="1"/>
    </xf>
    <xf numFmtId="0" fontId="45" fillId="0" borderId="0" xfId="0" applyFont="1" applyAlignment="1">
      <alignment horizontal="center" vertical="top"/>
    </xf>
    <xf numFmtId="0" fontId="45" fillId="0" borderId="0" xfId="0" applyFont="1" applyFill="1" applyAlignment="1">
      <alignment horizontal="center" vertical="top"/>
    </xf>
    <xf numFmtId="164" fontId="124" fillId="0" borderId="0" xfId="382" applyNumberFormat="1" applyFont="1" applyFill="1" applyAlignment="1">
      <alignment horizontal="center" vertical="top"/>
    </xf>
    <xf numFmtId="0" fontId="45" fillId="0" borderId="0" xfId="0" applyFont="1" applyFill="1" applyAlignment="1">
      <alignment horizontal="left" vertical="top" wrapText="1"/>
    </xf>
    <xf numFmtId="164" fontId="45" fillId="0" borderId="54" xfId="382" applyNumberFormat="1" applyFont="1" applyFill="1" applyBorder="1" applyAlignment="1">
      <alignment horizontal="center" vertical="top"/>
    </xf>
    <xf numFmtId="164" fontId="45" fillId="0" borderId="0" xfId="382" applyNumberFormat="1" applyFont="1" applyFill="1" applyBorder="1" applyAlignment="1">
      <alignment horizontal="center" vertical="top"/>
    </xf>
    <xf numFmtId="0" fontId="0" fillId="0" borderId="0" xfId="0" applyAlignment="1">
      <alignment horizontal="left" vertical="top" wrapText="1"/>
    </xf>
    <xf numFmtId="0" fontId="44" fillId="0" borderId="0" xfId="0" quotePrefix="1" applyFont="1" applyFill="1" applyBorder="1" applyAlignment="1">
      <alignment horizontal="center" vertical="top"/>
    </xf>
    <xf numFmtId="0" fontId="64" fillId="0" borderId="0" xfId="0" applyFont="1" applyFill="1" applyAlignment="1">
      <alignment horizontal="center"/>
    </xf>
    <xf numFmtId="0" fontId="44" fillId="0" borderId="0" xfId="0" applyFont="1" applyFill="1" applyAlignment="1">
      <alignment horizontal="left" vertical="center" wrapText="1"/>
    </xf>
    <xf numFmtId="43" fontId="131" fillId="0" borderId="0" xfId="382" applyFont="1" applyFill="1" applyAlignment="1">
      <alignment horizontal="center" wrapText="1"/>
    </xf>
    <xf numFmtId="43" fontId="10" fillId="0" borderId="0" xfId="382" applyFont="1" applyFill="1" applyBorder="1" applyAlignment="1">
      <alignment horizontal="center" wrapText="1"/>
    </xf>
    <xf numFmtId="43" fontId="10" fillId="0" borderId="18" xfId="382" applyFont="1" applyFill="1" applyBorder="1" applyAlignment="1">
      <alignment horizontal="center" wrapText="1"/>
    </xf>
    <xf numFmtId="0" fontId="18" fillId="0" borderId="0" xfId="11271" applyFont="1" applyFill="1" applyAlignment="1">
      <alignment horizontal="left" wrapText="1"/>
    </xf>
    <xf numFmtId="185" fontId="45" fillId="0" borderId="0" xfId="474" applyNumberFormat="1" applyFont="1" applyAlignment="1" applyProtection="1">
      <alignment horizontal="center"/>
      <protection locked="0"/>
    </xf>
    <xf numFmtId="0" fontId="44" fillId="0" borderId="0" xfId="474" applyFont="1" applyAlignment="1" applyProtection="1">
      <alignment horizontal="center"/>
      <protection locked="0"/>
    </xf>
    <xf numFmtId="0" fontId="44" fillId="0" borderId="0" xfId="474" applyFont="1" applyFill="1" applyAlignment="1" applyProtection="1">
      <alignment horizontal="center"/>
      <protection locked="0"/>
    </xf>
    <xf numFmtId="0" fontId="44" fillId="0" borderId="0" xfId="484" applyFont="1" applyFill="1" applyAlignment="1">
      <alignment horizontal="left" vertical="top" wrapText="1"/>
    </xf>
    <xf numFmtId="0" fontId="44" fillId="0" borderId="0" xfId="11272" applyFont="1" applyAlignment="1">
      <alignment horizontal="center" vertical="top"/>
    </xf>
    <xf numFmtId="0" fontId="64" fillId="0" borderId="0" xfId="0" quotePrefix="1" applyFont="1" applyFill="1" applyAlignment="1">
      <alignment horizontal="center"/>
    </xf>
    <xf numFmtId="0" fontId="26" fillId="0" borderId="0" xfId="513" applyFont="1" applyFill="1" applyAlignment="1">
      <alignment horizontal="left" vertical="top" wrapText="1"/>
    </xf>
    <xf numFmtId="0" fontId="7" fillId="0" borderId="0" xfId="513" applyFont="1" applyFill="1" applyAlignment="1">
      <alignment horizontal="left" vertical="top" wrapText="1"/>
    </xf>
    <xf numFmtId="0" fontId="8" fillId="0" borderId="0" xfId="513" applyFont="1" applyFill="1" applyAlignment="1">
      <alignment horizontal="left" vertical="top" wrapText="1"/>
    </xf>
    <xf numFmtId="0" fontId="64" fillId="0" borderId="0" xfId="513" applyFont="1" applyAlignment="1">
      <alignment horizontal="center"/>
    </xf>
    <xf numFmtId="0" fontId="74" fillId="0" borderId="0" xfId="513" applyFont="1" applyBorder="1" applyAlignment="1">
      <alignment horizontal="center"/>
    </xf>
    <xf numFmtId="0" fontId="64" fillId="0" borderId="0" xfId="513" applyFont="1" applyFill="1" applyAlignment="1">
      <alignment horizontal="center"/>
    </xf>
    <xf numFmtId="0" fontId="64" fillId="0" borderId="0" xfId="11271" applyFont="1" applyAlignment="1">
      <alignment horizontal="center"/>
    </xf>
    <xf numFmtId="0" fontId="140" fillId="0" borderId="0" xfId="37702" applyFont="1" applyAlignment="1">
      <alignment horizontal="center"/>
    </xf>
    <xf numFmtId="0" fontId="44" fillId="0" borderId="0" xfId="0" quotePrefix="1" applyFont="1" applyFill="1" applyBorder="1" applyAlignment="1">
      <alignment horizontal="left" vertical="top" wrapText="1"/>
    </xf>
    <xf numFmtId="0" fontId="44" fillId="0" borderId="0" xfId="35157" applyFont="1" applyFill="1" applyBorder="1" applyAlignment="1">
      <alignment horizontal="left" wrapText="1"/>
    </xf>
    <xf numFmtId="0" fontId="173" fillId="0" borderId="0" xfId="0" applyFont="1" applyAlignment="1">
      <alignment horizontal="center" wrapText="1"/>
    </xf>
    <xf numFmtId="0" fontId="44" fillId="0" borderId="0" xfId="11275" quotePrefix="1" applyFont="1" applyFill="1" applyBorder="1" applyAlignment="1">
      <alignment horizontal="center" vertical="top"/>
    </xf>
    <xf numFmtId="0" fontId="44" fillId="0" borderId="0" xfId="0" applyFont="1" applyAlignment="1">
      <alignment horizontal="left" vertical="top" wrapText="1"/>
    </xf>
    <xf numFmtId="0" fontId="44" fillId="0" borderId="0" xfId="11275" applyFont="1" applyFill="1" applyBorder="1" applyAlignment="1">
      <alignment horizontal="center" vertical="top"/>
    </xf>
    <xf numFmtId="164" fontId="44" fillId="0" borderId="6" xfId="11275" applyNumberFormat="1" applyFont="1" applyFill="1" applyBorder="1" applyAlignment="1">
      <alignment horizontal="center" vertical="top"/>
    </xf>
    <xf numFmtId="0" fontId="64" fillId="0" borderId="0" xfId="569" applyFont="1" applyFill="1" applyAlignment="1">
      <alignment horizontal="left" wrapText="1"/>
    </xf>
    <xf numFmtId="164" fontId="44" fillId="0" borderId="18" xfId="11275" applyNumberFormat="1" applyFont="1" applyFill="1" applyBorder="1" applyAlignment="1">
      <alignment horizontal="center" vertical="top"/>
    </xf>
    <xf numFmtId="0" fontId="44" fillId="0" borderId="0" xfId="569" quotePrefix="1" applyFont="1" applyFill="1" applyBorder="1" applyAlignment="1">
      <alignment horizontal="center" vertical="top"/>
    </xf>
    <xf numFmtId="0" fontId="64" fillId="0" borderId="0" xfId="11275" quotePrefix="1" applyFont="1" applyFill="1" applyAlignment="1">
      <alignment horizontal="left"/>
    </xf>
    <xf numFmtId="0" fontId="64" fillId="0" borderId="0" xfId="11275" applyFont="1" applyFill="1" applyAlignment="1">
      <alignment horizontal="left" vertical="top" wrapText="1"/>
    </xf>
    <xf numFmtId="0" fontId="64" fillId="0" borderId="54" xfId="569" applyFont="1" applyBorder="1" applyAlignment="1">
      <alignment horizontal="center"/>
    </xf>
    <xf numFmtId="0" fontId="64" fillId="0" borderId="0" xfId="569" applyFont="1" applyAlignment="1">
      <alignment horizontal="center"/>
    </xf>
    <xf numFmtId="0" fontId="0" fillId="0" borderId="0" xfId="0" applyAlignment="1">
      <alignment horizontal="left"/>
    </xf>
    <xf numFmtId="0" fontId="44" fillId="0" borderId="0" xfId="0" applyFont="1" applyAlignment="1">
      <alignment horizontal="center" vertical="center"/>
    </xf>
    <xf numFmtId="0" fontId="44" fillId="0" borderId="0" xfId="0" quotePrefix="1" applyFont="1" applyFill="1" applyAlignment="1">
      <alignment horizontal="center"/>
    </xf>
    <xf numFmtId="43" fontId="44" fillId="0" borderId="18" xfId="382" applyFont="1" applyBorder="1" applyAlignment="1">
      <alignment horizontal="center"/>
    </xf>
    <xf numFmtId="43" fontId="45" fillId="0" borderId="18" xfId="382" applyFont="1" applyBorder="1" applyAlignment="1">
      <alignment horizontal="center"/>
    </xf>
    <xf numFmtId="43" fontId="44" fillId="0" borderId="0" xfId="382" applyFont="1" applyBorder="1" applyAlignment="1">
      <alignment horizontal="center"/>
    </xf>
    <xf numFmtId="0" fontId="44" fillId="0" borderId="0" xfId="0" quotePrefix="1" applyFont="1" applyFill="1" applyAlignment="1">
      <alignment horizontal="center" wrapText="1"/>
    </xf>
    <xf numFmtId="0" fontId="19" fillId="0" borderId="18" xfId="0" applyFont="1" applyFill="1" applyBorder="1" applyAlignment="1">
      <alignment horizontal="center"/>
    </xf>
    <xf numFmtId="0" fontId="44" fillId="0" borderId="0" xfId="474" applyFont="1" applyAlignment="1">
      <alignment horizontal="center"/>
    </xf>
    <xf numFmtId="0" fontId="26" fillId="0" borderId="0" xfId="11271" applyFont="1" applyBorder="1" applyAlignment="1">
      <alignment horizontal="center" wrapText="1"/>
    </xf>
    <xf numFmtId="0" fontId="26" fillId="0" borderId="18" xfId="11271" applyFont="1" applyBorder="1" applyAlignment="1">
      <alignment horizontal="center" wrapText="1"/>
    </xf>
    <xf numFmtId="0" fontId="44" fillId="0" borderId="0" xfId="474" applyFont="1" applyFill="1" applyAlignment="1">
      <alignment horizontal="left"/>
    </xf>
    <xf numFmtId="0" fontId="44" fillId="0" borderId="0" xfId="474" quotePrefix="1" applyFont="1" applyAlignment="1">
      <alignment horizontal="center"/>
    </xf>
    <xf numFmtId="0" fontId="44" fillId="0" borderId="4" xfId="474" applyFont="1" applyBorder="1" applyAlignment="1">
      <alignment horizontal="center"/>
    </xf>
    <xf numFmtId="0" fontId="44" fillId="0" borderId="6" xfId="474" applyFont="1" applyBorder="1" applyAlignment="1">
      <alignment horizontal="center"/>
    </xf>
    <xf numFmtId="0" fontId="44" fillId="0" borderId="21" xfId="474" applyFont="1" applyBorder="1" applyAlignment="1">
      <alignment horizontal="center"/>
    </xf>
    <xf numFmtId="0" fontId="44" fillId="0" borderId="0" xfId="474" quotePrefix="1" applyFont="1" applyAlignment="1">
      <alignment horizontal="center" vertical="top"/>
    </xf>
    <xf numFmtId="0" fontId="44" fillId="0" borderId="0" xfId="474" applyFont="1" applyAlignment="1">
      <alignment horizontal="center" vertical="top"/>
    </xf>
    <xf numFmtId="0" fontId="44" fillId="0" borderId="0" xfId="474" quotePrefix="1" applyFont="1" applyFill="1" applyAlignment="1">
      <alignment horizontal="center"/>
    </xf>
    <xf numFmtId="0" fontId="44" fillId="0" borderId="0" xfId="474" quotePrefix="1" applyFont="1" applyAlignment="1">
      <alignment horizontal="center" vertical="center"/>
    </xf>
    <xf numFmtId="0" fontId="44" fillId="0" borderId="0" xfId="474" applyFont="1" applyAlignment="1">
      <alignment horizontal="center" vertical="center"/>
    </xf>
    <xf numFmtId="43" fontId="131" fillId="0" borderId="0" xfId="382" applyFont="1" applyFill="1" applyAlignment="1">
      <alignment horizontal="center"/>
    </xf>
    <xf numFmtId="0" fontId="26" fillId="0" borderId="0" xfId="0" applyFont="1" applyFill="1" applyAlignment="1">
      <alignment horizontal="left" vertical="top" wrapText="1"/>
    </xf>
    <xf numFmtId="0" fontId="44" fillId="0" borderId="0" xfId="0" applyFont="1" applyFill="1" applyAlignment="1">
      <alignment vertical="top" wrapText="1"/>
    </xf>
    <xf numFmtId="0" fontId="0" fillId="0" borderId="0" xfId="0" applyAlignment="1">
      <alignment horizontal="left" wrapText="1"/>
    </xf>
    <xf numFmtId="0" fontId="23" fillId="0" borderId="0" xfId="0" quotePrefix="1" applyFont="1" applyFill="1" applyAlignment="1">
      <alignment horizontal="left" vertical="top" wrapText="1"/>
    </xf>
    <xf numFmtId="0" fontId="44" fillId="0" borderId="0" xfId="484" applyFont="1" applyFill="1" applyAlignment="1">
      <alignment horizontal="center" vertical="top"/>
    </xf>
    <xf numFmtId="0" fontId="23" fillId="0" borderId="0" xfId="0" quotePrefix="1" applyFont="1" applyAlignment="1">
      <alignment horizontal="left" vertical="top" wrapText="1"/>
    </xf>
    <xf numFmtId="0" fontId="44" fillId="0" borderId="0" xfId="484" applyFont="1" applyAlignment="1">
      <alignment horizontal="left" vertical="top" wrapText="1"/>
    </xf>
    <xf numFmtId="43" fontId="44" fillId="0" borderId="18" xfId="382" applyFont="1" applyFill="1" applyBorder="1" applyAlignment="1">
      <alignment horizontal="center"/>
    </xf>
  </cellXfs>
  <cellStyles count="37705">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2 2 2" xfId="37703"/>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3" xfId="1022"/>
    <cellStyle name="Comma 2 3" xfId="405"/>
    <cellStyle name="Comma 2 3 2" xfId="1023"/>
    <cellStyle name="Comma 2 3 2 10" xfId="17797"/>
    <cellStyle name="Comma 2 3 2 10 2" xfId="31822"/>
    <cellStyle name="Comma 2 3 2 11" xfId="23811"/>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28" xfId="37701"/>
    <cellStyle name="Comma 3" xfId="407"/>
    <cellStyle name="Comma 3 2" xfId="408"/>
    <cellStyle name="Comma 3 3" xfId="409"/>
    <cellStyle name="Comma 3 4" xfId="410"/>
    <cellStyle name="Comma 4" xfId="411"/>
    <cellStyle name="Comma 4 2" xfId="412"/>
    <cellStyle name="Comma 4 2 2" xfId="413"/>
    <cellStyle name="Comma 4 3" xfId="41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8" xfId="426"/>
    <cellStyle name="Comma 8 10" xfId="11623"/>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2 2 2" xfId="37702"/>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_1 - ADIT" xfId="505"/>
    <cellStyle name="Normal 2 3" xfId="506"/>
    <cellStyle name="Normal 2 3 2" xfId="507"/>
    <cellStyle name="Normal 2 4" xfId="508"/>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3" xfId="520"/>
    <cellStyle name="Normal 3 2 4" xfId="2509"/>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5" xfId="528"/>
    <cellStyle name="Normal 3 6" xfId="529"/>
    <cellStyle name="Normal 3 7" xfId="530"/>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_3 - Revenue Credits" xfId="536"/>
    <cellStyle name="Normal 40" xfId="13635"/>
    <cellStyle name="Normal 41" xfId="13631"/>
    <cellStyle name="Normal 42" xfId="13648"/>
    <cellStyle name="Normal 43" xfId="23673"/>
    <cellStyle name="Normal 44" xfId="37699"/>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2 2 2" xfId="37700"/>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0 2 2" xfId="37704"/>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Date" xfId="687"/>
    <cellStyle name="PSDec" xfId="688"/>
    <cellStyle name="PSDec 2" xfId="689"/>
    <cellStyle name="PSHeading" xfId="690"/>
    <cellStyle name="PSHeading 2" xfId="9575"/>
    <cellStyle name="PSInt" xfId="691"/>
    <cellStyle name="PSSpacer" xfId="69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CC"/>
      <color rgb="FFFFFF99"/>
      <color rgb="FF66FFFF"/>
      <color rgb="FFFFFF66"/>
      <color rgb="FFFFCCFF"/>
      <color rgb="FFFF99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externalLink" Target="externalLinks/externalLink9.xml"/><Relationship Id="rId50" Type="http://schemas.openxmlformats.org/officeDocument/2006/relationships/externalLink" Target="externalLinks/externalLink12.xml"/><Relationship Id="rId55" Type="http://schemas.openxmlformats.org/officeDocument/2006/relationships/externalLink" Target="externalLinks/externalLink1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54"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3" Type="http://schemas.openxmlformats.org/officeDocument/2006/relationships/externalLink" Target="externalLinks/externalLink15.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1.xml"/><Relationship Id="rId57" Type="http://schemas.openxmlformats.org/officeDocument/2006/relationships/externalLink" Target="externalLinks/externalLink19.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52" Type="http://schemas.openxmlformats.org/officeDocument/2006/relationships/externalLink" Target="externalLinks/externalLink14.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externalLink" Target="externalLinks/externalLink10.xml"/><Relationship Id="rId56" Type="http://schemas.openxmlformats.org/officeDocument/2006/relationships/externalLink" Target="externalLinks/externalLink18.xml"/><Relationship Id="rId8" Type="http://schemas.openxmlformats.org/officeDocument/2006/relationships/worksheet" Target="worksheets/sheet8.xml"/><Relationship Id="rId51" Type="http://schemas.openxmlformats.org/officeDocument/2006/relationships/externalLink" Target="externalLinks/externalLink1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38100</xdr:colOff>
      <xdr:row>76</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74</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56</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63</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38100</xdr:colOff>
      <xdr:row>54</xdr:row>
      <xdr:rowOff>139700</xdr:rowOff>
    </xdr:from>
    <xdr:ext cx="184731" cy="264560"/>
    <xdr:sp macro="" textlink="">
      <xdr:nvSpPr>
        <xdr:cNvPr id="2" name="TextBox 1"/>
        <xdr:cNvSpPr txBox="1"/>
      </xdr:nvSpPr>
      <xdr:spPr>
        <a:xfrm>
          <a:off x="13853160" y="112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74</xdr:row>
      <xdr:rowOff>0</xdr:rowOff>
    </xdr:from>
    <xdr:ext cx="184731" cy="264560"/>
    <xdr:sp macro="" textlink="">
      <xdr:nvSpPr>
        <xdr:cNvPr id="5" name="TextBox 4"/>
        <xdr:cNvSpPr txBox="1"/>
      </xdr:nvSpPr>
      <xdr:spPr>
        <a:xfrm>
          <a:off x="4351020" y="1250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57</xdr:row>
      <xdr:rowOff>139700</xdr:rowOff>
    </xdr:from>
    <xdr:ext cx="184731" cy="264560"/>
    <xdr:sp macro="" textlink="">
      <xdr:nvSpPr>
        <xdr:cNvPr id="6" name="TextBox 5"/>
        <xdr:cNvSpPr txBox="1"/>
      </xdr:nvSpPr>
      <xdr:spPr>
        <a:xfrm>
          <a:off x="0" y="96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38100</xdr:colOff>
      <xdr:row>64</xdr:row>
      <xdr:rowOff>139700</xdr:rowOff>
    </xdr:from>
    <xdr:ext cx="184731" cy="264560"/>
    <xdr:sp macro="" textlink="">
      <xdr:nvSpPr>
        <xdr:cNvPr id="7" name="TextBox 6"/>
        <xdr:cNvSpPr txBox="1"/>
      </xdr:nvSpPr>
      <xdr:spPr>
        <a:xfrm>
          <a:off x="6393180" y="10792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65</xdr:row>
      <xdr:rowOff>0</xdr:rowOff>
    </xdr:from>
    <xdr:ext cx="184731" cy="264560"/>
    <xdr:sp macro="" textlink="">
      <xdr:nvSpPr>
        <xdr:cNvPr id="8" name="TextBox 7"/>
        <xdr:cNvSpPr txBox="1"/>
      </xdr:nvSpPr>
      <xdr:spPr>
        <a:xfrm>
          <a:off x="4351020" y="10828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139700</xdr:rowOff>
    </xdr:from>
    <xdr:ext cx="184731" cy="264560"/>
    <xdr:sp macro="" textlink="">
      <xdr:nvSpPr>
        <xdr:cNvPr id="9" name="TextBox 8"/>
        <xdr:cNvSpPr txBox="1"/>
      </xdr:nvSpPr>
      <xdr:spPr>
        <a:xfrm>
          <a:off x="0" y="8773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10" name="TextBox 9"/>
        <xdr:cNvSpPr txBox="1"/>
      </xdr:nvSpPr>
      <xdr:spPr>
        <a:xfrm>
          <a:off x="6393180" y="9954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65</xdr:row>
      <xdr:rowOff>0</xdr:rowOff>
    </xdr:from>
    <xdr:ext cx="184731" cy="264560"/>
    <xdr:sp macro="" textlink="">
      <xdr:nvSpPr>
        <xdr:cNvPr id="11" name="TextBox 10"/>
        <xdr:cNvSpPr txBox="1"/>
      </xdr:nvSpPr>
      <xdr:spPr>
        <a:xfrm>
          <a:off x="39624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139700</xdr:rowOff>
    </xdr:from>
    <xdr:ext cx="184731" cy="264560"/>
    <xdr:sp macro="" textlink="">
      <xdr:nvSpPr>
        <xdr:cNvPr id="12" name="TextBox 11"/>
        <xdr:cNvSpPr txBox="1"/>
      </xdr:nvSpPr>
      <xdr:spPr>
        <a:xfrm>
          <a:off x="0" y="85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13" name="TextBox 12"/>
        <xdr:cNvSpPr txBox="1"/>
      </xdr:nvSpPr>
      <xdr:spPr>
        <a:xfrm>
          <a:off x="5953125" y="964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139700</xdr:rowOff>
    </xdr:from>
    <xdr:ext cx="184731" cy="264560"/>
    <xdr:sp macro="" textlink="">
      <xdr:nvSpPr>
        <xdr:cNvPr id="14" name="TextBox 13"/>
        <xdr:cNvSpPr txBox="1"/>
      </xdr:nvSpPr>
      <xdr:spPr>
        <a:xfrm>
          <a:off x="0" y="85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15" name="TextBox 14"/>
        <xdr:cNvSpPr txBox="1"/>
      </xdr:nvSpPr>
      <xdr:spPr>
        <a:xfrm>
          <a:off x="5953125" y="964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56</xdr:row>
      <xdr:rowOff>0</xdr:rowOff>
    </xdr:from>
    <xdr:ext cx="184731" cy="264560"/>
    <xdr:sp macro="" textlink="">
      <xdr:nvSpPr>
        <xdr:cNvPr id="2" name="TextBox 1"/>
        <xdr:cNvSpPr txBox="1"/>
      </xdr:nvSpPr>
      <xdr:spPr>
        <a:xfrm>
          <a:off x="3429000" y="984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0</xdr:rowOff>
    </xdr:from>
    <xdr:ext cx="184731" cy="264560"/>
    <xdr:sp macro="" textlink="">
      <xdr:nvSpPr>
        <xdr:cNvPr id="3" name="TextBox 2"/>
        <xdr:cNvSpPr txBox="1"/>
      </xdr:nvSpPr>
      <xdr:spPr>
        <a:xfrm>
          <a:off x="0" y="9166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52</xdr:row>
      <xdr:rowOff>0</xdr:rowOff>
    </xdr:from>
    <xdr:ext cx="184731" cy="264560"/>
    <xdr:sp macro="" textlink="">
      <xdr:nvSpPr>
        <xdr:cNvPr id="4" name="TextBox 3"/>
        <xdr:cNvSpPr txBox="1"/>
      </xdr:nvSpPr>
      <xdr:spPr>
        <a:xfrm>
          <a:off x="5471160" y="9166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52</xdr:row>
      <xdr:rowOff>0</xdr:rowOff>
    </xdr:from>
    <xdr:ext cx="184731" cy="264560"/>
    <xdr:sp macro="" textlink="">
      <xdr:nvSpPr>
        <xdr:cNvPr id="5" name="TextBox 4"/>
        <xdr:cNvSpPr txBox="1"/>
      </xdr:nvSpPr>
      <xdr:spPr>
        <a:xfrm>
          <a:off x="5471160" y="9166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61</xdr:row>
      <xdr:rowOff>0</xdr:rowOff>
    </xdr:from>
    <xdr:ext cx="184731" cy="264560"/>
    <xdr:sp macro="" textlink="">
      <xdr:nvSpPr>
        <xdr:cNvPr id="2" name="TextBox 1"/>
        <xdr:cNvSpPr txBox="1"/>
      </xdr:nvSpPr>
      <xdr:spPr>
        <a:xfrm>
          <a:off x="3055620" y="111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45</xdr:row>
      <xdr:rowOff>139700</xdr:rowOff>
    </xdr:from>
    <xdr:ext cx="184731" cy="264560"/>
    <xdr:sp macro="" textlink="">
      <xdr:nvSpPr>
        <xdr:cNvPr id="3" name="TextBox 2"/>
        <xdr:cNvSpPr txBox="1"/>
      </xdr:nvSpPr>
      <xdr:spPr>
        <a:xfrm>
          <a:off x="0" y="8453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52</xdr:row>
      <xdr:rowOff>0</xdr:rowOff>
    </xdr:from>
    <xdr:ext cx="184731" cy="264560"/>
    <xdr:sp macro="" textlink="">
      <xdr:nvSpPr>
        <xdr:cNvPr id="4" name="TextBox 3"/>
        <xdr:cNvSpPr txBox="1"/>
      </xdr:nvSpPr>
      <xdr:spPr>
        <a:xfrm>
          <a:off x="5021580" y="9654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52</xdr:row>
      <xdr:rowOff>0</xdr:rowOff>
    </xdr:from>
    <xdr:ext cx="184731" cy="264560"/>
    <xdr:sp macro="" textlink="">
      <xdr:nvSpPr>
        <xdr:cNvPr id="5" name="TextBox 4"/>
        <xdr:cNvSpPr txBox="1"/>
      </xdr:nvSpPr>
      <xdr:spPr>
        <a:xfrm>
          <a:off x="1950720" y="9654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40</xdr:row>
      <xdr:rowOff>139700</xdr:rowOff>
    </xdr:from>
    <xdr:ext cx="184731" cy="264560"/>
    <xdr:sp macro="" textlink="">
      <xdr:nvSpPr>
        <xdr:cNvPr id="6" name="TextBox 5"/>
        <xdr:cNvSpPr txBox="1"/>
      </xdr:nvSpPr>
      <xdr:spPr>
        <a:xfrm>
          <a:off x="0" y="7614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47</xdr:row>
      <xdr:rowOff>139700</xdr:rowOff>
    </xdr:from>
    <xdr:ext cx="184731" cy="264560"/>
    <xdr:sp macro="" textlink="">
      <xdr:nvSpPr>
        <xdr:cNvPr id="7" name="TextBox 6"/>
        <xdr:cNvSpPr txBox="1"/>
      </xdr:nvSpPr>
      <xdr:spPr>
        <a:xfrm>
          <a:off x="3992880" y="878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37</xdr:row>
      <xdr:rowOff>0</xdr:rowOff>
    </xdr:from>
    <xdr:ext cx="184731" cy="264560"/>
    <xdr:sp macro="" textlink="">
      <xdr:nvSpPr>
        <xdr:cNvPr id="8" name="TextBox 7"/>
        <xdr:cNvSpPr txBox="1"/>
      </xdr:nvSpPr>
      <xdr:spPr>
        <a:xfrm>
          <a:off x="3055620"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9" name="TextBox 8"/>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10" name="TextBox 9"/>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11" name="TextBox 10"/>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2" name="TextBox 11"/>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13" name="TextBox 12"/>
        <xdr:cNvSpPr txBox="1"/>
      </xdr:nvSpPr>
      <xdr:spPr>
        <a:xfrm>
          <a:off x="399288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14" name="TextBox 13"/>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15" name="TextBox 14"/>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16" name="TextBox 15"/>
        <xdr:cNvSpPr txBox="1"/>
      </xdr:nvSpPr>
      <xdr:spPr>
        <a:xfrm>
          <a:off x="502158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17" name="TextBox 16"/>
        <xdr:cNvSpPr txBox="1"/>
      </xdr:nvSpPr>
      <xdr:spPr>
        <a:xfrm>
          <a:off x="195072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raft/Special%20Projects/OATT/2001/2001%20OATT%20Rates%20TD%20OMadj.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Kraft\Special%20Projects\OATT\2001\2001%20OATT%20Rates%20TD%20OMadj.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jbailey/Local%20Settings/Temporary%20Internet%20Files/OLKA/JE%20130111%20August%202003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GSUPP/FERC/MISO/MISO%20OATT%20Tariff/OpCos%20Attmnt%20O%2010-25-2012%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SUPP\FERC\MISO\MISO%20OATT%20Tariff\OpCos%20Attmnt%20O%2010-25-2012%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lecRate\Info%20from%20Previous%20Cases\COS\W&amp;S%20Adj.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nguye3\AppData\Local\Microsoft\Windows\Temporary%20Internet%20Files\Content.Outlook\3N981USX\ELL%20Template%20FERC%20Att%20O%202016TY%20Rev%201%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09%20transmission%20rate%20case/Last%20File%20Schedules%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SUPP\FERC\FERC%20-%20OATT\RS1081%20Rate%20Filings\2013%20(2012%20TY)%20ER13-1623\Model%20&amp;%20Filing\Model%20RevReq%202013%20OATT%20-%20Final%20As%20Fil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20(D)/1-Projects/1-%20Projects-Pending/PacifiCorp/Post%20settlement%20Formula%20runs/Issued%20Copy%20of%202013_Projection__Variance_Analys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20(D)\1-Projects\1-%20Projects-Pending\PacifiCorp\Post%20settlement%20Formula%20runs\Issued%20Copy%20of%202013_Projection__Variance_Analys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GSUPP/FERC/FERC%20-%20OATT/RS1081%20Rate%20Filings/2013%20(2012%20TY)%20ER13-1623/Model%20&amp;%20Filing/Model%20RevReq%202013%20OATT%20-%20Final%20As%20Fil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
      <sheetName val="Variance"/>
      <sheetName val="MISO Cover"/>
      <sheetName val="Appendix A"/>
      <sheetName val="App A Support"/>
      <sheetName val="WP01 True-Up"/>
      <sheetName val="WP01 TU Support"/>
      <sheetName val="WP02 Support"/>
      <sheetName val="WP03 W&amp;S"/>
      <sheetName val="WP04 PIS"/>
      <sheetName val="WP04 Support"/>
      <sheetName val="WP05 CapAds"/>
      <sheetName val="WP06 ADIT"/>
      <sheetName val="WP06 ADIT Support"/>
      <sheetName val="WP07 M&amp;S"/>
      <sheetName val="WP08 Prepay"/>
      <sheetName val="WP09 PHFU"/>
      <sheetName val="WP10 Storm"/>
      <sheetName val="WP11 Credits"/>
      <sheetName val="WP12 PBOP"/>
      <sheetName val="WP13 TOTI"/>
      <sheetName val="WP14 COC"/>
      <sheetName val="WP14 Support"/>
      <sheetName val="WP15 Radials"/>
      <sheetName val="WP16 Interconn"/>
      <sheetName val="WP17 Rev"/>
      <sheetName val="WP17 Rev Support"/>
      <sheetName val="WP18 Deprec"/>
      <sheetName val="WP19 Load"/>
      <sheetName val="WP20 Reserves"/>
      <sheetName val="WP21 Pension"/>
      <sheetName val="WP22 IT Adj"/>
      <sheetName val="WP AJ1 MISO"/>
      <sheetName val="WP AJ2 ITC"/>
      <sheetName val="WP AJ3 HCM"/>
      <sheetName val="WP AJ4 LA Merger"/>
      <sheetName val="WP AJ5 Acadia PB2"/>
      <sheetName val="WP AJ6 GPRD"/>
    </sheetNames>
    <sheetDataSet>
      <sheetData sheetId="0" refreshError="1"/>
      <sheetData sheetId="1" refreshError="1"/>
      <sheetData sheetId="2">
        <row r="4">
          <cell r="K4" t="str">
            <v>For  the 12 Months Ended 12/31/2016</v>
          </cell>
        </row>
        <row r="193">
          <cell r="I193">
            <v>0.87949694543557011</v>
          </cell>
        </row>
        <row r="201">
          <cell r="I201">
            <v>0.13180056900017056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75">
          <cell r="P75">
            <v>0.17199999999999999</v>
          </cell>
        </row>
        <row r="91">
          <cell r="P91">
            <v>8.9499999999999996E-2</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A21" sqref="A21"/>
    </sheetView>
  </sheetViews>
  <sheetFormatPr defaultColWidth="8.88671875" defaultRowHeight="13.2"/>
  <cols>
    <col min="1" max="1" width="18.33203125" style="1782" bestFit="1" customWidth="1"/>
    <col min="2" max="2" width="76.109375" style="1782" customWidth="1"/>
    <col min="3" max="3" width="2.44140625" style="1782" customWidth="1"/>
    <col min="4" max="16384" width="8.88671875" style="672"/>
  </cols>
  <sheetData>
    <row r="1" spans="1:7">
      <c r="A1" s="1905" t="str">
        <f>+'MISO Cover'!C6</f>
        <v>Entergy Louisiana, LLC</v>
      </c>
      <c r="B1" s="1905"/>
      <c r="C1" s="1819"/>
    </row>
    <row r="2" spans="1:7">
      <c r="A2" s="1905" t="s">
        <v>2045</v>
      </c>
      <c r="B2" s="1905"/>
      <c r="C2" s="1819"/>
    </row>
    <row r="3" spans="1:7">
      <c r="A3" s="1905" t="s">
        <v>2046</v>
      </c>
      <c r="B3" s="1905"/>
      <c r="C3" s="1819"/>
    </row>
    <row r="4" spans="1:7" ht="13.2" customHeight="1">
      <c r="A4" s="1905" t="str">
        <f>+'MISO Cover'!K4</f>
        <v>For  the 12 Months Ended 12/31/2016</v>
      </c>
      <c r="B4" s="1905"/>
      <c r="C4" s="1819"/>
    </row>
    <row r="7" spans="1:7">
      <c r="A7" s="1784" t="s">
        <v>139</v>
      </c>
      <c r="B7" s="1784" t="s">
        <v>112</v>
      </c>
      <c r="C7" s="1785"/>
    </row>
    <row r="9" spans="1:7">
      <c r="A9" s="1782" t="s">
        <v>2130</v>
      </c>
      <c r="B9" s="726" t="s">
        <v>2131</v>
      </c>
    </row>
    <row r="11" spans="1:7" ht="26.4">
      <c r="A11" s="1782" t="s">
        <v>2047</v>
      </c>
      <c r="B11" s="726" t="s">
        <v>2088</v>
      </c>
    </row>
    <row r="13" spans="1:7" ht="39.6">
      <c r="A13" s="1782" t="s">
        <v>2047</v>
      </c>
      <c r="B13" s="726" t="s">
        <v>2048</v>
      </c>
      <c r="D13" s="1534"/>
      <c r="E13" s="1786"/>
      <c r="F13" s="1534"/>
      <c r="G13" s="1534"/>
    </row>
    <row r="14" spans="1:7" ht="15">
      <c r="D14" s="1534"/>
      <c r="E14" s="1786"/>
      <c r="F14" s="1534"/>
      <c r="G14" s="1534"/>
    </row>
    <row r="15" spans="1:7" ht="26.4">
      <c r="A15" s="1782" t="s">
        <v>2076</v>
      </c>
      <c r="B15" s="726" t="s">
        <v>2089</v>
      </c>
      <c r="D15" s="1534"/>
      <c r="E15" s="1786"/>
      <c r="F15" s="1534"/>
      <c r="G15" s="1534"/>
    </row>
    <row r="16" spans="1:7" ht="15">
      <c r="B16" s="726" t="s">
        <v>2090</v>
      </c>
      <c r="D16" s="1534"/>
      <c r="E16" s="1786"/>
      <c r="F16" s="1534"/>
      <c r="G16" s="1534"/>
    </row>
    <row r="17" spans="1:7" ht="15">
      <c r="B17" s="726"/>
      <c r="D17" s="1534"/>
      <c r="E17" s="1786"/>
      <c r="F17" s="1534"/>
      <c r="G17" s="1534"/>
    </row>
    <row r="18" spans="1:7" ht="26.4">
      <c r="A18" s="1782" t="s">
        <v>2093</v>
      </c>
      <c r="B18" s="726" t="s">
        <v>2094</v>
      </c>
      <c r="D18" s="1534"/>
      <c r="E18" s="1786"/>
      <c r="F18" s="1534"/>
      <c r="G18" s="1534"/>
    </row>
    <row r="19" spans="1:7" ht="15">
      <c r="B19" s="726"/>
      <c r="D19" s="1534"/>
      <c r="E19" s="1786"/>
      <c r="F19" s="1534"/>
      <c r="G19" s="1534"/>
    </row>
    <row r="20" spans="1:7" ht="26.4">
      <c r="A20" s="1782" t="s">
        <v>2049</v>
      </c>
      <c r="B20" s="1782" t="s">
        <v>2092</v>
      </c>
      <c r="D20" s="1787"/>
      <c r="E20" s="1786"/>
      <c r="F20" s="1534"/>
      <c r="G20" s="1534"/>
    </row>
    <row r="21" spans="1:7" ht="79.2">
      <c r="A21" s="1782" t="s">
        <v>2049</v>
      </c>
      <c r="B21" s="1782" t="s">
        <v>2091</v>
      </c>
      <c r="D21" s="1787"/>
      <c r="E21" s="1786"/>
      <c r="F21" s="1534"/>
      <c r="G21" s="1534"/>
    </row>
    <row r="22" spans="1:7" ht="15">
      <c r="D22" s="1787"/>
      <c r="E22" s="1786"/>
      <c r="F22" s="1534"/>
      <c r="G22" s="1534"/>
    </row>
    <row r="23" spans="1:7" ht="15">
      <c r="A23" s="1782" t="s">
        <v>2095</v>
      </c>
      <c r="B23" s="1782" t="s">
        <v>2096</v>
      </c>
      <c r="D23" s="1787"/>
      <c r="E23" s="1786"/>
      <c r="F23" s="1534"/>
      <c r="G23" s="1534"/>
    </row>
    <row r="24" spans="1:7" ht="15">
      <c r="D24" s="1787"/>
      <c r="E24" s="1786"/>
      <c r="F24" s="1534"/>
      <c r="G24" s="1534"/>
    </row>
    <row r="25" spans="1:7">
      <c r="A25" s="1782" t="s">
        <v>2050</v>
      </c>
      <c r="B25" s="1782" t="s">
        <v>2051</v>
      </c>
    </row>
    <row r="27" spans="1:7" ht="26.4">
      <c r="A27" s="1782" t="s">
        <v>2052</v>
      </c>
      <c r="B27" s="1782" t="s">
        <v>2053</v>
      </c>
      <c r="D27" s="1787"/>
      <c r="E27" s="1786"/>
      <c r="F27" s="1534"/>
      <c r="G27" s="1534"/>
    </row>
    <row r="28" spans="1:7" ht="15">
      <c r="D28" s="1787"/>
      <c r="E28" s="1786"/>
      <c r="F28" s="1534"/>
      <c r="G28" s="1534"/>
    </row>
    <row r="29" spans="1:7">
      <c r="A29" s="1782" t="s">
        <v>2054</v>
      </c>
      <c r="B29" s="1782" t="s">
        <v>2055</v>
      </c>
    </row>
    <row r="31" spans="1:7" ht="26.4">
      <c r="A31" s="1782" t="s">
        <v>2060</v>
      </c>
      <c r="B31" s="1782" t="s">
        <v>2061</v>
      </c>
      <c r="D31" s="1787"/>
      <c r="E31" s="1786"/>
      <c r="F31" s="1534"/>
      <c r="G31" s="1534"/>
    </row>
    <row r="32" spans="1:7" ht="15">
      <c r="D32" s="1787"/>
      <c r="E32" s="1786"/>
      <c r="F32" s="1534"/>
      <c r="G32" s="1534"/>
    </row>
    <row r="33" spans="1:7" ht="39.6">
      <c r="A33" s="1782" t="s">
        <v>2058</v>
      </c>
      <c r="B33" s="1782" t="s">
        <v>2059</v>
      </c>
      <c r="D33" s="1787"/>
      <c r="E33" s="1786"/>
      <c r="F33" s="1534"/>
      <c r="G33" s="1534"/>
    </row>
    <row r="34" spans="1:7">
      <c r="D34" s="1534"/>
      <c r="E34" s="1534"/>
      <c r="F34" s="1534"/>
      <c r="G34" s="1534"/>
    </row>
    <row r="35" spans="1:7" ht="52.8">
      <c r="A35" s="1782" t="s">
        <v>2056</v>
      </c>
      <c r="B35" s="1782" t="s">
        <v>2057</v>
      </c>
    </row>
    <row r="37" spans="1:7" ht="26.4">
      <c r="A37" s="1782" t="s">
        <v>2100</v>
      </c>
      <c r="B37" s="1782" t="s">
        <v>2101</v>
      </c>
    </row>
  </sheetData>
  <mergeCells count="4">
    <mergeCell ref="A1:B1"/>
    <mergeCell ref="A2:B2"/>
    <mergeCell ref="A3:B3"/>
    <mergeCell ref="A4:B4"/>
  </mergeCells>
  <pageMargins left="0.5" right="0.5" top="0.75" bottom="0.75" header="0.3" footer="0.5"/>
  <pageSetup scale="95"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A21" sqref="A21"/>
    </sheetView>
  </sheetViews>
  <sheetFormatPr defaultRowHeight="13.2"/>
  <cols>
    <col min="1" max="1" width="3.33203125" style="193" bestFit="1" customWidth="1"/>
    <col min="2" max="2" width="13.33203125" customWidth="1"/>
    <col min="3" max="3" width="14.109375" bestFit="1" customWidth="1"/>
    <col min="4" max="4" width="12.6640625" bestFit="1" customWidth="1"/>
    <col min="5" max="5" width="13.33203125" bestFit="1" customWidth="1"/>
    <col min="6" max="6" width="12.44140625" bestFit="1" customWidth="1"/>
    <col min="7" max="7" width="11.6640625" bestFit="1" customWidth="1"/>
    <col min="8" max="8" width="11" bestFit="1" customWidth="1"/>
    <col min="9" max="9" width="11.109375" customWidth="1"/>
    <col min="10" max="10" width="12.109375" bestFit="1" customWidth="1"/>
    <col min="11" max="11" width="14.109375" bestFit="1" customWidth="1"/>
    <col min="12" max="12" width="12.6640625" bestFit="1" customWidth="1"/>
    <col min="13" max="13" width="12.6640625" customWidth="1"/>
  </cols>
  <sheetData>
    <row r="1" spans="1:17" s="515" customFormat="1">
      <c r="A1" s="1964" t="str">
        <f>+'MISO Cover'!C6</f>
        <v>Entergy Louisiana, LLC</v>
      </c>
      <c r="B1" s="1964"/>
      <c r="C1" s="1964"/>
      <c r="D1" s="1964"/>
      <c r="E1" s="1964"/>
      <c r="F1" s="1964"/>
      <c r="G1" s="1964"/>
      <c r="H1" s="1964"/>
      <c r="I1" s="1964"/>
      <c r="J1" s="1964"/>
      <c r="K1" s="1964"/>
      <c r="L1" s="1964"/>
      <c r="M1" s="1827"/>
    </row>
    <row r="2" spans="1:17" s="515" customFormat="1">
      <c r="A2" s="1980" t="s">
        <v>2030</v>
      </c>
      <c r="B2" s="1980"/>
      <c r="C2" s="1980"/>
      <c r="D2" s="1980"/>
      <c r="E2" s="1980"/>
      <c r="F2" s="1980"/>
      <c r="G2" s="1980"/>
      <c r="H2" s="1980"/>
      <c r="I2" s="1980"/>
      <c r="J2" s="1980"/>
      <c r="K2" s="1980"/>
      <c r="L2" s="1980"/>
      <c r="M2" s="1829"/>
      <c r="N2" s="520" t="s">
        <v>2026</v>
      </c>
    </row>
    <row r="3" spans="1:17" s="515" customFormat="1">
      <c r="A3" s="1977" t="str">
        <f>+'MISO Cover'!K4</f>
        <v>For  the 12 Months Ended 12/31/2016</v>
      </c>
      <c r="B3" s="1977"/>
      <c r="C3" s="1977"/>
      <c r="D3" s="1977"/>
      <c r="E3" s="1977"/>
      <c r="F3" s="1977"/>
      <c r="G3" s="1977"/>
      <c r="H3" s="1977"/>
      <c r="I3" s="1977"/>
      <c r="J3" s="1977"/>
      <c r="K3" s="1977"/>
      <c r="L3" s="1977"/>
      <c r="M3" s="1828"/>
    </row>
    <row r="4" spans="1:17" s="1822" customFormat="1">
      <c r="A4" s="1818"/>
      <c r="B4" s="1821"/>
      <c r="C4" s="1821"/>
      <c r="D4" s="1821"/>
      <c r="E4" s="1821"/>
      <c r="F4" s="1821"/>
      <c r="G4" s="1821"/>
      <c r="H4" s="1821"/>
      <c r="I4" s="1821"/>
      <c r="J4" s="1821"/>
      <c r="K4" s="1828" t="s">
        <v>2087</v>
      </c>
      <c r="L4" s="1831" t="s">
        <v>2082</v>
      </c>
      <c r="M4" s="1831"/>
    </row>
    <row r="5" spans="1:17" s="1822" customFormat="1">
      <c r="A5" s="1818" t="s">
        <v>67</v>
      </c>
      <c r="B5" s="1821" t="s">
        <v>114</v>
      </c>
      <c r="C5" s="1821" t="s">
        <v>55</v>
      </c>
      <c r="D5" s="1821" t="s">
        <v>68</v>
      </c>
      <c r="E5" s="1821" t="s">
        <v>66</v>
      </c>
      <c r="F5" s="1821" t="s">
        <v>154</v>
      </c>
      <c r="G5" s="1821" t="s">
        <v>69</v>
      </c>
      <c r="H5" s="1821" t="s">
        <v>166</v>
      </c>
      <c r="I5" s="1821" t="s">
        <v>59</v>
      </c>
      <c r="J5" s="1821" t="s">
        <v>60</v>
      </c>
      <c r="K5" s="1821" t="s">
        <v>71</v>
      </c>
      <c r="L5" s="1829" t="s">
        <v>98</v>
      </c>
      <c r="M5" s="1829"/>
    </row>
    <row r="6" spans="1:17" s="1825" customFormat="1" ht="43.2">
      <c r="A6" s="1823" t="s">
        <v>279</v>
      </c>
      <c r="B6" s="1824" t="s">
        <v>1822</v>
      </c>
      <c r="C6" s="1824" t="s">
        <v>2019</v>
      </c>
      <c r="D6" s="1824" t="s">
        <v>2020</v>
      </c>
      <c r="E6" s="1824" t="s">
        <v>2021</v>
      </c>
      <c r="F6" s="1824" t="s">
        <v>2022</v>
      </c>
      <c r="G6" s="1824" t="s">
        <v>2023</v>
      </c>
      <c r="H6" s="1824" t="s">
        <v>2031</v>
      </c>
      <c r="I6" s="1824" t="s">
        <v>2024</v>
      </c>
      <c r="J6" s="1824" t="s">
        <v>2025</v>
      </c>
      <c r="K6" s="1834" t="s">
        <v>2027</v>
      </c>
      <c r="L6" s="1834" t="s">
        <v>2020</v>
      </c>
      <c r="M6" s="1834"/>
      <c r="N6" s="1567" t="s">
        <v>2099</v>
      </c>
      <c r="O6" s="1822"/>
      <c r="P6" s="1822"/>
      <c r="Q6" s="1822"/>
    </row>
    <row r="7" spans="1:17">
      <c r="A7" s="193">
        <v>1</v>
      </c>
      <c r="B7" s="1774" t="s">
        <v>169</v>
      </c>
      <c r="C7" s="1775">
        <f>'WP04 PIS'!K28</f>
        <v>-52278591</v>
      </c>
      <c r="D7" s="1775">
        <f>'WP18 Deprec'!E23</f>
        <v>15990721.57</v>
      </c>
      <c r="E7" s="1775">
        <v>-9364616.2100000009</v>
      </c>
      <c r="F7" s="1775">
        <f>'WP AJ6 GPRD'!C8</f>
        <v>132845637</v>
      </c>
      <c r="G7" s="1775">
        <v>0</v>
      </c>
      <c r="H7" s="1775">
        <v>0</v>
      </c>
      <c r="I7" s="1775">
        <v>0</v>
      </c>
      <c r="J7" s="1775">
        <f t="shared" ref="J7:J9" si="0">(SUM(C7:I7)-K7)*-1</f>
        <v>-45530.359999984503</v>
      </c>
      <c r="K7" s="1775">
        <f>'WP04 PIS'!K40</f>
        <v>87147621.000000015</v>
      </c>
      <c r="L7" s="1775">
        <f>+D7+G7+H7+I7</f>
        <v>15990721.57</v>
      </c>
      <c r="M7" s="1775"/>
      <c r="N7" s="1838">
        <f>SUM(C7:J7)-K7</f>
        <v>0</v>
      </c>
    </row>
    <row r="8" spans="1:17" s="1774" customFormat="1">
      <c r="A8" s="1141">
        <v>2</v>
      </c>
      <c r="B8" s="1774" t="s">
        <v>413</v>
      </c>
      <c r="C8" s="1775">
        <f>'WP04 PIS'!C28</f>
        <v>428582074</v>
      </c>
      <c r="D8" s="1775">
        <f>'WP18 Deprec'!E35</f>
        <v>24805727.41</v>
      </c>
      <c r="E8" s="1775">
        <v>0</v>
      </c>
      <c r="F8" s="1775">
        <v>0</v>
      </c>
      <c r="G8" s="1775">
        <v>0</v>
      </c>
      <c r="H8" s="1775">
        <v>0</v>
      </c>
      <c r="I8" s="1775">
        <v>0</v>
      </c>
      <c r="J8" s="1775">
        <f t="shared" si="0"/>
        <v>-4617289.4100000262</v>
      </c>
      <c r="K8" s="1775">
        <f>'WP04 PIS'!C40</f>
        <v>448770512</v>
      </c>
      <c r="L8" s="1775">
        <f t="shared" ref="L8:L11" si="1">+D8+G8+H8+I8</f>
        <v>24805727.41</v>
      </c>
      <c r="M8" s="1775"/>
      <c r="N8" s="1838">
        <f t="shared" ref="N8:N9" si="2">SUM(C8:J8)-K8</f>
        <v>0</v>
      </c>
    </row>
    <row r="9" spans="1:17">
      <c r="A9" s="193">
        <v>3</v>
      </c>
      <c r="B9" s="1774" t="s">
        <v>602</v>
      </c>
      <c r="C9" s="1775">
        <f>'WP04 PIS'!G28</f>
        <v>1016320221</v>
      </c>
      <c r="D9" s="1775">
        <f>'WP18 Deprec'!E51</f>
        <v>48195412.100000001</v>
      </c>
      <c r="E9" s="1775">
        <v>-4761649.2899999991</v>
      </c>
      <c r="F9" s="1775">
        <v>0</v>
      </c>
      <c r="G9" s="1775">
        <v>0</v>
      </c>
      <c r="H9" s="1775">
        <v>0</v>
      </c>
      <c r="I9" s="1775">
        <v>0</v>
      </c>
      <c r="J9" s="1775">
        <f t="shared" si="0"/>
        <v>-14227178.810000062</v>
      </c>
      <c r="K9" s="1775">
        <f>'WP04 PIS'!G40</f>
        <v>1045526805</v>
      </c>
      <c r="L9" s="1775">
        <f t="shared" si="1"/>
        <v>48195412.100000001</v>
      </c>
      <c r="M9" s="1775"/>
      <c r="N9" s="1838">
        <f t="shared" si="2"/>
        <v>0</v>
      </c>
    </row>
    <row r="10" spans="1:17" s="672" customFormat="1" ht="26.4">
      <c r="A10" s="1806">
        <f t="shared" ref="A10:A12" si="3">+A9+1</f>
        <v>4</v>
      </c>
      <c r="B10" s="1815" t="s">
        <v>2081</v>
      </c>
      <c r="C10" s="1807">
        <f>'WP04 PIS'!D28</f>
        <v>5486690990</v>
      </c>
      <c r="D10" s="1881" t="s">
        <v>2097</v>
      </c>
      <c r="E10" s="1807">
        <v>-343272883</v>
      </c>
      <c r="F10" s="1832">
        <v>0</v>
      </c>
      <c r="G10" s="1832">
        <v>0</v>
      </c>
      <c r="H10" s="1832">
        <v>0</v>
      </c>
      <c r="I10" s="1832">
        <v>0</v>
      </c>
      <c r="J10" s="1881" t="str">
        <f>D10</f>
        <v>Not Available</v>
      </c>
      <c r="K10" s="1807">
        <f>'WP04 PIS'!D40</f>
        <v>5660527883</v>
      </c>
      <c r="L10" s="1882" t="str">
        <f>J10</f>
        <v>Not Available</v>
      </c>
      <c r="M10" s="1832"/>
      <c r="N10" s="1534" t="s">
        <v>2098</v>
      </c>
    </row>
    <row r="11" spans="1:17" s="672" customFormat="1">
      <c r="A11" s="1806">
        <f t="shared" si="3"/>
        <v>5</v>
      </c>
      <c r="B11" s="1534" t="s">
        <v>20</v>
      </c>
      <c r="C11" s="1808">
        <f>'WP04 PIS'!J28</f>
        <v>1336036954</v>
      </c>
      <c r="D11" s="1808">
        <v>121495824.42999974</v>
      </c>
      <c r="E11" s="1808">
        <v>-113903488.40000001</v>
      </c>
      <c r="F11" s="1808">
        <v>0</v>
      </c>
      <c r="G11" s="1808">
        <v>0</v>
      </c>
      <c r="H11" s="1808">
        <v>0</v>
      </c>
      <c r="I11" s="1808">
        <v>0</v>
      </c>
      <c r="J11" s="1808">
        <v>-17977514.029999733</v>
      </c>
      <c r="K11" s="1808">
        <v>1325651776</v>
      </c>
      <c r="L11" s="1833">
        <f t="shared" si="1"/>
        <v>121495824.42999974</v>
      </c>
      <c r="M11" s="1839"/>
      <c r="N11" s="1838">
        <f>SUM(C11:J11)-K11</f>
        <v>0</v>
      </c>
    </row>
    <row r="12" spans="1:17" s="672" customFormat="1">
      <c r="A12" s="1806">
        <f t="shared" si="3"/>
        <v>6</v>
      </c>
      <c r="B12" s="1534" t="s">
        <v>113</v>
      </c>
      <c r="C12" s="1809">
        <f>SUM(C7:C11)</f>
        <v>8215351648</v>
      </c>
      <c r="D12" s="1809">
        <f t="shared" ref="D12:K12" si="4">SUM(D7:D11)</f>
        <v>210487685.50999975</v>
      </c>
      <c r="E12" s="1809">
        <f t="shared" si="4"/>
        <v>-471302636.89999998</v>
      </c>
      <c r="F12" s="1809">
        <f t="shared" si="4"/>
        <v>132845637</v>
      </c>
      <c r="G12" s="1809">
        <f t="shared" si="4"/>
        <v>0</v>
      </c>
      <c r="H12" s="1809">
        <f t="shared" si="4"/>
        <v>0</v>
      </c>
      <c r="I12" s="1809">
        <f t="shared" si="4"/>
        <v>0</v>
      </c>
      <c r="J12" s="1809">
        <f t="shared" si="4"/>
        <v>-36867512.609999806</v>
      </c>
      <c r="K12" s="1809">
        <f t="shared" si="4"/>
        <v>8567624597</v>
      </c>
      <c r="L12" s="1809">
        <f t="shared" ref="L12" si="5">SUM(L7:L11)</f>
        <v>210487685.50999975</v>
      </c>
      <c r="M12" s="1809"/>
    </row>
    <row r="13" spans="1:17" s="672" customFormat="1">
      <c r="A13" s="1806"/>
      <c r="B13" s="1534"/>
      <c r="C13" s="1807"/>
      <c r="D13" s="1807"/>
      <c r="E13" s="1807"/>
      <c r="F13" s="1807"/>
      <c r="G13" s="1807"/>
      <c r="H13" s="1807"/>
      <c r="I13" s="1807"/>
      <c r="J13" s="1807"/>
      <c r="K13" s="1807"/>
      <c r="L13" s="1534"/>
      <c r="M13" s="1534"/>
    </row>
    <row r="14" spans="1:17" s="672" customFormat="1">
      <c r="A14" s="1799"/>
      <c r="C14" s="1810" t="s">
        <v>167</v>
      </c>
      <c r="E14" s="1143" t="s">
        <v>319</v>
      </c>
      <c r="F14" s="1143" t="s">
        <v>320</v>
      </c>
      <c r="G14" s="1143" t="s">
        <v>321</v>
      </c>
      <c r="H14" s="1143" t="s">
        <v>322</v>
      </c>
      <c r="I14" s="1143" t="s">
        <v>717</v>
      </c>
      <c r="J14" s="1143" t="s">
        <v>719</v>
      </c>
      <c r="K14" s="1143" t="s">
        <v>1092</v>
      </c>
      <c r="L14" s="1143" t="s">
        <v>1885</v>
      </c>
      <c r="M14" s="1143"/>
    </row>
    <row r="15" spans="1:17" s="672" customFormat="1">
      <c r="A15" s="1799"/>
      <c r="E15" s="1534"/>
      <c r="F15" s="1534"/>
      <c r="G15" s="1534"/>
      <c r="H15" s="1534"/>
      <c r="I15" s="1534"/>
      <c r="J15" s="1534"/>
      <c r="K15" s="1534"/>
      <c r="L15" s="1534"/>
      <c r="M15" s="1534"/>
    </row>
    <row r="16" spans="1:17" s="672" customFormat="1">
      <c r="A16" s="1817" t="s">
        <v>298</v>
      </c>
    </row>
    <row r="17" spans="1:13" s="672" customFormat="1">
      <c r="A17" s="1810" t="s">
        <v>167</v>
      </c>
      <c r="B17" s="1982" t="s">
        <v>2028</v>
      </c>
      <c r="C17" s="1982"/>
      <c r="D17" s="1982"/>
      <c r="E17" s="1982"/>
      <c r="F17" s="1982"/>
      <c r="G17" s="1982"/>
      <c r="H17" s="1982"/>
      <c r="I17" s="1982"/>
      <c r="J17" s="1982"/>
      <c r="K17" s="1982"/>
      <c r="L17" s="1982"/>
      <c r="M17" s="1830"/>
    </row>
    <row r="18" spans="1:13" s="672" customFormat="1">
      <c r="A18" s="1143" t="s">
        <v>319</v>
      </c>
      <c r="B18" s="1979" t="s">
        <v>2083</v>
      </c>
      <c r="C18" s="1979"/>
      <c r="D18" s="1979"/>
      <c r="E18" s="1979"/>
      <c r="F18" s="1979"/>
      <c r="G18" s="1979"/>
      <c r="H18" s="1979"/>
      <c r="I18" s="1979"/>
      <c r="J18" s="1979"/>
      <c r="K18" s="1979"/>
      <c r="L18" s="1979"/>
      <c r="M18" s="1840"/>
    </row>
    <row r="19" spans="1:13" s="672" customFormat="1">
      <c r="A19" s="1143" t="s">
        <v>320</v>
      </c>
      <c r="B19" s="1979" t="s">
        <v>2084</v>
      </c>
      <c r="C19" s="1979"/>
      <c r="D19" s="1979"/>
      <c r="E19" s="1979"/>
      <c r="F19" s="1979"/>
      <c r="G19" s="1979"/>
      <c r="H19" s="1979"/>
      <c r="I19" s="1979"/>
      <c r="J19" s="1979"/>
      <c r="K19" s="1979"/>
      <c r="L19" s="1979"/>
      <c r="M19" s="1840"/>
    </row>
    <row r="20" spans="1:13" s="672" customFormat="1" ht="26.4" customHeight="1">
      <c r="A20" s="1143" t="s">
        <v>321</v>
      </c>
      <c r="B20" s="1981" t="s">
        <v>2071</v>
      </c>
      <c r="C20" s="1981"/>
      <c r="D20" s="1981"/>
      <c r="E20" s="1981"/>
      <c r="F20" s="1981"/>
      <c r="G20" s="1981"/>
      <c r="H20" s="1981"/>
      <c r="I20" s="1981"/>
      <c r="J20" s="1981"/>
      <c r="K20" s="1981"/>
      <c r="L20" s="1981"/>
      <c r="M20" s="1841"/>
    </row>
    <row r="21" spans="1:13" s="672" customFormat="1">
      <c r="A21" s="1835" t="s">
        <v>322</v>
      </c>
      <c r="B21" s="1981" t="s">
        <v>2073</v>
      </c>
      <c r="C21" s="1981"/>
      <c r="D21" s="1981"/>
      <c r="E21" s="1981"/>
      <c r="F21" s="1981"/>
      <c r="G21" s="1981"/>
      <c r="H21" s="1981"/>
      <c r="I21" s="1981"/>
      <c r="J21" s="1981"/>
      <c r="K21" s="1981"/>
      <c r="L21" s="1981"/>
      <c r="M21" s="1841"/>
    </row>
    <row r="22" spans="1:13" s="672" customFormat="1" ht="13.2" customHeight="1">
      <c r="A22" s="1143" t="s">
        <v>717</v>
      </c>
      <c r="B22" s="1836" t="s">
        <v>2072</v>
      </c>
      <c r="C22" s="1534"/>
      <c r="D22" s="1534"/>
      <c r="E22" s="1534"/>
      <c r="F22" s="1534"/>
      <c r="G22" s="1534"/>
      <c r="H22" s="1534"/>
      <c r="I22" s="1534"/>
      <c r="J22" s="1534"/>
      <c r="K22" s="1534"/>
      <c r="L22" s="1534"/>
      <c r="M22" s="1534"/>
    </row>
    <row r="23" spans="1:13" s="672" customFormat="1">
      <c r="A23" s="1143" t="s">
        <v>719</v>
      </c>
      <c r="B23" s="1979" t="s">
        <v>2085</v>
      </c>
      <c r="C23" s="1979"/>
      <c r="D23" s="1979"/>
      <c r="E23" s="1979"/>
      <c r="F23" s="1979"/>
      <c r="G23" s="1979"/>
      <c r="H23" s="1979"/>
      <c r="I23" s="1979"/>
      <c r="J23" s="1979"/>
      <c r="K23" s="1979"/>
      <c r="L23" s="1979"/>
      <c r="M23" s="1840"/>
    </row>
    <row r="24" spans="1:13" s="672" customFormat="1">
      <c r="A24" s="1143" t="s">
        <v>1092</v>
      </c>
      <c r="B24" s="1979" t="s">
        <v>2029</v>
      </c>
      <c r="C24" s="1979"/>
      <c r="D24" s="1979"/>
      <c r="E24" s="1979"/>
      <c r="F24" s="1979"/>
      <c r="G24" s="1979"/>
      <c r="H24" s="1979"/>
      <c r="I24" s="1979"/>
      <c r="J24" s="1979"/>
      <c r="K24" s="1979"/>
      <c r="L24" s="1979"/>
      <c r="M24" s="1840"/>
    </row>
    <row r="25" spans="1:13">
      <c r="A25" s="1837" t="s">
        <v>1885</v>
      </c>
      <c r="B25" s="1979" t="s">
        <v>2086</v>
      </c>
      <c r="C25" s="1979"/>
      <c r="D25" s="1979"/>
      <c r="E25" s="1979"/>
      <c r="F25" s="1979"/>
      <c r="G25" s="1979"/>
      <c r="H25" s="1979"/>
      <c r="I25" s="1979"/>
      <c r="J25" s="1979"/>
      <c r="K25" s="1979"/>
      <c r="L25" s="1979"/>
      <c r="M25" s="1840"/>
    </row>
    <row r="26" spans="1:13" s="672" customFormat="1">
      <c r="A26" s="1806"/>
      <c r="B26" s="1534"/>
      <c r="C26" s="1534"/>
      <c r="D26" s="1534"/>
      <c r="E26" s="1534"/>
      <c r="F26" s="1534"/>
      <c r="G26" s="1534"/>
      <c r="H26" s="1534"/>
      <c r="I26" s="1534"/>
      <c r="J26" s="1534"/>
      <c r="K26" s="1534"/>
      <c r="L26" s="1774"/>
      <c r="M26" s="1774"/>
    </row>
  </sheetData>
  <mergeCells count="11">
    <mergeCell ref="B25:L25"/>
    <mergeCell ref="A1:L1"/>
    <mergeCell ref="A2:L2"/>
    <mergeCell ref="A3:L3"/>
    <mergeCell ref="B19:L19"/>
    <mergeCell ref="B20:L20"/>
    <mergeCell ref="B21:L21"/>
    <mergeCell ref="B23:L23"/>
    <mergeCell ref="B24:L24"/>
    <mergeCell ref="B17:L17"/>
    <mergeCell ref="B18:L18"/>
  </mergeCells>
  <printOptions horizontalCentered="1"/>
  <pageMargins left="0.5" right="0.5" top="0.75" bottom="0.75" header="0.3" footer="0.5"/>
  <pageSetup scale="90" orientation="landscape" r:id="rId1"/>
  <headerFooter>
    <oddFooter>&amp;R&amp;A</oddFooter>
  </headerFooter>
  <ignoredErrors>
    <ignoredError sqref="L10" formula="1"/>
    <ignoredError sqref="C14:L14 A17:A2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E165"/>
  <sheetViews>
    <sheetView zoomScaleNormal="100" zoomScaleSheetLayoutView="80" workbookViewId="0">
      <selection activeCell="A21" sqref="A21"/>
    </sheetView>
  </sheetViews>
  <sheetFormatPr defaultColWidth="9.109375" defaultRowHeight="13.2"/>
  <cols>
    <col min="1" max="1" width="5.6640625" style="226" customWidth="1"/>
    <col min="2" max="2" width="9.88671875" style="226" customWidth="1"/>
    <col min="3" max="3" width="20.5546875" style="63" customWidth="1"/>
    <col min="4" max="4" width="20.109375" style="63" customWidth="1"/>
    <col min="5" max="5" width="13" style="63" bestFit="1" customWidth="1"/>
    <col min="6" max="16384" width="9.109375" style="63"/>
  </cols>
  <sheetData>
    <row r="1" spans="1:5" s="764" customFormat="1">
      <c r="A1" s="1983" t="str">
        <f>+'MISO Cover'!C6</f>
        <v>Entergy Louisiana, LLC</v>
      </c>
      <c r="B1" s="1983"/>
      <c r="C1" s="1983"/>
      <c r="D1" s="1983"/>
      <c r="E1" s="600"/>
    </row>
    <row r="2" spans="1:5">
      <c r="A2" s="1980" t="s">
        <v>671</v>
      </c>
      <c r="B2" s="1980"/>
      <c r="C2" s="1980"/>
      <c r="D2" s="1980"/>
    </row>
    <row r="3" spans="1:5" s="173" customFormat="1">
      <c r="A3" s="1984" t="str">
        <f>+'MISO Cover'!K4</f>
        <v>For  the 12 Months Ended 12/31/2016</v>
      </c>
      <c r="B3" s="1984"/>
      <c r="C3" s="1984"/>
      <c r="D3" s="1984"/>
      <c r="E3" s="209"/>
    </row>
    <row r="4" spans="1:5" s="173" customFormat="1">
      <c r="A4" s="752"/>
      <c r="B4" s="752"/>
      <c r="C4" s="752"/>
      <c r="D4" s="752"/>
      <c r="E4" s="209"/>
    </row>
    <row r="5" spans="1:5" ht="15" customHeight="1">
      <c r="A5" s="599"/>
      <c r="B5" s="599"/>
      <c r="C5" s="599"/>
      <c r="D5" s="599"/>
    </row>
    <row r="6" spans="1:5">
      <c r="A6" s="226" t="s">
        <v>279</v>
      </c>
      <c r="B6" s="226" t="s">
        <v>67</v>
      </c>
      <c r="C6" s="226" t="s">
        <v>114</v>
      </c>
      <c r="D6" s="228" t="s">
        <v>55</v>
      </c>
    </row>
    <row r="7" spans="1:5" ht="28.2" customHeight="1">
      <c r="A7" s="226">
        <v>1</v>
      </c>
      <c r="B7" s="63" t="s">
        <v>465</v>
      </c>
      <c r="C7" s="539" t="s">
        <v>845</v>
      </c>
      <c r="D7" s="226" t="s">
        <v>270</v>
      </c>
    </row>
    <row r="8" spans="1:5">
      <c r="A8" s="226">
        <f>+A7+1</f>
        <v>2</v>
      </c>
      <c r="B8" s="227"/>
      <c r="C8" s="195"/>
      <c r="D8" s="229"/>
    </row>
    <row r="9" spans="1:5">
      <c r="A9" s="226">
        <f t="shared" ref="A9:A22" si="0">+A8+1</f>
        <v>3</v>
      </c>
      <c r="B9" s="63" t="s">
        <v>27</v>
      </c>
      <c r="C9" s="701">
        <v>2557074.23215912</v>
      </c>
      <c r="D9" s="229">
        <f>+C9</f>
        <v>2557074.23215912</v>
      </c>
    </row>
    <row r="10" spans="1:5">
      <c r="A10" s="226">
        <f t="shared" si="0"/>
        <v>4</v>
      </c>
      <c r="B10" s="63" t="s">
        <v>28</v>
      </c>
      <c r="C10" s="701">
        <v>15427200.902874418</v>
      </c>
      <c r="D10" s="229">
        <f>+D9+C10</f>
        <v>17984275.135033537</v>
      </c>
    </row>
    <row r="11" spans="1:5">
      <c r="A11" s="226">
        <f t="shared" si="0"/>
        <v>5</v>
      </c>
      <c r="B11" s="63" t="s">
        <v>29</v>
      </c>
      <c r="C11" s="701">
        <v>10490135.520179529</v>
      </c>
      <c r="D11" s="229">
        <f t="shared" ref="D11:D20" si="1">+D10+C11</f>
        <v>28474410.655213065</v>
      </c>
    </row>
    <row r="12" spans="1:5">
      <c r="A12" s="226">
        <f t="shared" si="0"/>
        <v>6</v>
      </c>
      <c r="B12" s="63" t="s">
        <v>30</v>
      </c>
      <c r="C12" s="701">
        <v>7354039.4042991484</v>
      </c>
      <c r="D12" s="229">
        <f t="shared" si="1"/>
        <v>35828450.059512213</v>
      </c>
    </row>
    <row r="13" spans="1:5">
      <c r="A13" s="226">
        <f t="shared" si="0"/>
        <v>7</v>
      </c>
      <c r="B13" s="63" t="s">
        <v>26</v>
      </c>
      <c r="C13" s="701">
        <v>24062997.420481358</v>
      </c>
      <c r="D13" s="229">
        <f t="shared" si="1"/>
        <v>59891447.479993567</v>
      </c>
    </row>
    <row r="14" spans="1:5">
      <c r="A14" s="226">
        <f t="shared" si="0"/>
        <v>8</v>
      </c>
      <c r="B14" s="63" t="s">
        <v>31</v>
      </c>
      <c r="C14" s="701">
        <v>24022492.448987938</v>
      </c>
      <c r="D14" s="229">
        <f t="shared" si="1"/>
        <v>83913939.928981513</v>
      </c>
    </row>
    <row r="15" spans="1:5">
      <c r="A15" s="226">
        <f t="shared" si="0"/>
        <v>9</v>
      </c>
      <c r="B15" s="63" t="s">
        <v>32</v>
      </c>
      <c r="C15" s="701">
        <v>9931234.6135882065</v>
      </c>
      <c r="D15" s="229">
        <f t="shared" si="1"/>
        <v>93845174.542569727</v>
      </c>
    </row>
    <row r="16" spans="1:5">
      <c r="A16" s="226">
        <f t="shared" si="0"/>
        <v>10</v>
      </c>
      <c r="B16" s="63" t="s">
        <v>33</v>
      </c>
      <c r="C16" s="701">
        <v>5353008.418593836</v>
      </c>
      <c r="D16" s="229">
        <f t="shared" si="1"/>
        <v>99198182.961163566</v>
      </c>
    </row>
    <row r="17" spans="1:4">
      <c r="A17" s="226">
        <f t="shared" si="0"/>
        <v>11</v>
      </c>
      <c r="B17" s="63" t="s">
        <v>34</v>
      </c>
      <c r="C17" s="701">
        <v>33882332.319305003</v>
      </c>
      <c r="D17" s="229">
        <f t="shared" si="1"/>
        <v>133080515.28046857</v>
      </c>
    </row>
    <row r="18" spans="1:4">
      <c r="A18" s="226">
        <f t="shared" si="0"/>
        <v>12</v>
      </c>
      <c r="B18" s="63" t="s">
        <v>35</v>
      </c>
      <c r="C18" s="701">
        <v>5781028.2644045856</v>
      </c>
      <c r="D18" s="229">
        <f t="shared" si="1"/>
        <v>138861543.54487315</v>
      </c>
    </row>
    <row r="19" spans="1:4">
      <c r="A19" s="226">
        <f t="shared" si="0"/>
        <v>13</v>
      </c>
      <c r="B19" s="63" t="s">
        <v>36</v>
      </c>
      <c r="C19" s="701">
        <v>10028963.226498647</v>
      </c>
      <c r="D19" s="229">
        <f t="shared" si="1"/>
        <v>148890506.77137178</v>
      </c>
    </row>
    <row r="20" spans="1:4">
      <c r="A20" s="226">
        <f t="shared" si="0"/>
        <v>14</v>
      </c>
      <c r="B20" s="63" t="s">
        <v>37</v>
      </c>
      <c r="C20" s="1462">
        <v>85729368.967291251</v>
      </c>
      <c r="D20" s="851">
        <f t="shared" si="1"/>
        <v>234619875.73866302</v>
      </c>
    </row>
    <row r="21" spans="1:4">
      <c r="A21" s="226">
        <f t="shared" si="0"/>
        <v>15</v>
      </c>
      <c r="B21" s="63" t="s">
        <v>113</v>
      </c>
      <c r="C21" s="165">
        <f>SUM(C9:C20)</f>
        <v>234619875.73866302</v>
      </c>
    </row>
    <row r="22" spans="1:4">
      <c r="A22" s="226">
        <f t="shared" si="0"/>
        <v>16</v>
      </c>
      <c r="B22" s="63" t="s">
        <v>482</v>
      </c>
      <c r="C22" s="230"/>
      <c r="D22" s="229">
        <f>+SUM(D9:D20)/12</f>
        <v>89762116.36083357</v>
      </c>
    </row>
    <row r="23" spans="1:4" ht="13.5" customHeight="1">
      <c r="B23" s="63"/>
      <c r="C23" s="79"/>
      <c r="D23" s="227"/>
    </row>
    <row r="24" spans="1:4" s="261" customFormat="1">
      <c r="A24" s="164" t="s">
        <v>298</v>
      </c>
      <c r="C24" s="185"/>
    </row>
    <row r="25" spans="1:4" s="261" customFormat="1" ht="27.6" customHeight="1">
      <c r="A25" s="1968" t="s">
        <v>560</v>
      </c>
      <c r="B25" s="1968"/>
      <c r="C25" s="1968"/>
      <c r="D25" s="1968"/>
    </row>
    <row r="26" spans="1:4" s="261" customFormat="1" ht="40.950000000000003" customHeight="1">
      <c r="A26" s="1961" t="s">
        <v>841</v>
      </c>
      <c r="B26" s="1961"/>
      <c r="C26" s="1961"/>
      <c r="D26" s="1961"/>
    </row>
    <row r="27" spans="1:4" s="261" customFormat="1">
      <c r="A27" s="219"/>
      <c r="B27" s="219"/>
      <c r="D27" s="185"/>
    </row>
    <row r="28" spans="1:4" s="261" customFormat="1">
      <c r="A28" s="219"/>
      <c r="B28" s="219"/>
      <c r="D28" s="185"/>
    </row>
    <row r="29" spans="1:4" s="261" customFormat="1">
      <c r="A29" s="219"/>
      <c r="B29" s="219"/>
      <c r="D29" s="185"/>
    </row>
    <row r="30" spans="1:4" s="261" customFormat="1">
      <c r="A30" s="219"/>
      <c r="B30" s="219"/>
      <c r="D30" s="185"/>
    </row>
    <row r="31" spans="1:4" s="261" customFormat="1">
      <c r="A31" s="219"/>
      <c r="B31" s="219"/>
      <c r="D31" s="185"/>
    </row>
    <row r="32" spans="1:4" s="261" customFormat="1">
      <c r="A32" s="219"/>
      <c r="B32" s="219"/>
      <c r="D32" s="185"/>
    </row>
    <row r="33" spans="1:4" s="261" customFormat="1">
      <c r="A33" s="219"/>
      <c r="B33" s="219"/>
      <c r="D33" s="185"/>
    </row>
    <row r="34" spans="1:4" s="261" customFormat="1">
      <c r="A34" s="219"/>
      <c r="B34" s="219"/>
      <c r="D34" s="185"/>
    </row>
    <row r="35" spans="1:4" s="261" customFormat="1">
      <c r="A35" s="219"/>
      <c r="B35" s="219"/>
      <c r="D35" s="185"/>
    </row>
    <row r="36" spans="1:4" s="261" customFormat="1">
      <c r="A36" s="219"/>
      <c r="B36" s="219"/>
      <c r="D36" s="185"/>
    </row>
    <row r="37" spans="1:4" s="261" customFormat="1">
      <c r="A37" s="219"/>
      <c r="B37" s="219"/>
      <c r="D37" s="185"/>
    </row>
    <row r="38" spans="1:4" s="261" customFormat="1">
      <c r="A38" s="219"/>
      <c r="B38" s="219"/>
      <c r="D38" s="185"/>
    </row>
    <row r="39" spans="1:4" s="261" customFormat="1">
      <c r="A39" s="219"/>
      <c r="B39" s="219"/>
      <c r="D39" s="185"/>
    </row>
    <row r="40" spans="1:4" s="261" customFormat="1">
      <c r="A40" s="219"/>
      <c r="B40" s="219"/>
      <c r="D40" s="185"/>
    </row>
    <row r="41" spans="1:4" s="261" customFormat="1">
      <c r="A41" s="219"/>
      <c r="B41" s="219"/>
      <c r="D41" s="185"/>
    </row>
    <row r="42" spans="1:4" s="261" customFormat="1">
      <c r="A42" s="219"/>
      <c r="B42" s="219"/>
      <c r="D42" s="185"/>
    </row>
    <row r="43" spans="1:4" s="261" customFormat="1">
      <c r="A43" s="219"/>
      <c r="B43" s="219"/>
      <c r="D43" s="182"/>
    </row>
    <row r="44" spans="1:4" s="261" customFormat="1">
      <c r="A44" s="219"/>
      <c r="B44" s="219"/>
      <c r="D44" s="182"/>
    </row>
    <row r="45" spans="1:4" s="261" customFormat="1">
      <c r="A45" s="219"/>
      <c r="B45" s="219"/>
      <c r="D45" s="182"/>
    </row>
    <row r="46" spans="1:4" s="261" customFormat="1">
      <c r="A46" s="219"/>
      <c r="B46" s="219"/>
      <c r="D46" s="182"/>
    </row>
    <row r="47" spans="1:4" s="261" customFormat="1">
      <c r="A47" s="219"/>
      <c r="B47" s="219"/>
      <c r="D47" s="182"/>
    </row>
    <row r="48" spans="1:4" s="261" customFormat="1">
      <c r="A48" s="219"/>
      <c r="B48" s="219"/>
      <c r="D48" s="182"/>
    </row>
    <row r="49" spans="1:3" s="261" customFormat="1">
      <c r="A49" s="219"/>
      <c r="B49" s="219"/>
    </row>
    <row r="50" spans="1:3" s="261" customFormat="1">
      <c r="A50" s="219"/>
      <c r="B50" s="219"/>
    </row>
    <row r="51" spans="1:3" s="261" customFormat="1">
      <c r="A51" s="219"/>
      <c r="B51" s="219"/>
    </row>
    <row r="52" spans="1:3" s="261" customFormat="1">
      <c r="A52" s="219"/>
      <c r="B52" s="219"/>
      <c r="C52" s="219"/>
    </row>
    <row r="53" spans="1:3" s="261" customFormat="1">
      <c r="A53" s="219"/>
      <c r="B53" s="219"/>
    </row>
    <row r="54" spans="1:3" s="261" customFormat="1">
      <c r="A54" s="219"/>
      <c r="B54" s="219"/>
    </row>
    <row r="55" spans="1:3" s="261" customFormat="1">
      <c r="A55" s="219"/>
      <c r="B55" s="219"/>
    </row>
    <row r="56" spans="1:3" s="261" customFormat="1">
      <c r="A56" s="219"/>
      <c r="B56" s="219"/>
    </row>
    <row r="57" spans="1:3" s="261" customFormat="1">
      <c r="A57" s="219"/>
      <c r="B57" s="219"/>
    </row>
    <row r="58" spans="1:3" s="261" customFormat="1">
      <c r="A58" s="219"/>
      <c r="B58" s="219"/>
      <c r="C58" s="228"/>
    </row>
    <row r="59" spans="1:3" s="261" customFormat="1">
      <c r="A59" s="219"/>
      <c r="B59" s="219"/>
      <c r="C59" s="219"/>
    </row>
    <row r="60" spans="1:3" s="261" customFormat="1">
      <c r="A60" s="219"/>
      <c r="B60" s="219"/>
      <c r="C60" s="219"/>
    </row>
    <row r="61" spans="1:3" s="261" customFormat="1">
      <c r="A61" s="219"/>
      <c r="B61" s="219"/>
      <c r="C61" s="219"/>
    </row>
    <row r="62" spans="1:3" s="261" customFormat="1">
      <c r="A62" s="219"/>
      <c r="B62" s="219"/>
      <c r="C62" s="233"/>
    </row>
    <row r="63" spans="1:3" s="261" customFormat="1">
      <c r="A63" s="219"/>
      <c r="B63" s="219"/>
      <c r="C63" s="232"/>
    </row>
    <row r="64" spans="1:3" s="261" customFormat="1">
      <c r="A64" s="219"/>
      <c r="B64" s="219"/>
      <c r="C64" s="232"/>
    </row>
    <row r="65" spans="1:4" s="261" customFormat="1">
      <c r="A65" s="219"/>
      <c r="B65" s="219"/>
      <c r="C65" s="232"/>
    </row>
    <row r="66" spans="1:4" s="261" customFormat="1">
      <c r="A66" s="219"/>
      <c r="B66" s="219"/>
      <c r="C66" s="232"/>
    </row>
    <row r="67" spans="1:4" s="261" customFormat="1">
      <c r="A67" s="219"/>
      <c r="B67" s="219"/>
      <c r="C67" s="232"/>
    </row>
    <row r="68" spans="1:4" s="261" customFormat="1">
      <c r="A68" s="219"/>
      <c r="B68" s="219"/>
      <c r="C68" s="232"/>
    </row>
    <row r="69" spans="1:4" s="261" customFormat="1">
      <c r="A69" s="219"/>
      <c r="B69" s="219"/>
      <c r="C69" s="232"/>
    </row>
    <row r="70" spans="1:4" s="261" customFormat="1">
      <c r="A70" s="219"/>
      <c r="B70" s="219"/>
      <c r="C70" s="232"/>
    </row>
    <row r="71" spans="1:4" s="261" customFormat="1">
      <c r="A71" s="219"/>
      <c r="B71" s="219"/>
      <c r="C71" s="232"/>
    </row>
    <row r="72" spans="1:4" s="261" customFormat="1">
      <c r="A72" s="219"/>
      <c r="B72" s="219"/>
      <c r="C72" s="232"/>
    </row>
    <row r="73" spans="1:4" s="261" customFormat="1">
      <c r="A73" s="219"/>
      <c r="B73" s="219"/>
      <c r="C73" s="232"/>
    </row>
    <row r="74" spans="1:4" s="261" customFormat="1">
      <c r="A74" s="219"/>
      <c r="B74" s="219"/>
      <c r="C74" s="232"/>
    </row>
    <row r="75" spans="1:4" s="261" customFormat="1">
      <c r="A75" s="219"/>
      <c r="B75" s="219"/>
      <c r="C75" s="182"/>
      <c r="D75" s="182"/>
    </row>
    <row r="76" spans="1:4" s="261" customFormat="1">
      <c r="A76" s="219"/>
      <c r="B76" s="219"/>
    </row>
    <row r="77" spans="1:4" s="261" customFormat="1">
      <c r="B77" s="219"/>
    </row>
    <row r="78" spans="1:4" s="261" customFormat="1"/>
    <row r="79" spans="1:4" s="261" customFormat="1">
      <c r="A79" s="219"/>
      <c r="C79" s="219"/>
    </row>
    <row r="80" spans="1:4" s="261" customFormat="1">
      <c r="A80" s="219"/>
      <c r="B80" s="219"/>
      <c r="C80" s="219"/>
    </row>
    <row r="81" spans="1:31" s="261" customFormat="1">
      <c r="A81" s="219"/>
      <c r="B81" s="219"/>
      <c r="C81" s="219"/>
    </row>
    <row r="82" spans="1:31" s="261" customFormat="1">
      <c r="A82" s="219"/>
      <c r="B82" s="219"/>
      <c r="C82" s="219"/>
    </row>
    <row r="83" spans="1:31" s="261" customFormat="1">
      <c r="A83" s="219"/>
      <c r="B83" s="219"/>
    </row>
    <row r="84" spans="1:31" s="261" customFormat="1">
      <c r="A84" s="219"/>
      <c r="B84" s="195"/>
    </row>
    <row r="85" spans="1:31" s="261" customFormat="1">
      <c r="A85" s="219"/>
      <c r="B85" s="219"/>
      <c r="C85" s="231"/>
    </row>
    <row r="86" spans="1:31" s="261" customFormat="1">
      <c r="A86" s="219"/>
      <c r="B86" s="219"/>
    </row>
    <row r="87" spans="1:31" s="261" customFormat="1">
      <c r="A87" s="219"/>
      <c r="B87" s="219"/>
    </row>
    <row r="88" spans="1:31">
      <c r="A88" s="234"/>
      <c r="B88" s="219"/>
      <c r="C88" s="261"/>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row>
    <row r="89" spans="1:31">
      <c r="A89" s="234"/>
      <c r="B89" s="234"/>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row>
    <row r="90" spans="1:31">
      <c r="A90" s="234"/>
      <c r="B90" s="234"/>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row>
    <row r="91" spans="1:31">
      <c r="A91" s="234"/>
      <c r="B91" s="234"/>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row>
    <row r="92" spans="1:31">
      <c r="A92" s="234"/>
      <c r="B92" s="234"/>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row>
    <row r="93" spans="1:31">
      <c r="A93" s="234"/>
      <c r="B93" s="234"/>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row>
    <row r="94" spans="1:31">
      <c r="A94" s="234"/>
      <c r="B94" s="234"/>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row>
    <row r="95" spans="1:31">
      <c r="A95" s="234"/>
      <c r="B95" s="234"/>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row>
    <row r="96" spans="1:31">
      <c r="A96" s="234"/>
      <c r="B96" s="234"/>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row>
    <row r="97" spans="1:31">
      <c r="A97" s="234"/>
      <c r="B97" s="234"/>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79"/>
    </row>
    <row r="98" spans="1:31">
      <c r="A98" s="234"/>
      <c r="B98" s="234"/>
      <c r="C98" s="79"/>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row>
    <row r="99" spans="1:31">
      <c r="A99" s="234"/>
      <c r="B99" s="234"/>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row>
    <row r="100" spans="1:31">
      <c r="A100" s="234"/>
      <c r="B100" s="234"/>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row>
    <row r="101" spans="1:31">
      <c r="A101" s="234"/>
      <c r="B101" s="234"/>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row>
    <row r="102" spans="1:31">
      <c r="A102" s="234"/>
      <c r="B102" s="234"/>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row>
    <row r="103" spans="1:31">
      <c r="A103" s="234"/>
      <c r="B103" s="234"/>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row>
    <row r="104" spans="1:31">
      <c r="A104" s="234"/>
      <c r="B104" s="234"/>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row>
    <row r="105" spans="1:31">
      <c r="A105" s="234"/>
      <c r="B105" s="234"/>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row>
    <row r="106" spans="1:31">
      <c r="A106" s="234"/>
      <c r="B106" s="234"/>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row>
    <row r="107" spans="1:31">
      <c r="A107" s="234"/>
      <c r="B107" s="234"/>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row>
    <row r="108" spans="1:31">
      <c r="A108" s="234"/>
      <c r="B108" s="234"/>
      <c r="C108" s="79"/>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row>
    <row r="109" spans="1:31">
      <c r="A109" s="234"/>
      <c r="B109" s="234"/>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row>
    <row r="110" spans="1:31">
      <c r="A110" s="234"/>
      <c r="B110" s="234"/>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row>
    <row r="111" spans="1:31">
      <c r="A111" s="234"/>
      <c r="B111" s="234"/>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row>
    <row r="112" spans="1:31">
      <c r="A112" s="234"/>
      <c r="B112" s="234"/>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row>
    <row r="113" spans="1:31">
      <c r="A113" s="234"/>
      <c r="B113" s="234"/>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row>
    <row r="114" spans="1:31">
      <c r="A114" s="234"/>
      <c r="B114" s="234"/>
      <c r="C114" s="79"/>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row>
    <row r="115" spans="1:31">
      <c r="A115" s="234"/>
      <c r="B115" s="234"/>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row>
    <row r="116" spans="1:31">
      <c r="A116" s="234"/>
      <c r="B116" s="234"/>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row>
    <row r="117" spans="1:31">
      <c r="A117" s="234"/>
      <c r="B117" s="234"/>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row>
    <row r="118" spans="1:31">
      <c r="A118" s="234"/>
      <c r="B118" s="234"/>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row>
    <row r="119" spans="1:31">
      <c r="A119" s="234"/>
      <c r="B119" s="234"/>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row>
    <row r="120" spans="1:31">
      <c r="A120" s="234"/>
      <c r="B120" s="234"/>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row>
    <row r="121" spans="1:31">
      <c r="A121" s="234"/>
      <c r="B121" s="234"/>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row>
    <row r="122" spans="1:31">
      <c r="A122" s="234"/>
      <c r="B122" s="234"/>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row>
    <row r="123" spans="1:31">
      <c r="A123" s="234"/>
      <c r="B123" s="234"/>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row>
    <row r="124" spans="1:31">
      <c r="A124" s="234"/>
      <c r="B124" s="234"/>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row>
    <row r="125" spans="1:31">
      <c r="A125" s="234"/>
      <c r="B125" s="234"/>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row>
    <row r="126" spans="1:31">
      <c r="A126" s="234"/>
      <c r="B126" s="234"/>
      <c r="C126" s="79"/>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row>
    <row r="127" spans="1:31">
      <c r="A127" s="234"/>
      <c r="B127" s="234"/>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row>
    <row r="128" spans="1:31">
      <c r="A128" s="234"/>
      <c r="B128" s="234"/>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row>
    <row r="129" spans="1:31">
      <c r="A129" s="234"/>
      <c r="B129" s="234"/>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row>
    <row r="130" spans="1:31">
      <c r="A130" s="234"/>
      <c r="B130" s="234"/>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row>
    <row r="131" spans="1:31">
      <c r="A131" s="234"/>
      <c r="B131" s="234"/>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row>
    <row r="132" spans="1:31">
      <c r="A132" s="234"/>
      <c r="B132" s="234"/>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row>
    <row r="133" spans="1:31">
      <c r="A133" s="234"/>
      <c r="B133" s="234"/>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row>
    <row r="134" spans="1:31">
      <c r="A134" s="234"/>
      <c r="B134" s="234"/>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79"/>
      <c r="AC134" s="79"/>
      <c r="AD134" s="79"/>
      <c r="AE134" s="79"/>
    </row>
    <row r="135" spans="1:31">
      <c r="A135" s="234"/>
      <c r="B135" s="234"/>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79"/>
      <c r="AC135" s="79"/>
      <c r="AD135" s="79"/>
      <c r="AE135" s="79"/>
    </row>
    <row r="136" spans="1:31">
      <c r="A136" s="234"/>
      <c r="B136" s="234"/>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row>
    <row r="137" spans="1:31">
      <c r="A137" s="234"/>
      <c r="B137" s="234"/>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row>
    <row r="138" spans="1:31">
      <c r="A138" s="234"/>
      <c r="B138" s="234"/>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row>
    <row r="139" spans="1:31">
      <c r="A139" s="234"/>
      <c r="B139" s="234"/>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row>
    <row r="140" spans="1:31">
      <c r="A140" s="234"/>
      <c r="B140" s="234"/>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row>
    <row r="141" spans="1:31">
      <c r="A141" s="234"/>
      <c r="B141" s="234"/>
      <c r="C141" s="79"/>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row>
    <row r="142" spans="1:31">
      <c r="A142" s="234"/>
      <c r="B142" s="234"/>
      <c r="C142" s="79"/>
      <c r="D142" s="79"/>
      <c r="E142" s="79"/>
      <c r="F142" s="79"/>
      <c r="G142" s="79"/>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row>
    <row r="143" spans="1:31">
      <c r="A143" s="234"/>
      <c r="B143" s="234"/>
      <c r="C143" s="79"/>
      <c r="D143" s="79"/>
      <c r="E143" s="79"/>
      <c r="F143" s="79"/>
      <c r="G143" s="79"/>
      <c r="H143" s="79"/>
      <c r="I143" s="79"/>
      <c r="J143" s="79"/>
      <c r="K143" s="79"/>
      <c r="L143" s="79"/>
      <c r="M143" s="79"/>
      <c r="N143" s="79"/>
      <c r="O143" s="79"/>
      <c r="P143" s="79"/>
      <c r="Q143" s="79"/>
      <c r="R143" s="79"/>
      <c r="S143" s="79"/>
      <c r="T143" s="79"/>
      <c r="U143" s="79"/>
      <c r="V143" s="79"/>
      <c r="W143" s="79"/>
      <c r="X143" s="79"/>
      <c r="Y143" s="79"/>
      <c r="Z143" s="79"/>
      <c r="AA143" s="79"/>
      <c r="AB143" s="79"/>
      <c r="AC143" s="79"/>
      <c r="AD143" s="79"/>
      <c r="AE143" s="79"/>
    </row>
    <row r="144" spans="1:31">
      <c r="A144" s="234"/>
      <c r="B144" s="234"/>
      <c r="C144" s="79"/>
      <c r="D144" s="79"/>
      <c r="E144" s="79"/>
      <c r="F144" s="79"/>
      <c r="G144" s="79"/>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row>
    <row r="145" spans="1:31" s="226" customFormat="1">
      <c r="A145" s="234"/>
      <c r="B145" s="234"/>
      <c r="C145" s="79"/>
      <c r="D145" s="79"/>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row>
    <row r="146" spans="1:31">
      <c r="A146" s="234"/>
      <c r="B146" s="234"/>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c r="AC146" s="79"/>
      <c r="AD146" s="79"/>
      <c r="AE146" s="79"/>
    </row>
    <row r="147" spans="1:31">
      <c r="A147" s="219"/>
      <c r="B147" s="234"/>
      <c r="C147" s="79"/>
      <c r="D147" s="261"/>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79"/>
      <c r="AC147" s="79"/>
      <c r="AD147" s="79"/>
      <c r="AE147" s="79"/>
    </row>
    <row r="148" spans="1:31">
      <c r="A148" s="219"/>
      <c r="B148" s="219"/>
      <c r="C148" s="261"/>
      <c r="D148" s="261"/>
      <c r="E148" s="79"/>
      <c r="F148" s="79"/>
      <c r="G148" s="79"/>
      <c r="H148" s="79"/>
      <c r="I148" s="79"/>
      <c r="J148" s="79"/>
      <c r="K148" s="79"/>
      <c r="L148" s="79"/>
      <c r="M148" s="79"/>
      <c r="N148" s="79"/>
      <c r="O148" s="79"/>
      <c r="P148" s="79"/>
      <c r="Q148" s="79"/>
      <c r="R148" s="79"/>
      <c r="S148" s="79"/>
      <c r="T148" s="79"/>
      <c r="U148" s="79"/>
      <c r="V148" s="79"/>
      <c r="W148" s="79"/>
      <c r="X148" s="79"/>
      <c r="Y148" s="79"/>
      <c r="Z148" s="79"/>
      <c r="AA148" s="79"/>
      <c r="AB148" s="79"/>
      <c r="AC148" s="79"/>
      <c r="AD148" s="79"/>
      <c r="AE148" s="79"/>
    </row>
    <row r="149" spans="1:31">
      <c r="A149" s="219"/>
      <c r="B149" s="219"/>
      <c r="C149" s="261"/>
      <c r="D149" s="261"/>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row>
    <row r="150" spans="1:31">
      <c r="A150" s="219"/>
      <c r="B150" s="219"/>
      <c r="C150" s="261"/>
      <c r="D150" s="261"/>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row>
    <row r="151" spans="1:31">
      <c r="A151" s="219"/>
      <c r="B151" s="219"/>
      <c r="C151" s="261"/>
      <c r="D151" s="261"/>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row>
    <row r="152" spans="1:31">
      <c r="A152" s="219"/>
      <c r="B152" s="219"/>
      <c r="C152" s="261"/>
      <c r="D152" s="261"/>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row>
    <row r="153" spans="1:31">
      <c r="A153" s="219"/>
      <c r="B153" s="219"/>
      <c r="C153" s="261"/>
      <c r="D153" s="261"/>
      <c r="E153" s="79"/>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row>
    <row r="154" spans="1:31">
      <c r="A154" s="219"/>
      <c r="B154" s="219"/>
      <c r="C154" s="261"/>
      <c r="D154" s="261"/>
      <c r="E154" s="79"/>
      <c r="F154" s="79"/>
      <c r="G154" s="79"/>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row>
    <row r="155" spans="1:31">
      <c r="A155" s="219"/>
      <c r="B155" s="219"/>
      <c r="C155" s="261"/>
      <c r="D155" s="261"/>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row>
    <row r="156" spans="1:31">
      <c r="A156" s="234"/>
      <c r="B156" s="219"/>
      <c r="C156" s="261"/>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row>
    <row r="157" spans="1:31">
      <c r="A157" s="234"/>
      <c r="B157" s="234"/>
      <c r="C157" s="79"/>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row>
    <row r="158" spans="1:31">
      <c r="A158" s="234"/>
      <c r="B158" s="234"/>
      <c r="C158" s="79"/>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79"/>
      <c r="AB158" s="79"/>
      <c r="AC158" s="79"/>
      <c r="AD158" s="79"/>
      <c r="AE158" s="79"/>
    </row>
    <row r="159" spans="1:31">
      <c r="A159" s="234"/>
      <c r="B159" s="234"/>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row>
    <row r="160" spans="1:31">
      <c r="A160" s="234"/>
      <c r="B160" s="234"/>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row>
    <row r="161" spans="1:31">
      <c r="A161" s="234"/>
      <c r="B161" s="234"/>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row>
    <row r="162" spans="1:31">
      <c r="A162" s="234"/>
      <c r="B162" s="234"/>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row>
    <row r="163" spans="1:31">
      <c r="A163" s="234"/>
      <c r="B163" s="234"/>
      <c r="C163" s="79"/>
      <c r="D163" s="79"/>
      <c r="E163" s="79"/>
      <c r="F163" s="79"/>
      <c r="G163" s="79"/>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row>
    <row r="164" spans="1:31">
      <c r="A164" s="234"/>
      <c r="B164" s="234"/>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row>
    <row r="165" spans="1:31">
      <c r="A165" s="234"/>
      <c r="B165" s="234"/>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row>
  </sheetData>
  <mergeCells count="5">
    <mergeCell ref="A26:D26"/>
    <mergeCell ref="A1:D1"/>
    <mergeCell ref="A3:D3"/>
    <mergeCell ref="A2:D2"/>
    <mergeCell ref="A25:D25"/>
  </mergeCells>
  <printOptions horizontalCentered="1"/>
  <pageMargins left="0.7" right="0.7" top="0.7" bottom="0.7" header="0.3" footer="0.5"/>
  <pageSetup scale="85" orientation="portrait"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339"/>
  <sheetViews>
    <sheetView topLeftCell="E308" zoomScale="90" zoomScaleNormal="90" workbookViewId="0">
      <selection activeCell="A21" sqref="A21"/>
    </sheetView>
  </sheetViews>
  <sheetFormatPr defaultColWidth="9.109375" defaultRowHeight="13.2"/>
  <cols>
    <col min="1" max="1" width="8.33203125" style="723" customWidth="1"/>
    <col min="2" max="2" width="8.5546875" style="723" customWidth="1"/>
    <col min="3" max="3" width="34.5546875" style="723" customWidth="1"/>
    <col min="4" max="4" width="15.33203125" style="1617" customWidth="1"/>
    <col min="5" max="5" width="15.44140625" style="1574" customWidth="1"/>
    <col min="6" max="6" width="17.44140625" style="1574" bestFit="1" customWidth="1"/>
    <col min="7" max="7" width="14.6640625" style="929" bestFit="1" customWidth="1"/>
    <col min="8" max="8" width="17.44140625" style="929" bestFit="1" customWidth="1"/>
    <col min="9" max="9" width="14.6640625" style="929" bestFit="1" customWidth="1"/>
    <col min="10" max="10" width="17.44140625" style="929" bestFit="1" customWidth="1"/>
    <col min="11" max="11" width="14.6640625" style="929" bestFit="1" customWidth="1"/>
    <col min="12" max="12" width="17.44140625" style="929" bestFit="1" customWidth="1"/>
    <col min="13" max="13" width="14.6640625" style="929" bestFit="1" customWidth="1"/>
    <col min="14" max="14" width="61.5546875" style="557" customWidth="1"/>
    <col min="15" max="17" width="9.109375" style="557"/>
    <col min="18" max="18" width="10.33203125" style="557" bestFit="1" customWidth="1"/>
    <col min="19" max="16384" width="9.109375" style="180"/>
  </cols>
  <sheetData>
    <row r="1" spans="1:17">
      <c r="A1" s="1993" t="str">
        <f>+'MISO Cover'!C6</f>
        <v>Entergy Louisiana, LLC</v>
      </c>
      <c r="B1" s="1993"/>
      <c r="C1" s="1993"/>
      <c r="D1" s="1993"/>
      <c r="E1" s="1993"/>
      <c r="F1" s="1993"/>
      <c r="G1" s="1993"/>
      <c r="H1" s="1993"/>
      <c r="I1" s="1993"/>
      <c r="J1" s="1993"/>
      <c r="K1" s="1993"/>
      <c r="L1" s="1993"/>
      <c r="M1" s="1993"/>
      <c r="N1" s="1993"/>
    </row>
    <row r="2" spans="1:17" s="557" customFormat="1" ht="15" customHeight="1">
      <c r="A2" s="1994" t="s">
        <v>695</v>
      </c>
      <c r="B2" s="1994"/>
      <c r="C2" s="1994"/>
      <c r="D2" s="1994"/>
      <c r="E2" s="1994"/>
      <c r="F2" s="1994"/>
      <c r="G2" s="1994"/>
      <c r="H2" s="1994"/>
      <c r="I2" s="1994"/>
      <c r="J2" s="1994"/>
      <c r="K2" s="1994"/>
      <c r="L2" s="1994"/>
      <c r="M2" s="1994"/>
      <c r="N2" s="1994"/>
    </row>
    <row r="3" spans="1:17" ht="15" customHeight="1">
      <c r="A3" s="1993" t="str">
        <f>+'MISO Cover'!K4</f>
        <v>For  the 12 Months Ended 12/31/2016</v>
      </c>
      <c r="B3" s="1993"/>
      <c r="C3" s="1993"/>
      <c r="D3" s="1993"/>
      <c r="E3" s="1993"/>
      <c r="F3" s="1993"/>
      <c r="G3" s="1993"/>
      <c r="H3" s="1993"/>
      <c r="I3" s="1993"/>
      <c r="J3" s="1993"/>
      <c r="K3" s="1993"/>
      <c r="L3" s="1993"/>
      <c r="M3" s="1993"/>
      <c r="N3" s="1993"/>
      <c r="O3" s="1883"/>
      <c r="P3" s="1883"/>
      <c r="Q3" s="1883"/>
    </row>
    <row r="4" spans="1:17">
      <c r="A4" s="1996" t="s">
        <v>148</v>
      </c>
      <c r="B4" s="1425"/>
      <c r="C4" s="1425"/>
      <c r="D4" s="1573"/>
      <c r="O4" s="1883"/>
      <c r="P4" s="1883"/>
      <c r="Q4" s="1883"/>
    </row>
    <row r="5" spans="1:17" s="557" customFormat="1">
      <c r="A5" s="1996"/>
      <c r="B5" s="1426" t="s">
        <v>67</v>
      </c>
      <c r="C5" s="1426" t="s">
        <v>114</v>
      </c>
      <c r="D5" s="1575" t="s">
        <v>55</v>
      </c>
      <c r="E5" s="1575" t="s">
        <v>68</v>
      </c>
      <c r="F5" s="1575" t="s">
        <v>66</v>
      </c>
      <c r="G5" s="1575" t="s">
        <v>154</v>
      </c>
      <c r="H5" s="1575" t="s">
        <v>69</v>
      </c>
      <c r="I5" s="1575" t="s">
        <v>166</v>
      </c>
      <c r="J5" s="1575" t="s">
        <v>415</v>
      </c>
      <c r="K5" s="1575" t="s">
        <v>60</v>
      </c>
      <c r="L5" s="1575" t="s">
        <v>71</v>
      </c>
      <c r="M5" s="1575" t="s">
        <v>98</v>
      </c>
      <c r="N5" s="1426" t="s">
        <v>99</v>
      </c>
    </row>
    <row r="6" spans="1:17" ht="16.8">
      <c r="A6" s="954"/>
      <c r="B6" s="1425"/>
      <c r="C6" s="1425"/>
      <c r="D6" s="1573"/>
      <c r="E6" s="1576"/>
      <c r="F6" s="1987" t="s">
        <v>1084</v>
      </c>
      <c r="G6" s="1987"/>
      <c r="H6" s="1987"/>
      <c r="I6" s="1988"/>
      <c r="J6" s="1989" t="s">
        <v>421</v>
      </c>
      <c r="K6" s="1987"/>
      <c r="L6" s="1987"/>
      <c r="M6" s="1988"/>
    </row>
    <row r="7" spans="1:17" ht="34.950000000000003" customHeight="1">
      <c r="A7" s="954">
        <v>1</v>
      </c>
      <c r="B7" s="180"/>
      <c r="C7" s="954"/>
      <c r="D7" s="1577" t="s">
        <v>163</v>
      </c>
      <c r="E7" s="1578" t="s">
        <v>158</v>
      </c>
      <c r="F7" s="1579" t="s">
        <v>419</v>
      </c>
      <c r="G7" s="1580" t="s">
        <v>420</v>
      </c>
      <c r="H7" s="1580" t="s">
        <v>144</v>
      </c>
      <c r="I7" s="1578" t="s">
        <v>145</v>
      </c>
      <c r="J7" s="1579" t="s">
        <v>419</v>
      </c>
      <c r="K7" s="1580" t="s">
        <v>420</v>
      </c>
      <c r="L7" s="1580" t="s">
        <v>144</v>
      </c>
      <c r="M7" s="1578" t="s">
        <v>145</v>
      </c>
      <c r="N7" s="1427" t="s">
        <v>423</v>
      </c>
    </row>
    <row r="8" spans="1:17" ht="16.8">
      <c r="A8" s="954">
        <f>+A7+1</f>
        <v>2</v>
      </c>
      <c r="B8" s="1428"/>
      <c r="C8" s="954"/>
      <c r="D8" s="1581"/>
      <c r="E8" s="1582"/>
      <c r="F8" s="1987" t="s">
        <v>436</v>
      </c>
      <c r="G8" s="1987"/>
      <c r="H8" s="1987"/>
      <c r="I8" s="1988"/>
      <c r="J8" s="1989" t="s">
        <v>737</v>
      </c>
      <c r="K8" s="1987"/>
      <c r="L8" s="1987"/>
      <c r="M8" s="1988"/>
      <c r="N8" s="180"/>
    </row>
    <row r="9" spans="1:17">
      <c r="A9" s="954">
        <f t="shared" ref="A9:A17" si="0">+A8+1</f>
        <v>3</v>
      </c>
      <c r="C9" s="954"/>
      <c r="D9" s="1581"/>
      <c r="E9" s="1583" t="s">
        <v>136</v>
      </c>
      <c r="F9" s="945">
        <f t="shared" ref="F9:M9" si="1">+F140</f>
        <v>804078493.5200001</v>
      </c>
      <c r="G9" s="945">
        <f t="shared" si="1"/>
        <v>0</v>
      </c>
      <c r="H9" s="945">
        <f t="shared" si="1"/>
        <v>2406460045.7749996</v>
      </c>
      <c r="I9" s="1429">
        <f t="shared" si="1"/>
        <v>-94393001.259999976</v>
      </c>
      <c r="J9" s="1504">
        <f t="shared" si="1"/>
        <v>747388280.84000003</v>
      </c>
      <c r="K9" s="945">
        <f t="shared" si="1"/>
        <v>0</v>
      </c>
      <c r="L9" s="945">
        <f t="shared" si="1"/>
        <v>2696244561.5299997</v>
      </c>
      <c r="M9" s="1429">
        <f t="shared" si="1"/>
        <v>-100017284.30000001</v>
      </c>
      <c r="N9" s="945" t="str">
        <f>+"Ln "&amp;A140</f>
        <v>Ln 15</v>
      </c>
    </row>
    <row r="10" spans="1:17">
      <c r="A10" s="954">
        <f t="shared" si="0"/>
        <v>4</v>
      </c>
      <c r="C10" s="954"/>
      <c r="D10" s="1581"/>
      <c r="E10" s="1583" t="s">
        <v>220</v>
      </c>
      <c r="F10" s="929">
        <v>0</v>
      </c>
      <c r="G10" s="929">
        <v>0</v>
      </c>
      <c r="H10" s="929">
        <v>0</v>
      </c>
      <c r="I10" s="1429">
        <v>0</v>
      </c>
      <c r="J10" s="1504">
        <v>0</v>
      </c>
      <c r="K10" s="945">
        <v>0</v>
      </c>
      <c r="L10" s="945">
        <v>0</v>
      </c>
      <c r="M10" s="1429">
        <v>0</v>
      </c>
      <c r="N10" s="557" t="s">
        <v>422</v>
      </c>
    </row>
    <row r="11" spans="1:17">
      <c r="A11" s="954">
        <f t="shared" si="0"/>
        <v>5</v>
      </c>
      <c r="C11" s="954"/>
      <c r="D11" s="1581"/>
      <c r="E11" s="1583" t="s">
        <v>137</v>
      </c>
      <c r="F11" s="929">
        <f>+F230</f>
        <v>-900165118.76999986</v>
      </c>
      <c r="G11" s="929">
        <f t="shared" ref="G11:M11" si="2">+G230</f>
        <v>-15932539.890000001</v>
      </c>
      <c r="H11" s="929">
        <f t="shared" si="2"/>
        <v>-1984148807.4722426</v>
      </c>
      <c r="I11" s="1429">
        <f t="shared" si="2"/>
        <v>-23729419.655000001</v>
      </c>
      <c r="J11" s="1504">
        <f t="shared" si="2"/>
        <v>-912736646.05999994</v>
      </c>
      <c r="K11" s="945">
        <f t="shared" si="2"/>
        <v>-15549628.24</v>
      </c>
      <c r="L11" s="945">
        <f t="shared" si="2"/>
        <v>-2051245978.1948972</v>
      </c>
      <c r="M11" s="1429">
        <f t="shared" si="2"/>
        <v>-23616824.66</v>
      </c>
      <c r="N11" s="945" t="str">
        <f>+"Ln "&amp;A230</f>
        <v>Ln 28</v>
      </c>
    </row>
    <row r="12" spans="1:17" ht="15">
      <c r="A12" s="954">
        <f t="shared" si="0"/>
        <v>6</v>
      </c>
      <c r="C12" s="954"/>
      <c r="D12" s="1581"/>
      <c r="E12" s="1583" t="s">
        <v>138</v>
      </c>
      <c r="F12" s="1430">
        <f>+F305</f>
        <v>-1676960523.5250006</v>
      </c>
      <c r="G12" s="1430">
        <f t="shared" ref="G12:M12" si="3">+G305</f>
        <v>-14674260.85</v>
      </c>
      <c r="H12" s="1430">
        <f t="shared" si="3"/>
        <v>-12995057.18</v>
      </c>
      <c r="I12" s="1431">
        <f t="shared" si="3"/>
        <v>0</v>
      </c>
      <c r="J12" s="1505">
        <f t="shared" si="3"/>
        <v>-2066469980.5099998</v>
      </c>
      <c r="K12" s="1439">
        <f t="shared" si="3"/>
        <v>-12002486.49</v>
      </c>
      <c r="L12" s="1439">
        <f t="shared" si="3"/>
        <v>-14597527.610000001</v>
      </c>
      <c r="M12" s="1431">
        <f t="shared" si="3"/>
        <v>0</v>
      </c>
      <c r="N12" s="945" t="str">
        <f>+"Ln "&amp;A305</f>
        <v>Ln 33</v>
      </c>
    </row>
    <row r="13" spans="1:17">
      <c r="A13" s="954">
        <f t="shared" si="0"/>
        <v>7</v>
      </c>
      <c r="C13" s="954"/>
      <c r="D13" s="1581"/>
      <c r="E13" s="1583" t="s">
        <v>418</v>
      </c>
      <c r="F13" s="929">
        <f t="shared" ref="F13:M13" si="4">+SUM(F9:F12)</f>
        <v>-1773047148.7750003</v>
      </c>
      <c r="G13" s="929">
        <f t="shared" si="4"/>
        <v>-30606800.740000002</v>
      </c>
      <c r="H13" s="929">
        <f t="shared" si="4"/>
        <v>409316181.12275702</v>
      </c>
      <c r="I13" s="1429">
        <f t="shared" si="4"/>
        <v>-118122420.91499998</v>
      </c>
      <c r="J13" s="1504">
        <f t="shared" si="4"/>
        <v>-2231818345.7299995</v>
      </c>
      <c r="K13" s="945">
        <f t="shared" si="4"/>
        <v>-27552114.73</v>
      </c>
      <c r="L13" s="945">
        <f t="shared" si="4"/>
        <v>630401055.72510254</v>
      </c>
      <c r="M13" s="1429">
        <f t="shared" si="4"/>
        <v>-123634108.96000001</v>
      </c>
      <c r="N13" s="1432" t="str">
        <f>+"Sum of Ln "&amp;A9&amp;" + "&amp;A10&amp;" + "&amp;A11&amp;" + "&amp;A12</f>
        <v>Sum of Ln 3 + 4 + 5 + 6</v>
      </c>
    </row>
    <row r="14" spans="1:17">
      <c r="A14" s="954">
        <f t="shared" si="0"/>
        <v>8</v>
      </c>
      <c r="B14" s="180"/>
      <c r="C14" s="954"/>
      <c r="D14" s="1581"/>
      <c r="E14" s="1583"/>
      <c r="F14" s="929"/>
      <c r="I14" s="1429"/>
      <c r="J14" s="1504"/>
      <c r="K14" s="945"/>
      <c r="L14" s="945"/>
      <c r="M14" s="1429"/>
    </row>
    <row r="15" spans="1:17" ht="16.8">
      <c r="A15" s="954">
        <f t="shared" si="0"/>
        <v>9</v>
      </c>
      <c r="B15" s="1425"/>
      <c r="C15" s="1425"/>
      <c r="D15" s="1573"/>
      <c r="E15" s="1576"/>
      <c r="F15" s="1987" t="s">
        <v>1084</v>
      </c>
      <c r="G15" s="1987"/>
      <c r="H15" s="1987"/>
      <c r="I15" s="1988"/>
      <c r="J15" s="1989" t="s">
        <v>421</v>
      </c>
      <c r="K15" s="1987"/>
      <c r="L15" s="1987"/>
      <c r="M15" s="1988"/>
    </row>
    <row r="16" spans="1:17" ht="33.6">
      <c r="A16" s="954">
        <f t="shared" si="0"/>
        <v>10</v>
      </c>
      <c r="C16" s="954"/>
      <c r="D16" s="1577" t="s">
        <v>163</v>
      </c>
      <c r="E16" s="1578" t="s">
        <v>158</v>
      </c>
      <c r="F16" s="1579" t="s">
        <v>419</v>
      </c>
      <c r="G16" s="1580" t="s">
        <v>420</v>
      </c>
      <c r="H16" s="1580" t="s">
        <v>144</v>
      </c>
      <c r="I16" s="1578" t="s">
        <v>145</v>
      </c>
      <c r="J16" s="1579" t="s">
        <v>419</v>
      </c>
      <c r="K16" s="1580" t="s">
        <v>420</v>
      </c>
      <c r="L16" s="1580" t="s">
        <v>144</v>
      </c>
      <c r="M16" s="1578" t="s">
        <v>145</v>
      </c>
      <c r="N16" s="1427" t="s">
        <v>49</v>
      </c>
    </row>
    <row r="17" spans="1:18" ht="16.8">
      <c r="A17" s="954">
        <f t="shared" si="0"/>
        <v>11</v>
      </c>
      <c r="B17" s="1428" t="s">
        <v>136</v>
      </c>
      <c r="C17" s="954"/>
      <c r="D17" s="1581"/>
      <c r="E17" s="1582"/>
      <c r="F17" s="1987" t="str">
        <f>F8</f>
        <v>Average of BOY/EOY (Col (C+D)/2)</v>
      </c>
      <c r="G17" s="1987"/>
      <c r="H17" s="1987"/>
      <c r="I17" s="1988"/>
      <c r="J17" s="1989" t="str">
        <f>J8</f>
        <v>EOY (Col D)</v>
      </c>
      <c r="K17" s="1987"/>
      <c r="L17" s="1987"/>
      <c r="M17" s="1988"/>
    </row>
    <row r="18" spans="1:18">
      <c r="A18" s="1527">
        <f>+A17+0.001</f>
        <v>11.000999999999999</v>
      </c>
      <c r="B18" s="1570" t="s">
        <v>1336</v>
      </c>
      <c r="C18" s="557"/>
      <c r="D18" s="724">
        <v>298148.14</v>
      </c>
      <c r="E18" s="724">
        <v>530041.14</v>
      </c>
      <c r="F18" s="1504">
        <f>+SUM($D18:$E18)/2</f>
        <v>414094.64</v>
      </c>
      <c r="G18" s="945"/>
      <c r="H18" s="945"/>
      <c r="I18" s="1429"/>
      <c r="J18" s="1504">
        <f t="shared" ref="J18:J29" si="5">+E18</f>
        <v>530041.14</v>
      </c>
      <c r="K18" s="945"/>
      <c r="L18" s="945"/>
      <c r="M18" s="1429"/>
      <c r="N18" s="1421" t="s">
        <v>1029</v>
      </c>
    </row>
    <row r="19" spans="1:18">
      <c r="A19" s="1527">
        <f t="shared" ref="A19:A82" si="6">+A18+0.001</f>
        <v>11.001999999999999</v>
      </c>
      <c r="B19" s="1570" t="s">
        <v>1337</v>
      </c>
      <c r="C19" s="557"/>
      <c r="D19" s="724">
        <v>48148.149999999994</v>
      </c>
      <c r="E19" s="724">
        <v>85596.71</v>
      </c>
      <c r="F19" s="1504">
        <f t="shared" ref="F19:F29" si="7">+SUM(D19:E19)/2</f>
        <v>66872.429999999993</v>
      </c>
      <c r="G19" s="945"/>
      <c r="H19" s="945"/>
      <c r="I19" s="1429"/>
      <c r="J19" s="1504">
        <f t="shared" si="5"/>
        <v>85596.71</v>
      </c>
      <c r="K19" s="945"/>
      <c r="L19" s="945"/>
      <c r="M19" s="1429"/>
      <c r="N19" s="1421" t="s">
        <v>218</v>
      </c>
    </row>
    <row r="20" spans="1:18" s="1526" customFormat="1" ht="13.95" customHeight="1">
      <c r="A20" s="1527">
        <f t="shared" si="6"/>
        <v>11.002999999999998</v>
      </c>
      <c r="B20" s="1570" t="s">
        <v>1338</v>
      </c>
      <c r="C20" s="557"/>
      <c r="D20" s="724">
        <v>2533953.9699999997</v>
      </c>
      <c r="E20" s="724">
        <v>4485068.38</v>
      </c>
      <c r="F20" s="1504">
        <f t="shared" si="7"/>
        <v>3509511.1749999998</v>
      </c>
      <c r="G20" s="945"/>
      <c r="H20" s="945"/>
      <c r="I20" s="1429"/>
      <c r="J20" s="1504">
        <f t="shared" si="5"/>
        <v>4485068.38</v>
      </c>
      <c r="K20" s="945"/>
      <c r="L20" s="945"/>
      <c r="M20" s="1429"/>
      <c r="N20" s="1546" t="s">
        <v>197</v>
      </c>
      <c r="O20" s="557" t="s">
        <v>1304</v>
      </c>
      <c r="P20" s="557"/>
      <c r="Q20" s="557"/>
      <c r="R20" s="557"/>
    </row>
    <row r="21" spans="1:18" s="1526" customFormat="1" ht="13.95" customHeight="1">
      <c r="A21" s="1527">
        <f t="shared" si="6"/>
        <v>11.003999999999998</v>
      </c>
      <c r="B21" s="1570" t="s">
        <v>1339</v>
      </c>
      <c r="C21" s="557"/>
      <c r="D21" s="724">
        <v>409209.95</v>
      </c>
      <c r="E21" s="724">
        <v>724296.74</v>
      </c>
      <c r="F21" s="1504">
        <f t="shared" si="7"/>
        <v>566753.34499999997</v>
      </c>
      <c r="G21" s="945"/>
      <c r="H21" s="945"/>
      <c r="I21" s="1429"/>
      <c r="J21" s="1504">
        <f t="shared" si="5"/>
        <v>724296.74</v>
      </c>
      <c r="K21" s="945"/>
      <c r="L21" s="945"/>
      <c r="M21" s="1429"/>
      <c r="N21" s="1546" t="s">
        <v>197</v>
      </c>
      <c r="O21" s="557" t="s">
        <v>1304</v>
      </c>
      <c r="P21" s="557"/>
      <c r="Q21" s="557"/>
      <c r="R21" s="557"/>
    </row>
    <row r="22" spans="1:18">
      <c r="A22" s="1527">
        <f t="shared" si="6"/>
        <v>11.004999999999997</v>
      </c>
      <c r="B22" s="1570" t="s">
        <v>1340</v>
      </c>
      <c r="C22" s="557"/>
      <c r="D22" s="724">
        <v>51685925.380000003</v>
      </c>
      <c r="E22" s="724">
        <v>54814586.399999991</v>
      </c>
      <c r="F22" s="1504">
        <f t="shared" si="7"/>
        <v>53250255.890000001</v>
      </c>
      <c r="G22" s="945"/>
      <c r="H22" s="945"/>
      <c r="I22" s="1429"/>
      <c r="J22" s="1504">
        <f t="shared" si="5"/>
        <v>54814586.399999991</v>
      </c>
      <c r="K22" s="945"/>
      <c r="L22" s="945"/>
      <c r="M22" s="1429"/>
      <c r="N22" s="1421" t="s">
        <v>1030</v>
      </c>
    </row>
    <row r="23" spans="1:18">
      <c r="A23" s="1527">
        <f t="shared" si="6"/>
        <v>11.005999999999997</v>
      </c>
      <c r="B23" s="1570" t="s">
        <v>1341</v>
      </c>
      <c r="C23" s="557"/>
      <c r="D23" s="724">
        <v>8346795.0300000003</v>
      </c>
      <c r="E23" s="724">
        <v>8852044.6199999992</v>
      </c>
      <c r="F23" s="1504">
        <f t="shared" si="7"/>
        <v>8599419.8249999993</v>
      </c>
      <c r="G23" s="945"/>
      <c r="H23" s="945"/>
      <c r="I23" s="1429"/>
      <c r="J23" s="1504">
        <f t="shared" si="5"/>
        <v>8852044.6199999992</v>
      </c>
      <c r="K23" s="945"/>
      <c r="L23" s="945"/>
      <c r="M23" s="1429"/>
      <c r="N23" s="1421" t="s">
        <v>1030</v>
      </c>
    </row>
    <row r="24" spans="1:18">
      <c r="A24" s="1527">
        <f t="shared" si="6"/>
        <v>11.006999999999996</v>
      </c>
      <c r="B24" s="557" t="s">
        <v>1437</v>
      </c>
      <c r="C24" s="557"/>
      <c r="D24" s="724">
        <v>0</v>
      </c>
      <c r="E24" s="724">
        <v>0</v>
      </c>
      <c r="F24" s="1504">
        <f t="shared" si="7"/>
        <v>0</v>
      </c>
      <c r="G24" s="945"/>
      <c r="H24" s="945"/>
      <c r="I24" s="1429"/>
      <c r="J24" s="1504">
        <f t="shared" si="5"/>
        <v>0</v>
      </c>
      <c r="K24" s="945"/>
      <c r="L24" s="945"/>
      <c r="M24" s="1429"/>
      <c r="N24" s="1421" t="s">
        <v>1030</v>
      </c>
    </row>
    <row r="25" spans="1:18">
      <c r="A25" s="1527">
        <f t="shared" si="6"/>
        <v>11.007999999999996</v>
      </c>
      <c r="B25" s="557" t="s">
        <v>1438</v>
      </c>
      <c r="C25" s="557"/>
      <c r="D25" s="724">
        <v>0</v>
      </c>
      <c r="E25" s="724">
        <v>0</v>
      </c>
      <c r="F25" s="1504">
        <f t="shared" si="7"/>
        <v>0</v>
      </c>
      <c r="G25" s="945"/>
      <c r="H25" s="945"/>
      <c r="I25" s="1429"/>
      <c r="J25" s="1504">
        <f t="shared" si="5"/>
        <v>0</v>
      </c>
      <c r="K25" s="945"/>
      <c r="L25" s="945"/>
      <c r="M25" s="1429"/>
      <c r="N25" s="1421" t="s">
        <v>1030</v>
      </c>
    </row>
    <row r="26" spans="1:18">
      <c r="A26" s="1527">
        <f t="shared" si="6"/>
        <v>11.008999999999995</v>
      </c>
      <c r="B26" s="1570" t="s">
        <v>1342</v>
      </c>
      <c r="C26" s="557"/>
      <c r="D26" s="724">
        <v>-28445736.91</v>
      </c>
      <c r="E26" s="724">
        <v>-31073908.859999999</v>
      </c>
      <c r="F26" s="1504">
        <f t="shared" si="7"/>
        <v>-29759822.884999998</v>
      </c>
      <c r="G26" s="945"/>
      <c r="H26" s="945"/>
      <c r="I26" s="1429"/>
      <c r="J26" s="1504">
        <f t="shared" si="5"/>
        <v>-31073908.859999999</v>
      </c>
      <c r="K26" s="945"/>
      <c r="L26" s="945"/>
      <c r="M26" s="1429"/>
      <c r="N26" s="1421" t="s">
        <v>219</v>
      </c>
    </row>
    <row r="27" spans="1:18">
      <c r="A27" s="1527">
        <f t="shared" si="6"/>
        <v>11.009999999999994</v>
      </c>
      <c r="B27" s="1570" t="s">
        <v>1343</v>
      </c>
      <c r="C27" s="557"/>
      <c r="D27" s="724">
        <v>-4593721.29</v>
      </c>
      <c r="E27" s="724">
        <v>-5018146.5599999996</v>
      </c>
      <c r="F27" s="1504">
        <f t="shared" si="7"/>
        <v>-4805933.9249999998</v>
      </c>
      <c r="G27" s="945"/>
      <c r="H27" s="945"/>
      <c r="I27" s="1429"/>
      <c r="J27" s="1504">
        <f t="shared" si="5"/>
        <v>-5018146.5599999996</v>
      </c>
      <c r="K27" s="945"/>
      <c r="L27" s="945"/>
      <c r="M27" s="1429"/>
      <c r="N27" s="1421" t="s">
        <v>219</v>
      </c>
    </row>
    <row r="28" spans="1:18">
      <c r="A28" s="1527">
        <f t="shared" si="6"/>
        <v>11.010999999999994</v>
      </c>
      <c r="B28" s="1570" t="s">
        <v>1344</v>
      </c>
      <c r="C28" s="557"/>
      <c r="D28" s="724">
        <v>97093124.010000005</v>
      </c>
      <c r="E28" s="724">
        <v>96830276.649999991</v>
      </c>
      <c r="F28" s="1504">
        <f t="shared" si="7"/>
        <v>96961700.329999998</v>
      </c>
      <c r="G28" s="945"/>
      <c r="H28" s="945"/>
      <c r="I28" s="1429"/>
      <c r="J28" s="1504">
        <f t="shared" si="5"/>
        <v>96830276.649999991</v>
      </c>
      <c r="K28" s="945"/>
      <c r="L28" s="945"/>
      <c r="M28" s="1429"/>
      <c r="N28" s="1421" t="s">
        <v>192</v>
      </c>
    </row>
    <row r="29" spans="1:18">
      <c r="A29" s="1527">
        <f t="shared" si="6"/>
        <v>11.011999999999993</v>
      </c>
      <c r="B29" s="1570" t="s">
        <v>1345</v>
      </c>
      <c r="C29" s="557"/>
      <c r="D29" s="724">
        <v>15679634.270000001</v>
      </c>
      <c r="E29" s="724">
        <v>15637186.870000001</v>
      </c>
      <c r="F29" s="1504">
        <f t="shared" si="7"/>
        <v>15658410.57</v>
      </c>
      <c r="G29" s="945"/>
      <c r="H29" s="945"/>
      <c r="I29" s="1429"/>
      <c r="J29" s="1504">
        <f t="shared" si="5"/>
        <v>15637186.870000001</v>
      </c>
      <c r="K29" s="945"/>
      <c r="L29" s="945"/>
      <c r="M29" s="1429"/>
      <c r="N29" s="1421" t="s">
        <v>192</v>
      </c>
    </row>
    <row r="30" spans="1:18">
      <c r="A30" s="1527">
        <f t="shared" si="6"/>
        <v>11.012999999999993</v>
      </c>
      <c r="B30" s="1570" t="s">
        <v>1346</v>
      </c>
      <c r="C30" s="557"/>
      <c r="D30" s="724">
        <v>3957647.5</v>
      </c>
      <c r="E30" s="724">
        <v>3355204.11</v>
      </c>
      <c r="F30" s="1504"/>
      <c r="G30" s="945"/>
      <c r="H30" s="945">
        <f t="shared" ref="H30:H31" si="8">+SUM($D30:$E30)/2</f>
        <v>3656425.8049999997</v>
      </c>
      <c r="I30" s="1429"/>
      <c r="J30" s="1504"/>
      <c r="K30" s="945"/>
      <c r="L30" s="945">
        <f>+E30</f>
        <v>3355204.11</v>
      </c>
      <c r="M30" s="1429"/>
      <c r="N30" s="1421" t="s">
        <v>193</v>
      </c>
    </row>
    <row r="31" spans="1:18">
      <c r="A31" s="1527">
        <f t="shared" si="6"/>
        <v>11.013999999999992</v>
      </c>
      <c r="B31" s="1570" t="s">
        <v>1347</v>
      </c>
      <c r="C31" s="557"/>
      <c r="D31" s="724">
        <v>639149.18999999994</v>
      </c>
      <c r="E31" s="724">
        <v>541855.07999999996</v>
      </c>
      <c r="F31" s="1504"/>
      <c r="G31" s="945"/>
      <c r="H31" s="945">
        <f t="shared" si="8"/>
        <v>590502.13500000001</v>
      </c>
      <c r="I31" s="1429"/>
      <c r="J31" s="1504"/>
      <c r="K31" s="945"/>
      <c r="L31" s="945">
        <f>+E31</f>
        <v>541855.07999999996</v>
      </c>
      <c r="M31" s="1429"/>
      <c r="N31" s="1421" t="s">
        <v>193</v>
      </c>
    </row>
    <row r="32" spans="1:18" ht="26.4">
      <c r="A32" s="1527">
        <f t="shared" si="6"/>
        <v>11.014999999999992</v>
      </c>
      <c r="B32" s="557" t="s">
        <v>1439</v>
      </c>
      <c r="C32" s="557"/>
      <c r="D32" s="724">
        <v>0</v>
      </c>
      <c r="E32" s="724">
        <v>13455043.310000001</v>
      </c>
      <c r="F32" s="1504">
        <f>+SUM(D32:E32)/2</f>
        <v>6727521.6550000003</v>
      </c>
      <c r="G32" s="945"/>
      <c r="H32" s="945"/>
      <c r="I32" s="1429"/>
      <c r="J32" s="1504">
        <f t="shared" ref="J32:J33" si="9">+E32</f>
        <v>13455043.310000001</v>
      </c>
      <c r="K32" s="945"/>
      <c r="L32" s="945"/>
      <c r="M32" s="1429"/>
      <c r="N32" s="1516" t="s">
        <v>1031</v>
      </c>
    </row>
    <row r="33" spans="1:15" ht="26.4">
      <c r="A33" s="1527">
        <f t="shared" si="6"/>
        <v>11.015999999999991</v>
      </c>
      <c r="B33" s="557" t="s">
        <v>1440</v>
      </c>
      <c r="C33" s="557"/>
      <c r="D33" s="724">
        <v>0</v>
      </c>
      <c r="E33" s="724">
        <v>2172864.04</v>
      </c>
      <c r="F33" s="1504">
        <f>+SUM(D33:E33)/2</f>
        <v>1086432.02</v>
      </c>
      <c r="G33" s="945"/>
      <c r="H33" s="945"/>
      <c r="I33" s="1429"/>
      <c r="J33" s="1504">
        <f t="shared" si="9"/>
        <v>2172864.04</v>
      </c>
      <c r="K33" s="945"/>
      <c r="L33" s="945"/>
      <c r="M33" s="1429"/>
      <c r="N33" s="1516" t="s">
        <v>1031</v>
      </c>
    </row>
    <row r="34" spans="1:15" ht="13.95" customHeight="1">
      <c r="A34" s="1527">
        <f t="shared" si="6"/>
        <v>11.016999999999991</v>
      </c>
      <c r="B34" s="1570" t="s">
        <v>1348</v>
      </c>
      <c r="C34" s="557"/>
      <c r="D34" s="724">
        <v>4685444.5599999996</v>
      </c>
      <c r="E34" s="724">
        <v>5110871.1999999993</v>
      </c>
      <c r="F34" s="1504"/>
      <c r="G34" s="945"/>
      <c r="H34" s="945"/>
      <c r="I34" s="1429">
        <f t="shared" ref="I34:I35" si="10">+SUM($D34:$E34)/2</f>
        <v>4898157.879999999</v>
      </c>
      <c r="J34" s="1504"/>
      <c r="K34" s="945"/>
      <c r="L34" s="945"/>
      <c r="M34" s="1429">
        <f t="shared" ref="M34:M35" si="11">+E34</f>
        <v>5110871.1999999993</v>
      </c>
      <c r="N34" s="1421" t="s">
        <v>194</v>
      </c>
    </row>
    <row r="35" spans="1:15" ht="13.95" customHeight="1">
      <c r="A35" s="1527">
        <f t="shared" si="6"/>
        <v>11.01799999999999</v>
      </c>
      <c r="B35" s="1570" t="s">
        <v>1349</v>
      </c>
      <c r="C35" s="557"/>
      <c r="D35" s="724">
        <v>756655.62000000011</v>
      </c>
      <c r="E35" s="724">
        <v>825358.04</v>
      </c>
      <c r="F35" s="1504"/>
      <c r="G35" s="945"/>
      <c r="H35" s="945"/>
      <c r="I35" s="1429">
        <f t="shared" si="10"/>
        <v>791006.83000000007</v>
      </c>
      <c r="J35" s="1504"/>
      <c r="K35" s="945"/>
      <c r="L35" s="945"/>
      <c r="M35" s="1429">
        <f t="shared" si="11"/>
        <v>825358.04</v>
      </c>
      <c r="N35" s="1421" t="s">
        <v>194</v>
      </c>
    </row>
    <row r="36" spans="1:15" ht="13.95" customHeight="1">
      <c r="A36" s="1527">
        <f t="shared" si="6"/>
        <v>11.018999999999989</v>
      </c>
      <c r="B36" s="1570" t="s">
        <v>1350</v>
      </c>
      <c r="C36" s="557"/>
      <c r="D36" s="724">
        <v>20405485.16</v>
      </c>
      <c r="E36" s="724">
        <v>26942579.18</v>
      </c>
      <c r="F36" s="1504"/>
      <c r="G36" s="945"/>
      <c r="H36" s="945">
        <f t="shared" ref="H36:H37" si="12">+SUM($D36:$E36)/2</f>
        <v>23674032.170000002</v>
      </c>
      <c r="I36" s="1429"/>
      <c r="J36" s="1504"/>
      <c r="K36" s="945"/>
      <c r="L36" s="945">
        <f t="shared" ref="L36:L37" si="13">+E36</f>
        <v>26942579.18</v>
      </c>
      <c r="M36" s="1429"/>
      <c r="N36" s="1421" t="s">
        <v>1032</v>
      </c>
    </row>
    <row r="37" spans="1:15" ht="13.95" customHeight="1">
      <c r="A37" s="1527">
        <f t="shared" si="6"/>
        <v>11.019999999999989</v>
      </c>
      <c r="B37" s="1570" t="s">
        <v>1351</v>
      </c>
      <c r="C37" s="557"/>
      <c r="D37" s="724">
        <v>3295402.5100000002</v>
      </c>
      <c r="E37" s="724">
        <v>4351160.84</v>
      </c>
      <c r="F37" s="1504"/>
      <c r="G37" s="945"/>
      <c r="H37" s="945">
        <f t="shared" si="12"/>
        <v>3823281.6749999998</v>
      </c>
      <c r="I37" s="1429"/>
      <c r="J37" s="1504"/>
      <c r="K37" s="945"/>
      <c r="L37" s="945">
        <f t="shared" si="13"/>
        <v>4351160.84</v>
      </c>
      <c r="M37" s="1429"/>
      <c r="N37" s="1421" t="s">
        <v>1032</v>
      </c>
    </row>
    <row r="38" spans="1:15" ht="13.95" customHeight="1">
      <c r="A38" s="1527">
        <f t="shared" si="6"/>
        <v>11.020999999999988</v>
      </c>
      <c r="B38" s="557" t="s">
        <v>1441</v>
      </c>
      <c r="C38" s="557"/>
      <c r="D38" s="724">
        <v>0</v>
      </c>
      <c r="E38" s="724">
        <v>0</v>
      </c>
      <c r="F38" s="1504">
        <f t="shared" ref="F38:F49" si="14">+SUM(D38:E38)/2</f>
        <v>0</v>
      </c>
      <c r="G38" s="945"/>
      <c r="H38" s="945"/>
      <c r="I38" s="1429"/>
      <c r="J38" s="1504">
        <f t="shared" ref="J38:J49" si="15">+E38</f>
        <v>0</v>
      </c>
      <c r="K38" s="945"/>
      <c r="L38" s="945"/>
      <c r="M38" s="1429"/>
      <c r="N38" s="1421" t="s">
        <v>195</v>
      </c>
    </row>
    <row r="39" spans="1:15" ht="13.95" customHeight="1">
      <c r="A39" s="1527">
        <f t="shared" si="6"/>
        <v>11.021999999999988</v>
      </c>
      <c r="B39" s="557" t="s">
        <v>1442</v>
      </c>
      <c r="C39" s="557"/>
      <c r="D39" s="724">
        <v>0</v>
      </c>
      <c r="E39" s="724">
        <v>0</v>
      </c>
      <c r="F39" s="1504">
        <f t="shared" si="14"/>
        <v>0</v>
      </c>
      <c r="G39" s="945"/>
      <c r="H39" s="945"/>
      <c r="I39" s="1429"/>
      <c r="J39" s="1504">
        <f t="shared" si="15"/>
        <v>0</v>
      </c>
      <c r="K39" s="945"/>
      <c r="L39" s="945"/>
      <c r="M39" s="1429"/>
      <c r="N39" s="1421" t="s">
        <v>195</v>
      </c>
    </row>
    <row r="40" spans="1:15" ht="13.95" customHeight="1">
      <c r="A40" s="1527">
        <f t="shared" si="6"/>
        <v>11.022999999999987</v>
      </c>
      <c r="B40" s="1570" t="s">
        <v>1352</v>
      </c>
      <c r="C40" s="557"/>
      <c r="D40" s="724">
        <v>-92492163.120000005</v>
      </c>
      <c r="E40" s="724">
        <v>-103168514.64</v>
      </c>
      <c r="F40" s="1504"/>
      <c r="G40" s="945"/>
      <c r="H40" s="945"/>
      <c r="I40" s="1429">
        <f t="shared" ref="I40:I41" si="16">+SUM($D40:$E40)/2</f>
        <v>-97830338.879999995</v>
      </c>
      <c r="J40" s="1504"/>
      <c r="K40" s="945"/>
      <c r="L40" s="945"/>
      <c r="M40" s="1429">
        <f t="shared" ref="M40:M41" si="17">+E40</f>
        <v>-103168514.64</v>
      </c>
      <c r="N40" s="1421" t="s">
        <v>196</v>
      </c>
      <c r="O40" s="78" t="s">
        <v>1872</v>
      </c>
    </row>
    <row r="41" spans="1:15" ht="13.95" customHeight="1">
      <c r="A41" s="1527">
        <f t="shared" si="6"/>
        <v>11.023999999999987</v>
      </c>
      <c r="B41" s="1570" t="s">
        <v>1353</v>
      </c>
      <c r="C41" s="557"/>
      <c r="D41" s="724">
        <v>-14936622</v>
      </c>
      <c r="E41" s="724">
        <v>-16660753.199999999</v>
      </c>
      <c r="F41" s="1504"/>
      <c r="G41" s="945"/>
      <c r="H41" s="945"/>
      <c r="I41" s="1429">
        <f t="shared" si="16"/>
        <v>-15798687.6</v>
      </c>
      <c r="J41" s="1504"/>
      <c r="K41" s="945"/>
      <c r="L41" s="945"/>
      <c r="M41" s="1429">
        <f t="shared" si="17"/>
        <v>-16660753.199999999</v>
      </c>
      <c r="N41" s="1421" t="s">
        <v>196</v>
      </c>
      <c r="O41" s="78" t="s">
        <v>1872</v>
      </c>
    </row>
    <row r="42" spans="1:15" ht="13.95" customHeight="1">
      <c r="A42" s="1527">
        <f t="shared" si="6"/>
        <v>11.024999999999986</v>
      </c>
      <c r="B42" s="1570" t="s">
        <v>1354</v>
      </c>
      <c r="C42" s="557"/>
      <c r="D42" s="724">
        <v>258200700.75</v>
      </c>
      <c r="E42" s="724">
        <v>253424590.66999999</v>
      </c>
      <c r="F42" s="1504">
        <f t="shared" si="14"/>
        <v>255812645.70999998</v>
      </c>
      <c r="G42" s="945"/>
      <c r="H42" s="945"/>
      <c r="I42" s="1429"/>
      <c r="J42" s="1504">
        <f t="shared" si="15"/>
        <v>253424590.66999999</v>
      </c>
      <c r="K42" s="945"/>
      <c r="L42" s="945"/>
      <c r="M42" s="1429"/>
      <c r="N42" s="1421" t="s">
        <v>196</v>
      </c>
    </row>
    <row r="43" spans="1:15" ht="13.95" customHeight="1">
      <c r="A43" s="1527">
        <f t="shared" si="6"/>
        <v>11.025999999999986</v>
      </c>
      <c r="B43" s="1570" t="s">
        <v>1355</v>
      </c>
      <c r="C43" s="557"/>
      <c r="D43" s="724">
        <v>41697005.850000001</v>
      </c>
      <c r="E43" s="724">
        <v>40925708.590000004</v>
      </c>
      <c r="F43" s="1504">
        <f t="shared" si="14"/>
        <v>41311357.219999999</v>
      </c>
      <c r="G43" s="945"/>
      <c r="H43" s="945"/>
      <c r="I43" s="1429"/>
      <c r="J43" s="1504">
        <f t="shared" si="15"/>
        <v>40925708.590000004</v>
      </c>
      <c r="K43" s="945"/>
      <c r="L43" s="945"/>
      <c r="M43" s="1429"/>
      <c r="N43" s="1421" t="s">
        <v>196</v>
      </c>
    </row>
    <row r="44" spans="1:15" ht="13.95" customHeight="1">
      <c r="A44" s="1527">
        <f t="shared" si="6"/>
        <v>11.026999999999985</v>
      </c>
      <c r="B44" s="1570" t="s">
        <v>1356</v>
      </c>
      <c r="C44" s="557"/>
      <c r="D44" s="724">
        <v>676454.89</v>
      </c>
      <c r="E44" s="724">
        <v>659715.87</v>
      </c>
      <c r="F44" s="1504">
        <f t="shared" si="14"/>
        <v>668085.38</v>
      </c>
      <c r="G44" s="945"/>
      <c r="H44" s="945"/>
      <c r="I44" s="1429"/>
      <c r="J44" s="1504">
        <f t="shared" si="15"/>
        <v>659715.87</v>
      </c>
      <c r="K44" s="945"/>
      <c r="L44" s="945"/>
      <c r="M44" s="1429"/>
      <c r="N44" s="1421" t="s">
        <v>196</v>
      </c>
    </row>
    <row r="45" spans="1:15" ht="13.95" customHeight="1">
      <c r="A45" s="1527">
        <f t="shared" si="6"/>
        <v>11.027999999999984</v>
      </c>
      <c r="B45" s="1570" t="s">
        <v>1357</v>
      </c>
      <c r="C45" s="557"/>
      <c r="D45" s="724">
        <v>109241.16</v>
      </c>
      <c r="E45" s="724">
        <v>106537.95999999999</v>
      </c>
      <c r="F45" s="1504">
        <f t="shared" si="14"/>
        <v>107889.56</v>
      </c>
      <c r="G45" s="945"/>
      <c r="H45" s="945"/>
      <c r="I45" s="1429"/>
      <c r="J45" s="1504">
        <f t="shared" si="15"/>
        <v>106537.95999999999</v>
      </c>
      <c r="K45" s="945"/>
      <c r="L45" s="945"/>
      <c r="M45" s="1429"/>
      <c r="N45" s="1421" t="s">
        <v>196</v>
      </c>
    </row>
    <row r="46" spans="1:15" ht="13.95" customHeight="1">
      <c r="A46" s="1527">
        <f t="shared" si="6"/>
        <v>11.028999999999984</v>
      </c>
      <c r="B46" s="1570" t="s">
        <v>1358</v>
      </c>
      <c r="C46" s="557"/>
      <c r="D46" s="724">
        <v>91371408.790000007</v>
      </c>
      <c r="E46" s="724">
        <v>91802388.159999996</v>
      </c>
      <c r="F46" s="1504">
        <f t="shared" si="14"/>
        <v>91586898.474999994</v>
      </c>
      <c r="G46" s="945"/>
      <c r="H46" s="945"/>
      <c r="I46" s="1429"/>
      <c r="J46" s="1504">
        <f t="shared" si="15"/>
        <v>91802388.159999996</v>
      </c>
      <c r="K46" s="945"/>
      <c r="L46" s="945"/>
      <c r="M46" s="1429"/>
      <c r="N46" s="1421" t="s">
        <v>196</v>
      </c>
    </row>
    <row r="47" spans="1:15" ht="13.95" customHeight="1">
      <c r="A47" s="1527">
        <f t="shared" si="6"/>
        <v>11.029999999999983</v>
      </c>
      <c r="B47" s="1570" t="s">
        <v>1359</v>
      </c>
      <c r="C47" s="557"/>
      <c r="D47" s="724">
        <v>14755630.5</v>
      </c>
      <c r="E47" s="724">
        <v>14825229.68</v>
      </c>
      <c r="F47" s="1504">
        <f t="shared" si="14"/>
        <v>14790430.09</v>
      </c>
      <c r="G47" s="945"/>
      <c r="H47" s="945"/>
      <c r="I47" s="1429"/>
      <c r="J47" s="1504">
        <f t="shared" si="15"/>
        <v>14825229.68</v>
      </c>
      <c r="K47" s="945"/>
      <c r="L47" s="945"/>
      <c r="M47" s="1429"/>
      <c r="N47" s="1421" t="s">
        <v>196</v>
      </c>
    </row>
    <row r="48" spans="1:15" ht="13.95" customHeight="1">
      <c r="A48" s="1527">
        <f t="shared" si="6"/>
        <v>11.030999999999983</v>
      </c>
      <c r="B48" s="1570" t="s">
        <v>1360</v>
      </c>
      <c r="C48" s="557"/>
      <c r="D48" s="724">
        <v>0</v>
      </c>
      <c r="E48" s="724">
        <v>0</v>
      </c>
      <c r="F48" s="1504">
        <f t="shared" si="14"/>
        <v>0</v>
      </c>
      <c r="G48" s="945"/>
      <c r="H48" s="945"/>
      <c r="I48" s="1429"/>
      <c r="J48" s="1504">
        <f t="shared" si="15"/>
        <v>0</v>
      </c>
      <c r="K48" s="945"/>
      <c r="L48" s="945"/>
      <c r="M48" s="1429"/>
      <c r="N48" s="1421" t="s">
        <v>197</v>
      </c>
    </row>
    <row r="49" spans="1:18" ht="13.95" customHeight="1">
      <c r="A49" s="1527">
        <f t="shared" si="6"/>
        <v>11.031999999999982</v>
      </c>
      <c r="B49" s="1570" t="s">
        <v>1361</v>
      </c>
      <c r="C49" s="557"/>
      <c r="D49" s="724">
        <v>0</v>
      </c>
      <c r="E49" s="724">
        <v>0</v>
      </c>
      <c r="F49" s="1504">
        <f t="shared" si="14"/>
        <v>0</v>
      </c>
      <c r="G49" s="945"/>
      <c r="H49" s="945"/>
      <c r="I49" s="1429"/>
      <c r="J49" s="1504">
        <f t="shared" si="15"/>
        <v>0</v>
      </c>
      <c r="K49" s="945"/>
      <c r="L49" s="945"/>
      <c r="M49" s="1429"/>
      <c r="N49" s="1421" t="s">
        <v>197</v>
      </c>
    </row>
    <row r="50" spans="1:18" ht="13.95" customHeight="1">
      <c r="A50" s="1527">
        <f t="shared" si="6"/>
        <v>11.032999999999982</v>
      </c>
      <c r="B50" s="1570" t="s">
        <v>1362</v>
      </c>
      <c r="C50" s="557"/>
      <c r="D50" s="724">
        <v>70661106.969999999</v>
      </c>
      <c r="E50" s="724">
        <v>63443962.710000001</v>
      </c>
      <c r="F50" s="1504"/>
      <c r="G50" s="945"/>
      <c r="H50" s="945">
        <f t="shared" ref="H50:H51" si="18">+SUM($D50:$E50)/2</f>
        <v>67052534.840000004</v>
      </c>
      <c r="I50" s="1429"/>
      <c r="J50" s="1504"/>
      <c r="K50" s="945"/>
      <c r="L50" s="945">
        <f t="shared" ref="L50:L51" si="19">+E50</f>
        <v>63443962.710000001</v>
      </c>
      <c r="M50" s="1429"/>
      <c r="N50" s="1421" t="s">
        <v>198</v>
      </c>
    </row>
    <row r="51" spans="1:18" ht="13.95" customHeight="1">
      <c r="A51" s="1527">
        <f t="shared" si="6"/>
        <v>11.033999999999981</v>
      </c>
      <c r="B51" s="1570" t="s">
        <v>1363</v>
      </c>
      <c r="C51" s="557"/>
      <c r="D51" s="724">
        <v>11380405.890000001</v>
      </c>
      <c r="E51" s="724">
        <v>10217723.380000001</v>
      </c>
      <c r="F51" s="1504"/>
      <c r="G51" s="945"/>
      <c r="H51" s="945">
        <f t="shared" si="18"/>
        <v>10799064.635000002</v>
      </c>
      <c r="I51" s="1429"/>
      <c r="J51" s="1504"/>
      <c r="K51" s="945"/>
      <c r="L51" s="945">
        <f t="shared" si="19"/>
        <v>10217723.380000001</v>
      </c>
      <c r="M51" s="1429"/>
      <c r="N51" s="1421" t="s">
        <v>198</v>
      </c>
    </row>
    <row r="52" spans="1:18" ht="13.95" customHeight="1">
      <c r="A52" s="1527">
        <f t="shared" si="6"/>
        <v>11.034999999999981</v>
      </c>
      <c r="B52" s="557" t="s">
        <v>1443</v>
      </c>
      <c r="C52" s="557"/>
      <c r="D52" s="724">
        <v>0</v>
      </c>
      <c r="E52" s="724">
        <v>0</v>
      </c>
      <c r="F52" s="1504">
        <f t="shared" ref="F52:F56" si="20">+SUM(D52:E52)/2</f>
        <v>0</v>
      </c>
      <c r="G52" s="945"/>
      <c r="H52" s="945"/>
      <c r="I52" s="1429"/>
      <c r="J52" s="1504">
        <f t="shared" ref="J52:J56" si="21">+E52</f>
        <v>0</v>
      </c>
      <c r="K52" s="945"/>
      <c r="L52" s="945"/>
      <c r="M52" s="1429"/>
      <c r="N52" s="1421" t="s">
        <v>200</v>
      </c>
    </row>
    <row r="53" spans="1:18" ht="13.95" customHeight="1">
      <c r="A53" s="1527">
        <f t="shared" si="6"/>
        <v>11.03599999999998</v>
      </c>
      <c r="B53" s="1570" t="s">
        <v>1364</v>
      </c>
      <c r="C53" s="557"/>
      <c r="D53" s="724">
        <v>27612326.890000001</v>
      </c>
      <c r="E53" s="724">
        <v>24845963.460000001</v>
      </c>
      <c r="F53" s="1504">
        <f t="shared" si="20"/>
        <v>26229145.175000001</v>
      </c>
      <c r="G53" s="945"/>
      <c r="H53" s="945"/>
      <c r="I53" s="1429"/>
      <c r="J53" s="1504">
        <f t="shared" si="21"/>
        <v>24845963.460000001</v>
      </c>
      <c r="K53" s="945"/>
      <c r="L53" s="945"/>
      <c r="M53" s="1429"/>
      <c r="N53" s="1421" t="s">
        <v>197</v>
      </c>
    </row>
    <row r="54" spans="1:18" ht="13.95" customHeight="1">
      <c r="A54" s="1527">
        <f t="shared" si="6"/>
        <v>11.036999999999979</v>
      </c>
      <c r="B54" s="1570" t="s">
        <v>1365</v>
      </c>
      <c r="C54" s="557"/>
      <c r="D54" s="724">
        <v>9623210.3899999987</v>
      </c>
      <c r="E54" s="724">
        <v>8536928.1999999993</v>
      </c>
      <c r="F54" s="1504">
        <f t="shared" si="20"/>
        <v>9080069.2949999981</v>
      </c>
      <c r="G54" s="945"/>
      <c r="H54" s="945"/>
      <c r="I54" s="1429"/>
      <c r="J54" s="1504">
        <f t="shared" si="21"/>
        <v>8536928.1999999993</v>
      </c>
      <c r="K54" s="945"/>
      <c r="L54" s="945"/>
      <c r="M54" s="1429"/>
      <c r="N54" s="1421" t="s">
        <v>197</v>
      </c>
    </row>
    <row r="55" spans="1:18" ht="13.95" customHeight="1">
      <c r="A55" s="1527">
        <f t="shared" si="6"/>
        <v>11.037999999999979</v>
      </c>
      <c r="B55" s="1570" t="s">
        <v>1366</v>
      </c>
      <c r="C55" s="557"/>
      <c r="D55" s="724">
        <v>0</v>
      </c>
      <c r="E55" s="724">
        <v>0</v>
      </c>
      <c r="F55" s="1504">
        <f t="shared" si="20"/>
        <v>0</v>
      </c>
      <c r="G55" s="945"/>
      <c r="H55" s="945"/>
      <c r="I55" s="1429"/>
      <c r="J55" s="1504">
        <f t="shared" si="21"/>
        <v>0</v>
      </c>
      <c r="K55" s="945"/>
      <c r="L55" s="945"/>
      <c r="M55" s="1429"/>
      <c r="N55" s="1421" t="s">
        <v>191</v>
      </c>
    </row>
    <row r="56" spans="1:18" ht="13.95" customHeight="1">
      <c r="A56" s="1527">
        <f t="shared" si="6"/>
        <v>11.038999999999978</v>
      </c>
      <c r="B56" s="1570" t="s">
        <v>1367</v>
      </c>
      <c r="C56" s="557"/>
      <c r="D56" s="724">
        <v>0</v>
      </c>
      <c r="E56" s="724">
        <v>0</v>
      </c>
      <c r="F56" s="1504">
        <f t="shared" si="20"/>
        <v>0</v>
      </c>
      <c r="G56" s="945"/>
      <c r="H56" s="945"/>
      <c r="I56" s="1429"/>
      <c r="J56" s="1504">
        <f t="shared" si="21"/>
        <v>0</v>
      </c>
      <c r="K56" s="945"/>
      <c r="L56" s="945"/>
      <c r="M56" s="1429"/>
      <c r="N56" s="1421" t="s">
        <v>191</v>
      </c>
      <c r="O56" s="78"/>
    </row>
    <row r="57" spans="1:18" s="1203" customFormat="1" ht="13.95" customHeight="1">
      <c r="A57" s="1527">
        <f>ROUND(+A56+0.001,3)</f>
        <v>11.04</v>
      </c>
      <c r="B57" s="1570" t="s">
        <v>1368</v>
      </c>
      <c r="C57" s="820"/>
      <c r="D57" s="724">
        <v>-706049.15999999992</v>
      </c>
      <c r="E57" s="724">
        <v>1281074.0900000001</v>
      </c>
      <c r="F57" s="1504">
        <f t="shared" ref="F57:F58" si="22">+SUM(D57:E57)/2</f>
        <v>287512.46500000008</v>
      </c>
      <c r="G57" s="945"/>
      <c r="H57" s="945"/>
      <c r="I57" s="1429"/>
      <c r="J57" s="1504">
        <f t="shared" ref="J57:J58" si="23">+E57</f>
        <v>1281074.0900000001</v>
      </c>
      <c r="K57" s="945"/>
      <c r="L57" s="945"/>
      <c r="M57" s="1429"/>
      <c r="N57" s="1134" t="s">
        <v>197</v>
      </c>
      <c r="O57" s="78" t="s">
        <v>1302</v>
      </c>
      <c r="P57" s="557"/>
      <c r="Q57" s="557"/>
      <c r="R57" s="557"/>
    </row>
    <row r="58" spans="1:18" s="1203" customFormat="1" ht="13.95" customHeight="1">
      <c r="A58" s="1527">
        <f t="shared" si="6"/>
        <v>11.040999999999999</v>
      </c>
      <c r="B58" s="1570" t="s">
        <v>1369</v>
      </c>
      <c r="C58" s="820"/>
      <c r="D58" s="724">
        <v>-114020.37000000002</v>
      </c>
      <c r="E58" s="724">
        <v>206881.5</v>
      </c>
      <c r="F58" s="1504">
        <f t="shared" si="22"/>
        <v>46430.564999999988</v>
      </c>
      <c r="G58" s="945"/>
      <c r="H58" s="945"/>
      <c r="I58" s="1429"/>
      <c r="J58" s="1504">
        <f t="shared" si="23"/>
        <v>206881.5</v>
      </c>
      <c r="K58" s="945"/>
      <c r="L58" s="945"/>
      <c r="M58" s="1429"/>
      <c r="N58" s="1134" t="s">
        <v>197</v>
      </c>
      <c r="O58" s="78" t="s">
        <v>1302</v>
      </c>
      <c r="P58" s="557"/>
      <c r="Q58" s="557"/>
      <c r="R58" s="557"/>
    </row>
    <row r="59" spans="1:18" ht="13.95" customHeight="1">
      <c r="A59" s="1527">
        <f t="shared" si="6"/>
        <v>11.041999999999998</v>
      </c>
      <c r="B59" s="1570" t="s">
        <v>1370</v>
      </c>
      <c r="C59" s="557"/>
      <c r="D59" s="724">
        <v>0</v>
      </c>
      <c r="E59" s="724">
        <v>0</v>
      </c>
      <c r="F59" s="1504"/>
      <c r="G59" s="945"/>
      <c r="H59" s="945"/>
      <c r="I59" s="1429">
        <f t="shared" ref="I59:I62" si="24">+SUM($D59:$E59)/2</f>
        <v>0</v>
      </c>
      <c r="J59" s="1504"/>
      <c r="K59" s="945"/>
      <c r="L59" s="945"/>
      <c r="M59" s="1429">
        <f>+E59</f>
        <v>0</v>
      </c>
      <c r="N59" s="1499" t="s">
        <v>885</v>
      </c>
    </row>
    <row r="60" spans="1:18" ht="13.95" customHeight="1">
      <c r="A60" s="1527">
        <f t="shared" si="6"/>
        <v>11.042999999999997</v>
      </c>
      <c r="B60" s="1570" t="s">
        <v>1371</v>
      </c>
      <c r="C60" s="557"/>
      <c r="D60" s="724">
        <v>0</v>
      </c>
      <c r="E60" s="724">
        <v>0</v>
      </c>
      <c r="F60" s="1504"/>
      <c r="G60" s="945"/>
      <c r="H60" s="945"/>
      <c r="I60" s="1429">
        <f t="shared" si="24"/>
        <v>0</v>
      </c>
      <c r="J60" s="1504"/>
      <c r="K60" s="945"/>
      <c r="L60" s="945"/>
      <c r="M60" s="1429">
        <f>+E60</f>
        <v>0</v>
      </c>
      <c r="N60" s="1499" t="s">
        <v>885</v>
      </c>
    </row>
    <row r="61" spans="1:18" ht="13.95" customHeight="1">
      <c r="A61" s="1527">
        <f t="shared" si="6"/>
        <v>11.043999999999997</v>
      </c>
      <c r="B61" s="1570" t="s">
        <v>1372</v>
      </c>
      <c r="C61" s="557"/>
      <c r="D61" s="724">
        <v>5075038.75</v>
      </c>
      <c r="E61" s="724">
        <v>5268645.5199999996</v>
      </c>
      <c r="F61" s="1504"/>
      <c r="G61" s="945"/>
      <c r="H61" s="945"/>
      <c r="I61" s="1429">
        <f t="shared" si="24"/>
        <v>5171842.1349999998</v>
      </c>
      <c r="J61" s="1504"/>
      <c r="K61" s="945"/>
      <c r="L61" s="945"/>
      <c r="M61" s="1429">
        <f>+E61</f>
        <v>5268645.5199999996</v>
      </c>
      <c r="N61" s="1421" t="s">
        <v>196</v>
      </c>
    </row>
    <row r="62" spans="1:18" ht="13.95" customHeight="1">
      <c r="A62" s="1527">
        <f t="shared" si="6"/>
        <v>11.044999999999996</v>
      </c>
      <c r="B62" s="1570" t="s">
        <v>1373</v>
      </c>
      <c r="C62" s="557"/>
      <c r="D62" s="724">
        <v>819561.72</v>
      </c>
      <c r="E62" s="724">
        <v>850827.4</v>
      </c>
      <c r="F62" s="1504"/>
      <c r="G62" s="945"/>
      <c r="H62" s="945"/>
      <c r="I62" s="1429">
        <f t="shared" si="24"/>
        <v>835194.56</v>
      </c>
      <c r="J62" s="1504"/>
      <c r="K62" s="945"/>
      <c r="L62" s="945"/>
      <c r="M62" s="1429">
        <f>+E62</f>
        <v>850827.4</v>
      </c>
      <c r="N62" s="1421" t="s">
        <v>196</v>
      </c>
    </row>
    <row r="63" spans="1:18" ht="13.95" customHeight="1">
      <c r="A63" s="1527">
        <f t="shared" si="6"/>
        <v>11.045999999999996</v>
      </c>
      <c r="B63" s="1570" t="s">
        <v>1374</v>
      </c>
      <c r="C63" s="557"/>
      <c r="D63" s="724">
        <v>1389959.49</v>
      </c>
      <c r="E63" s="724">
        <v>2075247.79</v>
      </c>
      <c r="F63" s="1504">
        <f t="shared" ref="F63:F64" si="25">+SUM(D63:E63)/2</f>
        <v>1732603.6400000001</v>
      </c>
      <c r="G63" s="945"/>
      <c r="H63" s="945"/>
      <c r="I63" s="1429"/>
      <c r="J63" s="1504">
        <f>+E63</f>
        <v>2075247.79</v>
      </c>
      <c r="K63" s="945"/>
      <c r="L63" s="945"/>
      <c r="M63" s="1429"/>
      <c r="N63" s="1421" t="s">
        <v>199</v>
      </c>
    </row>
    <row r="64" spans="1:18" ht="13.95" customHeight="1">
      <c r="A64" s="1527">
        <f t="shared" si="6"/>
        <v>11.046999999999995</v>
      </c>
      <c r="B64" s="1570" t="s">
        <v>1375</v>
      </c>
      <c r="C64" s="557"/>
      <c r="D64" s="724">
        <v>224465.49000000002</v>
      </c>
      <c r="E64" s="724">
        <v>335133.16000000003</v>
      </c>
      <c r="F64" s="1504">
        <f t="shared" si="25"/>
        <v>279799.32500000001</v>
      </c>
      <c r="G64" s="945"/>
      <c r="H64" s="945"/>
      <c r="I64" s="1429"/>
      <c r="J64" s="1504">
        <f>+E64</f>
        <v>335133.16000000003</v>
      </c>
      <c r="K64" s="945"/>
      <c r="L64" s="945"/>
      <c r="M64" s="1429"/>
      <c r="N64" s="1421" t="s">
        <v>199</v>
      </c>
    </row>
    <row r="65" spans="1:18" ht="13.95" customHeight="1">
      <c r="A65" s="1527">
        <f t="shared" si="6"/>
        <v>11.047999999999995</v>
      </c>
      <c r="B65" s="1570" t="s">
        <v>1376</v>
      </c>
      <c r="C65" s="557"/>
      <c r="D65" s="724">
        <v>5787254.3099999996</v>
      </c>
      <c r="E65" s="724">
        <v>5986814.7999999998</v>
      </c>
      <c r="F65" s="1504"/>
      <c r="G65" s="945"/>
      <c r="H65" s="945"/>
      <c r="I65" s="1429">
        <f t="shared" ref="I65:I66" si="26">+SUM($D65:$E65)/2</f>
        <v>5887034.5549999997</v>
      </c>
      <c r="J65" s="1504"/>
      <c r="K65" s="945"/>
      <c r="L65" s="945"/>
      <c r="M65" s="1429">
        <f t="shared" ref="M65:M66" si="27">+E65</f>
        <v>5986814.7999999998</v>
      </c>
      <c r="N65" s="1421" t="s">
        <v>1033</v>
      </c>
    </row>
    <row r="66" spans="1:18" ht="13.95" customHeight="1">
      <c r="A66" s="1527">
        <f t="shared" si="6"/>
        <v>11.048999999999994</v>
      </c>
      <c r="B66" s="1570" t="s">
        <v>1377</v>
      </c>
      <c r="C66" s="557"/>
      <c r="D66" s="724">
        <v>934587.61</v>
      </c>
      <c r="E66" s="724">
        <v>966814.77</v>
      </c>
      <c r="F66" s="1504"/>
      <c r="G66" s="945"/>
      <c r="H66" s="945"/>
      <c r="I66" s="1429">
        <f t="shared" si="26"/>
        <v>950701.19</v>
      </c>
      <c r="J66" s="1504"/>
      <c r="K66" s="945"/>
      <c r="L66" s="945"/>
      <c r="M66" s="1429">
        <f t="shared" si="27"/>
        <v>966814.77</v>
      </c>
      <c r="N66" s="1421" t="s">
        <v>1033</v>
      </c>
    </row>
    <row r="67" spans="1:18" ht="13.95" customHeight="1">
      <c r="A67" s="1527">
        <f t="shared" si="6"/>
        <v>11.049999999999994</v>
      </c>
      <c r="B67" s="1570" t="s">
        <v>1378</v>
      </c>
      <c r="C67" s="557"/>
      <c r="D67" s="724">
        <v>157078709</v>
      </c>
      <c r="E67" s="724">
        <v>140005012.43000001</v>
      </c>
      <c r="F67" s="1504"/>
      <c r="G67" s="945"/>
      <c r="H67" s="945">
        <f t="shared" ref="H67:H68" si="28">+SUM($D67:$E67)/2</f>
        <v>148541860.715</v>
      </c>
      <c r="I67" s="1429"/>
      <c r="J67" s="1504"/>
      <c r="K67" s="945"/>
      <c r="L67" s="945">
        <f>+E67</f>
        <v>140005012.43000001</v>
      </c>
      <c r="M67" s="1429"/>
      <c r="N67" s="1421" t="s">
        <v>1034</v>
      </c>
    </row>
    <row r="68" spans="1:18" ht="13.95" customHeight="1">
      <c r="A68" s="1527">
        <f t="shared" si="6"/>
        <v>11.050999999999993</v>
      </c>
      <c r="B68" s="1570" t="s">
        <v>1379</v>
      </c>
      <c r="C68" s="557"/>
      <c r="D68" s="724">
        <v>25367779.07</v>
      </c>
      <c r="E68" s="724">
        <v>22610407.59</v>
      </c>
      <c r="F68" s="1504"/>
      <c r="G68" s="945"/>
      <c r="H68" s="945">
        <f t="shared" si="28"/>
        <v>23989093.329999998</v>
      </c>
      <c r="I68" s="1429"/>
      <c r="J68" s="1504"/>
      <c r="K68" s="945"/>
      <c r="L68" s="945">
        <f>+E68</f>
        <v>22610407.59</v>
      </c>
      <c r="M68" s="1429"/>
      <c r="N68" s="1421" t="s">
        <v>1034</v>
      </c>
    </row>
    <row r="69" spans="1:18" ht="13.95" customHeight="1">
      <c r="A69" s="1527">
        <f t="shared" si="6"/>
        <v>11.051999999999992</v>
      </c>
      <c r="B69" s="1570" t="s">
        <v>1380</v>
      </c>
      <c r="C69" s="557"/>
      <c r="D69" s="724">
        <v>0</v>
      </c>
      <c r="E69" s="724">
        <v>0</v>
      </c>
      <c r="F69" s="1504">
        <f t="shared" ref="F69:F81" si="29">+SUM(D69:E69)/2</f>
        <v>0</v>
      </c>
      <c r="G69" s="945"/>
      <c r="H69" s="945"/>
      <c r="I69" s="1429"/>
      <c r="J69" s="1504">
        <f>+E69</f>
        <v>0</v>
      </c>
      <c r="K69" s="945"/>
      <c r="L69" s="945"/>
      <c r="M69" s="1429"/>
      <c r="N69" s="1499" t="s">
        <v>1035</v>
      </c>
    </row>
    <row r="70" spans="1:18" ht="13.95" customHeight="1">
      <c r="A70" s="1527">
        <f t="shared" si="6"/>
        <v>11.052999999999992</v>
      </c>
      <c r="B70" s="557" t="s">
        <v>1444</v>
      </c>
      <c r="C70" s="557"/>
      <c r="D70" s="724">
        <v>0</v>
      </c>
      <c r="E70" s="724">
        <v>0</v>
      </c>
      <c r="F70" s="1504">
        <f t="shared" si="29"/>
        <v>0</v>
      </c>
      <c r="G70" s="945"/>
      <c r="H70" s="945"/>
      <c r="I70" s="1429"/>
      <c r="J70" s="1504">
        <f t="shared" ref="J70:J81" si="30">+E70</f>
        <v>0</v>
      </c>
      <c r="K70" s="945"/>
      <c r="L70" s="945"/>
      <c r="M70" s="1429"/>
      <c r="N70" s="1421"/>
    </row>
    <row r="71" spans="1:18" ht="13.95" customHeight="1">
      <c r="A71" s="1527">
        <f t="shared" si="6"/>
        <v>11.053999999999991</v>
      </c>
      <c r="B71" s="557" t="s">
        <v>1445</v>
      </c>
      <c r="C71" s="557"/>
      <c r="D71" s="724">
        <v>0</v>
      </c>
      <c r="E71" s="724">
        <v>0</v>
      </c>
      <c r="F71" s="1504">
        <f t="shared" si="29"/>
        <v>0</v>
      </c>
      <c r="G71" s="945"/>
      <c r="H71" s="945"/>
      <c r="I71" s="1429"/>
      <c r="J71" s="1504">
        <f t="shared" si="30"/>
        <v>0</v>
      </c>
      <c r="K71" s="945"/>
      <c r="L71" s="945"/>
      <c r="M71" s="1429"/>
      <c r="N71" s="1421"/>
    </row>
    <row r="72" spans="1:18" s="1526" customFormat="1" ht="13.95" customHeight="1">
      <c r="A72" s="1527">
        <f t="shared" si="6"/>
        <v>11.054999999999991</v>
      </c>
      <c r="B72" s="1570" t="s">
        <v>1381</v>
      </c>
      <c r="C72" s="557"/>
      <c r="D72" s="724">
        <v>610446261.42000008</v>
      </c>
      <c r="E72" s="724">
        <v>450215817.82999998</v>
      </c>
      <c r="F72" s="1504"/>
      <c r="G72" s="945"/>
      <c r="H72" s="945">
        <f t="shared" ref="H72:H73" si="31">+SUM($D72:$E72)/2</f>
        <v>530331039.625</v>
      </c>
      <c r="I72" s="1429"/>
      <c r="J72" s="1504"/>
      <c r="K72" s="945"/>
      <c r="L72" s="945">
        <f>+E72</f>
        <v>450215817.82999998</v>
      </c>
      <c r="M72" s="1429"/>
      <c r="N72" s="1546" t="s">
        <v>1306</v>
      </c>
      <c r="O72" s="557" t="s">
        <v>1304</v>
      </c>
      <c r="P72" s="557"/>
      <c r="Q72" s="557"/>
      <c r="R72" s="557"/>
    </row>
    <row r="73" spans="1:18" s="1526" customFormat="1" ht="13.95" customHeight="1">
      <c r="A73" s="1527">
        <f t="shared" si="6"/>
        <v>11.05599999999999</v>
      </c>
      <c r="B73" s="1570" t="s">
        <v>1382</v>
      </c>
      <c r="C73" s="557"/>
      <c r="D73" s="724">
        <v>118064075.91</v>
      </c>
      <c r="E73" s="724">
        <v>106074474.64</v>
      </c>
      <c r="F73" s="1504"/>
      <c r="G73" s="945"/>
      <c r="H73" s="945">
        <f t="shared" si="31"/>
        <v>112069275.27500001</v>
      </c>
      <c r="I73" s="1429"/>
      <c r="J73" s="1504"/>
      <c r="K73" s="945"/>
      <c r="L73" s="945">
        <f>+E73</f>
        <v>106074474.64</v>
      </c>
      <c r="M73" s="1429"/>
      <c r="N73" s="1546" t="s">
        <v>1306</v>
      </c>
      <c r="O73" s="557" t="s">
        <v>1304</v>
      </c>
      <c r="P73" s="557"/>
      <c r="Q73" s="557"/>
      <c r="R73" s="557"/>
    </row>
    <row r="74" spans="1:18" ht="13.95" customHeight="1">
      <c r="A74" s="1527">
        <f t="shared" si="6"/>
        <v>11.05699999999999</v>
      </c>
      <c r="B74" s="1570" t="s">
        <v>1383</v>
      </c>
      <c r="C74" s="557"/>
      <c r="D74" s="724">
        <v>120869338.26000001</v>
      </c>
      <c r="E74" s="724">
        <v>22597186.149999999</v>
      </c>
      <c r="F74" s="1504">
        <f t="shared" si="29"/>
        <v>71733262.204999998</v>
      </c>
      <c r="G74" s="945"/>
      <c r="H74" s="945"/>
      <c r="I74" s="1429"/>
      <c r="J74" s="1504">
        <f t="shared" si="30"/>
        <v>22597186.149999999</v>
      </c>
      <c r="K74" s="945"/>
      <c r="L74" s="945"/>
      <c r="M74" s="1429"/>
      <c r="N74" s="1421" t="s">
        <v>1036</v>
      </c>
    </row>
    <row r="75" spans="1:18" ht="13.95" customHeight="1">
      <c r="A75" s="1527">
        <f t="shared" si="6"/>
        <v>11.057999999999989</v>
      </c>
      <c r="B75" s="1570" t="s">
        <v>1384</v>
      </c>
      <c r="C75" s="557"/>
      <c r="D75" s="724">
        <v>19519271.140000001</v>
      </c>
      <c r="E75" s="724">
        <v>3649234.86</v>
      </c>
      <c r="F75" s="1504">
        <f t="shared" si="29"/>
        <v>11584253</v>
      </c>
      <c r="G75" s="945"/>
      <c r="H75" s="945"/>
      <c r="I75" s="1429"/>
      <c r="J75" s="1504">
        <f t="shared" si="30"/>
        <v>3649234.86</v>
      </c>
      <c r="K75" s="945"/>
      <c r="L75" s="945"/>
      <c r="M75" s="1429"/>
      <c r="N75" s="1421" t="s">
        <v>1036</v>
      </c>
    </row>
    <row r="76" spans="1:18" ht="13.95" customHeight="1">
      <c r="A76" s="1527">
        <f t="shared" si="6"/>
        <v>11.058999999999989</v>
      </c>
      <c r="B76" s="1570" t="s">
        <v>1385</v>
      </c>
      <c r="C76" s="557"/>
      <c r="D76" s="724">
        <v>-23366.080000000016</v>
      </c>
      <c r="E76" s="724">
        <v>-23366.07</v>
      </c>
      <c r="F76" s="1504">
        <f t="shared" si="29"/>
        <v>-23366.075000000008</v>
      </c>
      <c r="G76" s="945"/>
      <c r="H76" s="945"/>
      <c r="I76" s="1429"/>
      <c r="J76" s="1504">
        <f t="shared" si="30"/>
        <v>-23366.07</v>
      </c>
      <c r="K76" s="945"/>
      <c r="L76" s="945"/>
      <c r="M76" s="1429"/>
      <c r="N76" s="1421" t="s">
        <v>201</v>
      </c>
    </row>
    <row r="77" spans="1:18" ht="13.95" customHeight="1">
      <c r="A77" s="1527">
        <f t="shared" si="6"/>
        <v>11.059999999999988</v>
      </c>
      <c r="B77" s="1570" t="s">
        <v>1386</v>
      </c>
      <c r="C77" s="557"/>
      <c r="D77" s="724">
        <v>-3773.41</v>
      </c>
      <c r="E77" s="724">
        <v>-3773.41</v>
      </c>
      <c r="F77" s="1504">
        <f t="shared" si="29"/>
        <v>-3773.41</v>
      </c>
      <c r="G77" s="945"/>
      <c r="H77" s="945"/>
      <c r="I77" s="1429"/>
      <c r="J77" s="1504">
        <f t="shared" si="30"/>
        <v>-3773.41</v>
      </c>
      <c r="K77" s="945"/>
      <c r="L77" s="945"/>
      <c r="M77" s="1429"/>
      <c r="N77" s="1421" t="s">
        <v>201</v>
      </c>
    </row>
    <row r="78" spans="1:18" ht="13.95" customHeight="1">
      <c r="A78" s="1527">
        <f t="shared" si="6"/>
        <v>11.060999999999988</v>
      </c>
      <c r="B78" s="1570" t="s">
        <v>1387</v>
      </c>
      <c r="C78" s="557"/>
      <c r="D78" s="724">
        <v>76354.320000000007</v>
      </c>
      <c r="E78" s="724">
        <v>572933.91</v>
      </c>
      <c r="F78" s="1504">
        <f t="shared" si="29"/>
        <v>324644.11499999999</v>
      </c>
      <c r="G78" s="945"/>
      <c r="H78" s="945"/>
      <c r="I78" s="1429"/>
      <c r="J78" s="1504">
        <f t="shared" si="30"/>
        <v>572933.91</v>
      </c>
      <c r="K78" s="945"/>
      <c r="L78" s="945"/>
      <c r="M78" s="1429"/>
      <c r="N78" s="1421" t="s">
        <v>202</v>
      </c>
    </row>
    <row r="79" spans="1:18" ht="13.95" customHeight="1">
      <c r="A79" s="1527">
        <f t="shared" si="6"/>
        <v>11.061999999999987</v>
      </c>
      <c r="B79" s="1570" t="s">
        <v>1388</v>
      </c>
      <c r="C79" s="557"/>
      <c r="D79" s="724">
        <v>12330.48</v>
      </c>
      <c r="E79" s="724">
        <v>92523.45</v>
      </c>
      <c r="F79" s="1504">
        <f t="shared" si="29"/>
        <v>52426.964999999997</v>
      </c>
      <c r="G79" s="945"/>
      <c r="H79" s="945"/>
      <c r="I79" s="1429"/>
      <c r="J79" s="1504">
        <f t="shared" si="30"/>
        <v>92523.45</v>
      </c>
      <c r="K79" s="945"/>
      <c r="L79" s="945"/>
      <c r="M79" s="1429"/>
      <c r="N79" s="1421" t="s">
        <v>202</v>
      </c>
    </row>
    <row r="80" spans="1:18" s="1518" customFormat="1" ht="13.95" customHeight="1">
      <c r="A80" s="1527">
        <f t="shared" si="6"/>
        <v>11.062999999999986</v>
      </c>
      <c r="B80" s="1570" t="s">
        <v>1389</v>
      </c>
      <c r="C80" s="820"/>
      <c r="D80" s="724">
        <v>22930.58</v>
      </c>
      <c r="E80" s="724">
        <v>217431.17</v>
      </c>
      <c r="F80" s="1504">
        <f t="shared" si="29"/>
        <v>120180.875</v>
      </c>
      <c r="G80" s="945"/>
      <c r="H80" s="945"/>
      <c r="I80" s="1429"/>
      <c r="J80" s="1504">
        <f t="shared" si="30"/>
        <v>217431.17</v>
      </c>
      <c r="K80" s="945"/>
      <c r="L80" s="945"/>
      <c r="M80" s="1429"/>
      <c r="N80" s="1134" t="s">
        <v>1135</v>
      </c>
      <c r="O80" s="78" t="s">
        <v>1302</v>
      </c>
      <c r="P80" s="557"/>
      <c r="Q80" s="557"/>
      <c r="R80" s="557"/>
    </row>
    <row r="81" spans="1:18" s="1518" customFormat="1" ht="13.95" customHeight="1">
      <c r="A81" s="1527">
        <f t="shared" si="6"/>
        <v>11.063999999999986</v>
      </c>
      <c r="B81" s="1570" t="s">
        <v>1390</v>
      </c>
      <c r="C81" s="820"/>
      <c r="D81" s="724">
        <v>3703.07</v>
      </c>
      <c r="E81" s="724">
        <v>35113.1</v>
      </c>
      <c r="F81" s="1504">
        <f t="shared" si="29"/>
        <v>19408.084999999999</v>
      </c>
      <c r="G81" s="945"/>
      <c r="H81" s="945"/>
      <c r="I81" s="1429"/>
      <c r="J81" s="1504">
        <f t="shared" si="30"/>
        <v>35113.1</v>
      </c>
      <c r="K81" s="945"/>
      <c r="L81" s="945"/>
      <c r="M81" s="1429"/>
      <c r="N81" s="1134" t="s">
        <v>1136</v>
      </c>
      <c r="O81" s="78" t="s">
        <v>1302</v>
      </c>
      <c r="P81" s="557"/>
      <c r="Q81" s="557"/>
      <c r="R81" s="557"/>
    </row>
    <row r="82" spans="1:18" ht="13.95" customHeight="1">
      <c r="A82" s="1527">
        <f t="shared" si="6"/>
        <v>11.064999999999985</v>
      </c>
      <c r="B82" s="1570" t="s">
        <v>1391</v>
      </c>
      <c r="C82" s="557"/>
      <c r="D82" s="724">
        <v>797984.55999999994</v>
      </c>
      <c r="E82" s="724">
        <v>782102.52999999991</v>
      </c>
      <c r="F82" s="1504"/>
      <c r="G82" s="945"/>
      <c r="H82" s="945">
        <f t="shared" ref="H82:H83" si="32">+SUM($D82:$E82)/2</f>
        <v>790043.54499999993</v>
      </c>
      <c r="I82" s="1429"/>
      <c r="J82" s="1504"/>
      <c r="K82" s="945"/>
      <c r="L82" s="945">
        <f t="shared" ref="L82:L83" si="33">+E82</f>
        <v>782102.52999999991</v>
      </c>
      <c r="M82" s="1429"/>
      <c r="N82" s="1421" t="s">
        <v>203</v>
      </c>
    </row>
    <row r="83" spans="1:18" ht="13.95" customHeight="1">
      <c r="A83" s="1527">
        <f t="shared" ref="A83:A134" si="34">+A82+0.001</f>
        <v>11.065999999999985</v>
      </c>
      <c r="B83" s="1570" t="s">
        <v>1392</v>
      </c>
      <c r="C83" s="557"/>
      <c r="D83" s="724">
        <v>128867.07</v>
      </c>
      <c r="E83" s="724">
        <v>126302.27</v>
      </c>
      <c r="F83" s="1504"/>
      <c r="G83" s="945"/>
      <c r="H83" s="945">
        <f t="shared" si="32"/>
        <v>127584.67000000001</v>
      </c>
      <c r="I83" s="1429"/>
      <c r="J83" s="1504"/>
      <c r="K83" s="945"/>
      <c r="L83" s="945">
        <f t="shared" si="33"/>
        <v>126302.27</v>
      </c>
      <c r="M83" s="1429"/>
      <c r="N83" s="1421" t="s">
        <v>203</v>
      </c>
    </row>
    <row r="84" spans="1:18" s="1518" customFormat="1" ht="13.95" customHeight="1">
      <c r="A84" s="1527">
        <f t="shared" si="34"/>
        <v>11.066999999999984</v>
      </c>
      <c r="B84" s="820" t="s">
        <v>1446</v>
      </c>
      <c r="C84" s="820"/>
      <c r="D84" s="724">
        <v>0</v>
      </c>
      <c r="E84" s="724">
        <v>0</v>
      </c>
      <c r="F84" s="1504">
        <f t="shared" ref="F84:F89" si="35">+SUM(D84:E84)/2</f>
        <v>0</v>
      </c>
      <c r="G84" s="945"/>
      <c r="H84" s="945"/>
      <c r="I84" s="1429"/>
      <c r="J84" s="1504">
        <f t="shared" ref="J84:J89" si="36">+E84</f>
        <v>0</v>
      </c>
      <c r="K84" s="945"/>
      <c r="L84" s="945"/>
      <c r="M84" s="1429"/>
      <c r="N84" s="1134" t="s">
        <v>1137</v>
      </c>
      <c r="O84" s="78" t="s">
        <v>1302</v>
      </c>
      <c r="P84" s="557"/>
      <c r="Q84" s="557"/>
      <c r="R84" s="557"/>
    </row>
    <row r="85" spans="1:18" s="1518" customFormat="1" ht="13.95" customHeight="1">
      <c r="A85" s="1527">
        <f t="shared" si="34"/>
        <v>11.067999999999984</v>
      </c>
      <c r="B85" s="820" t="s">
        <v>1447</v>
      </c>
      <c r="C85" s="820"/>
      <c r="D85" s="724">
        <v>0</v>
      </c>
      <c r="E85" s="724">
        <v>0</v>
      </c>
      <c r="F85" s="1504">
        <f t="shared" si="35"/>
        <v>0</v>
      </c>
      <c r="G85" s="945"/>
      <c r="H85" s="945"/>
      <c r="I85" s="1429"/>
      <c r="J85" s="1504">
        <f t="shared" si="36"/>
        <v>0</v>
      </c>
      <c r="K85" s="945"/>
      <c r="L85" s="945"/>
      <c r="M85" s="1429"/>
      <c r="N85" s="1134" t="s">
        <v>1137</v>
      </c>
      <c r="O85" s="78" t="s">
        <v>1302</v>
      </c>
      <c r="P85" s="557"/>
      <c r="Q85" s="557"/>
      <c r="R85" s="557"/>
    </row>
    <row r="86" spans="1:18" s="1518" customFormat="1" ht="39.6">
      <c r="A86" s="1527">
        <f t="shared" si="34"/>
        <v>11.068999999999983</v>
      </c>
      <c r="B86" s="1570" t="s">
        <v>1393</v>
      </c>
      <c r="C86" s="820"/>
      <c r="D86" s="724">
        <v>402831.2</v>
      </c>
      <c r="E86" s="724">
        <v>396205.52</v>
      </c>
      <c r="F86" s="1504">
        <f t="shared" si="35"/>
        <v>399518.36</v>
      </c>
      <c r="G86" s="945"/>
      <c r="H86" s="945"/>
      <c r="I86" s="1429"/>
      <c r="J86" s="1504">
        <f t="shared" si="36"/>
        <v>396205.52</v>
      </c>
      <c r="K86" s="945"/>
      <c r="L86" s="945"/>
      <c r="M86" s="1429"/>
      <c r="N86" s="1134" t="s">
        <v>1138</v>
      </c>
      <c r="O86" s="78" t="s">
        <v>1302</v>
      </c>
      <c r="P86" s="557"/>
      <c r="Q86" s="557"/>
      <c r="R86" s="557"/>
    </row>
    <row r="87" spans="1:18" s="1518" customFormat="1" ht="39.6">
      <c r="A87" s="1527">
        <f t="shared" si="34"/>
        <v>11.069999999999983</v>
      </c>
      <c r="B87" s="1570" t="s">
        <v>1394</v>
      </c>
      <c r="C87" s="820"/>
      <c r="D87" s="724">
        <v>65053.48</v>
      </c>
      <c r="E87" s="724">
        <v>63983.49</v>
      </c>
      <c r="F87" s="1504">
        <f t="shared" si="35"/>
        <v>64518.485000000001</v>
      </c>
      <c r="G87" s="945"/>
      <c r="H87" s="945"/>
      <c r="I87" s="1429"/>
      <c r="J87" s="1504">
        <f t="shared" si="36"/>
        <v>63983.49</v>
      </c>
      <c r="K87" s="945"/>
      <c r="L87" s="945"/>
      <c r="M87" s="1429"/>
      <c r="N87" s="1134" t="s">
        <v>1138</v>
      </c>
      <c r="O87" s="78" t="s">
        <v>1302</v>
      </c>
      <c r="P87" s="557"/>
      <c r="Q87" s="557"/>
      <c r="R87" s="557"/>
    </row>
    <row r="88" spans="1:18" s="1518" customFormat="1" ht="40.200000000000003" customHeight="1">
      <c r="A88" s="1527">
        <f t="shared" si="34"/>
        <v>11.070999999999982</v>
      </c>
      <c r="B88" s="1570" t="s">
        <v>1395</v>
      </c>
      <c r="C88" s="820"/>
      <c r="D88" s="724">
        <v>1424439.13</v>
      </c>
      <c r="E88" s="724">
        <v>1465963.42</v>
      </c>
      <c r="F88" s="1504">
        <f t="shared" si="35"/>
        <v>1445201.2749999999</v>
      </c>
      <c r="G88" s="945"/>
      <c r="H88" s="945"/>
      <c r="I88" s="1429"/>
      <c r="J88" s="1504">
        <f t="shared" si="36"/>
        <v>1465963.42</v>
      </c>
      <c r="K88" s="945"/>
      <c r="L88" s="945"/>
      <c r="M88" s="1429"/>
      <c r="N88" s="1134" t="s">
        <v>1139</v>
      </c>
      <c r="O88" s="78" t="s">
        <v>1302</v>
      </c>
      <c r="P88" s="557"/>
      <c r="Q88" s="557"/>
      <c r="R88" s="557"/>
    </row>
    <row r="89" spans="1:18" s="1518" customFormat="1" ht="38.4" customHeight="1">
      <c r="A89" s="1527">
        <f t="shared" si="34"/>
        <v>11.071999999999981</v>
      </c>
      <c r="B89" s="1570" t="s">
        <v>1396</v>
      </c>
      <c r="C89" s="820"/>
      <c r="D89" s="724">
        <v>230033.65</v>
      </c>
      <c r="E89" s="724">
        <v>236739.44</v>
      </c>
      <c r="F89" s="1504">
        <f t="shared" si="35"/>
        <v>233386.54499999998</v>
      </c>
      <c r="G89" s="945"/>
      <c r="H89" s="945"/>
      <c r="I89" s="1429"/>
      <c r="J89" s="1504">
        <f t="shared" si="36"/>
        <v>236739.44</v>
      </c>
      <c r="K89" s="945"/>
      <c r="L89" s="945"/>
      <c r="M89" s="1429"/>
      <c r="N89" s="1134" t="s">
        <v>1139</v>
      </c>
      <c r="O89" s="78" t="s">
        <v>1302</v>
      </c>
      <c r="P89" s="557"/>
      <c r="Q89" s="557"/>
      <c r="R89" s="557"/>
    </row>
    <row r="90" spans="1:18">
      <c r="A90" s="1527">
        <f t="shared" si="34"/>
        <v>11.072999999999981</v>
      </c>
      <c r="B90" s="1570" t="s">
        <v>1397</v>
      </c>
      <c r="C90" s="557"/>
      <c r="D90" s="724">
        <v>2526536.84</v>
      </c>
      <c r="E90" s="724">
        <v>3856254.11</v>
      </c>
      <c r="F90" s="1504">
        <f t="shared" ref="F90:F105" si="37">+SUM(D90:E90)/2</f>
        <v>3191395.4749999996</v>
      </c>
      <c r="G90" s="945"/>
      <c r="H90" s="945"/>
      <c r="I90" s="1429"/>
      <c r="J90" s="1504">
        <f t="shared" ref="J90:J105" si="38">+E90</f>
        <v>3856254.11</v>
      </c>
      <c r="K90" s="945"/>
      <c r="L90" s="945"/>
      <c r="M90" s="1429"/>
      <c r="N90" s="1421" t="s">
        <v>196</v>
      </c>
    </row>
    <row r="91" spans="1:18">
      <c r="A91" s="1527">
        <f t="shared" si="34"/>
        <v>11.07399999999998</v>
      </c>
      <c r="B91" s="1570" t="s">
        <v>1398</v>
      </c>
      <c r="C91" s="557"/>
      <c r="D91" s="724">
        <v>408012.15</v>
      </c>
      <c r="E91" s="724">
        <v>622749.09</v>
      </c>
      <c r="F91" s="1504">
        <f t="shared" si="37"/>
        <v>515380.62</v>
      </c>
      <c r="G91" s="945"/>
      <c r="H91" s="945"/>
      <c r="I91" s="1429"/>
      <c r="J91" s="1504">
        <f t="shared" si="38"/>
        <v>622749.09</v>
      </c>
      <c r="K91" s="945"/>
      <c r="L91" s="945"/>
      <c r="M91" s="1429"/>
      <c r="N91" s="1421" t="s">
        <v>196</v>
      </c>
    </row>
    <row r="92" spans="1:18">
      <c r="A92" s="1527">
        <f t="shared" si="34"/>
        <v>11.07499999999998</v>
      </c>
      <c r="B92" s="1570" t="s">
        <v>1399</v>
      </c>
      <c r="C92" s="557"/>
      <c r="D92" s="724">
        <v>-62973.850000000013</v>
      </c>
      <c r="E92" s="724">
        <v>79770.19</v>
      </c>
      <c r="F92" s="1504">
        <f t="shared" si="37"/>
        <v>8398.1699999999946</v>
      </c>
      <c r="G92" s="945"/>
      <c r="H92" s="945"/>
      <c r="I92" s="1429"/>
      <c r="J92" s="1504">
        <f t="shared" si="38"/>
        <v>79770.19</v>
      </c>
      <c r="K92" s="945"/>
      <c r="L92" s="945"/>
      <c r="M92" s="1429"/>
      <c r="N92" s="1421" t="s">
        <v>196</v>
      </c>
    </row>
    <row r="93" spans="1:18">
      <c r="A93" s="1527">
        <f t="shared" si="34"/>
        <v>11.075999999999979</v>
      </c>
      <c r="B93" s="1570" t="s">
        <v>1400</v>
      </c>
      <c r="C93" s="557"/>
      <c r="D93" s="724">
        <v>-10169.689999999999</v>
      </c>
      <c r="E93" s="724">
        <v>12882.15</v>
      </c>
      <c r="F93" s="1504">
        <f t="shared" si="37"/>
        <v>1356.2300000000005</v>
      </c>
      <c r="G93" s="945"/>
      <c r="H93" s="945"/>
      <c r="I93" s="1429"/>
      <c r="J93" s="1504">
        <f t="shared" si="38"/>
        <v>12882.15</v>
      </c>
      <c r="K93" s="945"/>
      <c r="L93" s="945"/>
      <c r="M93" s="1429"/>
      <c r="N93" s="1421" t="s">
        <v>196</v>
      </c>
    </row>
    <row r="94" spans="1:18">
      <c r="A94" s="1527">
        <f t="shared" si="34"/>
        <v>11.076999999999979</v>
      </c>
      <c r="B94" s="1570" t="s">
        <v>1401</v>
      </c>
      <c r="C94" s="557"/>
      <c r="D94" s="724">
        <v>0</v>
      </c>
      <c r="E94" s="724">
        <v>0</v>
      </c>
      <c r="F94" s="1504">
        <f t="shared" si="37"/>
        <v>0</v>
      </c>
      <c r="G94" s="945"/>
      <c r="H94" s="945"/>
      <c r="I94" s="1429"/>
      <c r="J94" s="1504">
        <f t="shared" si="38"/>
        <v>0</v>
      </c>
      <c r="K94" s="945"/>
      <c r="L94" s="945"/>
      <c r="M94" s="1429"/>
      <c r="N94" s="1421" t="s">
        <v>196</v>
      </c>
    </row>
    <row r="95" spans="1:18">
      <c r="A95" s="1527">
        <f t="shared" si="34"/>
        <v>11.077999999999978</v>
      </c>
      <c r="B95" s="1570" t="s">
        <v>1402</v>
      </c>
      <c r="C95" s="557"/>
      <c r="D95" s="724">
        <v>0</v>
      </c>
      <c r="E95" s="724">
        <v>0</v>
      </c>
      <c r="F95" s="1504">
        <f t="shared" si="37"/>
        <v>0</v>
      </c>
      <c r="G95" s="945"/>
      <c r="H95" s="945"/>
      <c r="I95" s="1429"/>
      <c r="J95" s="1504">
        <f t="shared" si="38"/>
        <v>0</v>
      </c>
      <c r="K95" s="945"/>
      <c r="L95" s="945"/>
      <c r="M95" s="1429"/>
      <c r="N95" s="1421" t="s">
        <v>196</v>
      </c>
    </row>
    <row r="96" spans="1:18">
      <c r="A96" s="1527">
        <f t="shared" si="34"/>
        <v>11.078999999999978</v>
      </c>
      <c r="B96" s="1570" t="s">
        <v>1403</v>
      </c>
      <c r="C96" s="557"/>
      <c r="D96" s="724">
        <v>95685.069999999992</v>
      </c>
      <c r="E96" s="724">
        <v>90467.64</v>
      </c>
      <c r="F96" s="1504">
        <f t="shared" si="37"/>
        <v>93076.354999999996</v>
      </c>
      <c r="G96" s="945"/>
      <c r="H96" s="945"/>
      <c r="I96" s="1429"/>
      <c r="J96" s="1504">
        <f t="shared" si="38"/>
        <v>90467.64</v>
      </c>
      <c r="K96" s="945"/>
      <c r="L96" s="945"/>
      <c r="M96" s="1429"/>
      <c r="N96" s="1421" t="s">
        <v>196</v>
      </c>
    </row>
    <row r="97" spans="1:18">
      <c r="A97" s="1527">
        <f t="shared" si="34"/>
        <v>11.079999999999977</v>
      </c>
      <c r="B97" s="1570" t="s">
        <v>1404</v>
      </c>
      <c r="C97" s="557"/>
      <c r="D97" s="724">
        <v>15452.26</v>
      </c>
      <c r="E97" s="724">
        <v>14609.7</v>
      </c>
      <c r="F97" s="1504">
        <f t="shared" si="37"/>
        <v>15030.98</v>
      </c>
      <c r="G97" s="945"/>
      <c r="H97" s="945"/>
      <c r="I97" s="1429"/>
      <c r="J97" s="1504">
        <f t="shared" si="38"/>
        <v>14609.7</v>
      </c>
      <c r="K97" s="945"/>
      <c r="L97" s="945"/>
      <c r="M97" s="1429"/>
      <c r="N97" s="1421" t="s">
        <v>196</v>
      </c>
    </row>
    <row r="98" spans="1:18">
      <c r="A98" s="1527">
        <f t="shared" si="34"/>
        <v>11.080999999999976</v>
      </c>
      <c r="B98" s="1433" t="s">
        <v>1448</v>
      </c>
      <c r="C98" s="557"/>
      <c r="D98" s="724">
        <v>0</v>
      </c>
      <c r="E98" s="724">
        <v>-0.16</v>
      </c>
      <c r="F98" s="1504">
        <f t="shared" si="37"/>
        <v>-0.08</v>
      </c>
      <c r="G98" s="945"/>
      <c r="H98" s="945"/>
      <c r="I98" s="1429"/>
      <c r="J98" s="1504">
        <f t="shared" si="38"/>
        <v>-0.16</v>
      </c>
      <c r="K98" s="945"/>
      <c r="L98" s="945"/>
      <c r="M98" s="1429"/>
      <c r="N98" s="1421" t="s">
        <v>204</v>
      </c>
    </row>
    <row r="99" spans="1:18">
      <c r="A99" s="1527">
        <f t="shared" si="34"/>
        <v>11.081999999999976</v>
      </c>
      <c r="B99" s="557" t="s">
        <v>1449</v>
      </c>
      <c r="C99" s="557"/>
      <c r="D99" s="724">
        <v>0</v>
      </c>
      <c r="E99" s="724">
        <v>-0.03</v>
      </c>
      <c r="F99" s="1504">
        <f t="shared" si="37"/>
        <v>-1.4999999999999999E-2</v>
      </c>
      <c r="G99" s="945"/>
      <c r="H99" s="945"/>
      <c r="I99" s="1429"/>
      <c r="J99" s="1504">
        <f t="shared" si="38"/>
        <v>-0.03</v>
      </c>
      <c r="K99" s="945"/>
      <c r="L99" s="945"/>
      <c r="M99" s="1429"/>
      <c r="N99" s="1421" t="s">
        <v>204</v>
      </c>
    </row>
    <row r="100" spans="1:18" s="1518" customFormat="1" ht="13.95" customHeight="1">
      <c r="A100" s="1527">
        <f t="shared" si="34"/>
        <v>11.082999999999975</v>
      </c>
      <c r="B100" s="1570" t="s">
        <v>1405</v>
      </c>
      <c r="C100" s="820"/>
      <c r="D100" s="724">
        <v>517889.93</v>
      </c>
      <c r="E100" s="724">
        <v>449074.47000000003</v>
      </c>
      <c r="F100" s="1504"/>
      <c r="G100" s="945"/>
      <c r="H100" s="945"/>
      <c r="I100" s="1429">
        <f t="shared" ref="I100:I101" si="39">+SUM($D100:$E100)/2</f>
        <v>483482.2</v>
      </c>
      <c r="J100" s="1504"/>
      <c r="K100" s="945"/>
      <c r="L100" s="945"/>
      <c r="M100" s="1429">
        <f>+E100</f>
        <v>449074.47000000003</v>
      </c>
      <c r="N100" s="1134" t="s">
        <v>196</v>
      </c>
      <c r="O100" s="78" t="s">
        <v>1302</v>
      </c>
      <c r="P100" s="557"/>
      <c r="Q100" s="557"/>
      <c r="R100" s="557"/>
    </row>
    <row r="101" spans="1:18" s="1518" customFormat="1" ht="13.95" customHeight="1">
      <c r="A101" s="1527">
        <f t="shared" si="34"/>
        <v>11.083999999999975</v>
      </c>
      <c r="B101" s="1570" t="s">
        <v>1406</v>
      </c>
      <c r="C101" s="820"/>
      <c r="D101" s="724">
        <v>83634.39</v>
      </c>
      <c r="E101" s="724">
        <v>72521.320000000007</v>
      </c>
      <c r="F101" s="1504"/>
      <c r="G101" s="945"/>
      <c r="H101" s="945"/>
      <c r="I101" s="1429">
        <f t="shared" si="39"/>
        <v>78077.85500000001</v>
      </c>
      <c r="J101" s="1504"/>
      <c r="K101" s="945"/>
      <c r="L101" s="945"/>
      <c r="M101" s="1429">
        <f>+E101</f>
        <v>72521.320000000007</v>
      </c>
      <c r="N101" s="1134" t="s">
        <v>196</v>
      </c>
      <c r="O101" s="78" t="s">
        <v>1302</v>
      </c>
      <c r="P101" s="557"/>
      <c r="Q101" s="557"/>
      <c r="R101" s="557"/>
    </row>
    <row r="102" spans="1:18">
      <c r="A102" s="1527">
        <f t="shared" si="34"/>
        <v>11.084999999999974</v>
      </c>
      <c r="B102" s="1570" t="s">
        <v>1407</v>
      </c>
      <c r="C102" s="557"/>
      <c r="D102" s="724">
        <v>-133543.97999999998</v>
      </c>
      <c r="E102" s="724">
        <v>176998.66</v>
      </c>
      <c r="F102" s="1504">
        <f t="shared" si="37"/>
        <v>21727.340000000011</v>
      </c>
      <c r="G102" s="945"/>
      <c r="H102" s="945"/>
      <c r="I102" s="1429"/>
      <c r="J102" s="1504">
        <f t="shared" si="38"/>
        <v>176998.66</v>
      </c>
      <c r="K102" s="945"/>
      <c r="L102" s="945"/>
      <c r="M102" s="1429"/>
      <c r="N102" s="1421" t="s">
        <v>1037</v>
      </c>
    </row>
    <row r="103" spans="1:18">
      <c r="A103" s="1527">
        <f t="shared" si="34"/>
        <v>11.085999999999974</v>
      </c>
      <c r="B103" s="1570" t="s">
        <v>1408</v>
      </c>
      <c r="C103" s="557"/>
      <c r="D103" s="724">
        <v>-21566.109999999986</v>
      </c>
      <c r="E103" s="724">
        <v>28583.63</v>
      </c>
      <c r="F103" s="1504">
        <f t="shared" si="37"/>
        <v>3508.7600000000075</v>
      </c>
      <c r="G103" s="945"/>
      <c r="H103" s="945"/>
      <c r="I103" s="1429"/>
      <c r="J103" s="1504">
        <f t="shared" si="38"/>
        <v>28583.63</v>
      </c>
      <c r="K103" s="945"/>
      <c r="L103" s="945"/>
      <c r="M103" s="1429"/>
      <c r="N103" s="1421" t="s">
        <v>1037</v>
      </c>
    </row>
    <row r="104" spans="1:18">
      <c r="A104" s="1527">
        <f t="shared" si="34"/>
        <v>11.086999999999973</v>
      </c>
      <c r="B104" s="1570" t="s">
        <v>1409</v>
      </c>
      <c r="C104" s="557"/>
      <c r="D104" s="724">
        <v>-179032.33</v>
      </c>
      <c r="E104" s="724">
        <v>0</v>
      </c>
      <c r="F104" s="1504">
        <f t="shared" si="37"/>
        <v>-89516.164999999994</v>
      </c>
      <c r="G104" s="945"/>
      <c r="H104" s="945"/>
      <c r="I104" s="1429"/>
      <c r="J104" s="1504">
        <f t="shared" si="38"/>
        <v>0</v>
      </c>
      <c r="K104" s="945"/>
      <c r="L104" s="945"/>
      <c r="M104" s="1429"/>
      <c r="N104" s="1421" t="s">
        <v>197</v>
      </c>
    </row>
    <row r="105" spans="1:18">
      <c r="A105" s="1527">
        <f t="shared" si="34"/>
        <v>11.087999999999973</v>
      </c>
      <c r="B105" s="1570" t="s">
        <v>1410</v>
      </c>
      <c r="C105" s="557"/>
      <c r="D105" s="724">
        <v>-28912.06</v>
      </c>
      <c r="E105" s="724">
        <v>-0.01</v>
      </c>
      <c r="F105" s="1504">
        <f t="shared" si="37"/>
        <v>-14456.035</v>
      </c>
      <c r="G105" s="945"/>
      <c r="H105" s="945"/>
      <c r="I105" s="1429"/>
      <c r="J105" s="1504">
        <f t="shared" si="38"/>
        <v>-0.01</v>
      </c>
      <c r="K105" s="945"/>
      <c r="L105" s="945"/>
      <c r="M105" s="1429"/>
      <c r="N105" s="1134" t="s">
        <v>197</v>
      </c>
    </row>
    <row r="106" spans="1:18">
      <c r="A106" s="1527">
        <f t="shared" si="34"/>
        <v>11.088999999999972</v>
      </c>
      <c r="B106" s="1570" t="s">
        <v>1411</v>
      </c>
      <c r="C106" s="557"/>
      <c r="D106" s="724">
        <v>0</v>
      </c>
      <c r="E106" s="724">
        <v>0</v>
      </c>
      <c r="F106" s="1504"/>
      <c r="G106" s="945"/>
      <c r="H106" s="945"/>
      <c r="I106" s="1429">
        <f t="shared" ref="I106:I109" si="40">+SUM($D106:$E106)/2</f>
        <v>0</v>
      </c>
      <c r="J106" s="1504"/>
      <c r="K106" s="945"/>
      <c r="L106" s="945"/>
      <c r="M106" s="1429">
        <f t="shared" ref="M106:M109" si="41">+E106</f>
        <v>0</v>
      </c>
      <c r="N106" s="1134" t="s">
        <v>1038</v>
      </c>
    </row>
    <row r="107" spans="1:18">
      <c r="A107" s="1527">
        <f t="shared" si="34"/>
        <v>11.089999999999971</v>
      </c>
      <c r="B107" s="1570" t="s">
        <v>1412</v>
      </c>
      <c r="C107" s="557"/>
      <c r="D107" s="724">
        <v>0.01</v>
      </c>
      <c r="E107" s="724">
        <v>0.01</v>
      </c>
      <c r="F107" s="1504"/>
      <c r="G107" s="945"/>
      <c r="H107" s="945"/>
      <c r="I107" s="1429">
        <f t="shared" si="40"/>
        <v>0.01</v>
      </c>
      <c r="J107" s="1504"/>
      <c r="K107" s="945"/>
      <c r="L107" s="945"/>
      <c r="M107" s="1429">
        <f t="shared" si="41"/>
        <v>0.01</v>
      </c>
      <c r="N107" s="1499" t="s">
        <v>1038</v>
      </c>
    </row>
    <row r="108" spans="1:18">
      <c r="A108" s="1527">
        <f t="shared" si="34"/>
        <v>11.090999999999971</v>
      </c>
      <c r="B108" s="1570" t="s">
        <v>1413</v>
      </c>
      <c r="C108" s="557"/>
      <c r="D108" s="724">
        <v>0</v>
      </c>
      <c r="E108" s="724">
        <v>-27176.27</v>
      </c>
      <c r="F108" s="1504"/>
      <c r="G108" s="945"/>
      <c r="H108" s="945"/>
      <c r="I108" s="1429">
        <f t="shared" si="40"/>
        <v>-13588.135</v>
      </c>
      <c r="J108" s="1504"/>
      <c r="K108" s="945"/>
      <c r="L108" s="945"/>
      <c r="M108" s="1429">
        <f t="shared" si="41"/>
        <v>-27176.27</v>
      </c>
      <c r="N108" s="1499" t="s">
        <v>295</v>
      </c>
    </row>
    <row r="109" spans="1:18">
      <c r="A109" s="1527">
        <f t="shared" si="34"/>
        <v>11.09199999999997</v>
      </c>
      <c r="B109" s="1570" t="s">
        <v>1414</v>
      </c>
      <c r="C109" s="557"/>
      <c r="D109" s="724">
        <v>0</v>
      </c>
      <c r="E109" s="724">
        <v>-4388.72</v>
      </c>
      <c r="F109" s="1504"/>
      <c r="G109" s="945"/>
      <c r="H109" s="945"/>
      <c r="I109" s="1429">
        <f t="shared" si="40"/>
        <v>-2194.36</v>
      </c>
      <c r="J109" s="1504"/>
      <c r="K109" s="945"/>
      <c r="L109" s="945"/>
      <c r="M109" s="1429">
        <f t="shared" si="41"/>
        <v>-4388.72</v>
      </c>
      <c r="N109" s="1499" t="s">
        <v>295</v>
      </c>
    </row>
    <row r="110" spans="1:18" s="1518" customFormat="1" ht="13.95" customHeight="1">
      <c r="A110" s="1527">
        <f>ROUND(+A109+0.001,3)</f>
        <v>11.093</v>
      </c>
      <c r="B110" s="1570" t="s">
        <v>1415</v>
      </c>
      <c r="C110" s="820"/>
      <c r="D110" s="724">
        <v>0</v>
      </c>
      <c r="E110" s="724">
        <v>0</v>
      </c>
      <c r="F110" s="1504">
        <f t="shared" ref="F110:F113" si="42">+SUM(D110:E110)/2</f>
        <v>0</v>
      </c>
      <c r="G110" s="945"/>
      <c r="H110" s="945"/>
      <c r="I110" s="1429"/>
      <c r="J110" s="1504">
        <f t="shared" ref="J110:J113" si="43">+E110</f>
        <v>0</v>
      </c>
      <c r="K110" s="945"/>
      <c r="L110" s="945"/>
      <c r="M110" s="1429"/>
      <c r="N110" s="1134" t="s">
        <v>1140</v>
      </c>
      <c r="O110" s="78" t="s">
        <v>1302</v>
      </c>
      <c r="P110" s="557"/>
      <c r="Q110" s="557"/>
      <c r="R110" s="557" t="s">
        <v>1317</v>
      </c>
    </row>
    <row r="111" spans="1:18" s="1518" customFormat="1" ht="13.95" customHeight="1">
      <c r="A111" s="1527">
        <f t="shared" si="34"/>
        <v>11.093999999999999</v>
      </c>
      <c r="B111" s="1570" t="s">
        <v>1416</v>
      </c>
      <c r="C111" s="820"/>
      <c r="D111" s="724">
        <v>0</v>
      </c>
      <c r="E111" s="724">
        <v>0</v>
      </c>
      <c r="F111" s="1504">
        <f t="shared" si="42"/>
        <v>0</v>
      </c>
      <c r="G111" s="945"/>
      <c r="H111" s="945"/>
      <c r="I111" s="1429"/>
      <c r="J111" s="1504">
        <f t="shared" si="43"/>
        <v>0</v>
      </c>
      <c r="K111" s="945"/>
      <c r="L111" s="945"/>
      <c r="M111" s="1429"/>
      <c r="N111" s="1134" t="s">
        <v>1140</v>
      </c>
      <c r="O111" s="78" t="s">
        <v>1302</v>
      </c>
      <c r="P111" s="557"/>
      <c r="Q111" s="557"/>
      <c r="R111" s="557" t="s">
        <v>1317</v>
      </c>
    </row>
    <row r="112" spans="1:18" s="1518" customFormat="1" ht="13.95" customHeight="1">
      <c r="A112" s="1527">
        <f t="shared" si="34"/>
        <v>11.094999999999999</v>
      </c>
      <c r="B112" s="1570" t="s">
        <v>1417</v>
      </c>
      <c r="C112" s="820"/>
      <c r="D112" s="724">
        <v>74044525.790000007</v>
      </c>
      <c r="E112" s="724">
        <v>71548491.560000002</v>
      </c>
      <c r="F112" s="1504">
        <f t="shared" si="42"/>
        <v>72796508.675000012</v>
      </c>
      <c r="G112" s="945"/>
      <c r="H112" s="945"/>
      <c r="I112" s="1429"/>
      <c r="J112" s="1504">
        <f t="shared" si="43"/>
        <v>71548491.560000002</v>
      </c>
      <c r="K112" s="945"/>
      <c r="L112" s="945"/>
      <c r="M112" s="1429"/>
      <c r="N112" s="1134" t="s">
        <v>1141</v>
      </c>
      <c r="O112" s="78" t="s">
        <v>1302</v>
      </c>
      <c r="P112" s="557"/>
      <c r="Q112" s="557"/>
      <c r="R112" s="557" t="s">
        <v>1317</v>
      </c>
    </row>
    <row r="113" spans="1:18" s="1518" customFormat="1" ht="13.95" customHeight="1">
      <c r="A113" s="1527">
        <f t="shared" si="34"/>
        <v>11.095999999999998</v>
      </c>
      <c r="B113" s="1570" t="s">
        <v>1418</v>
      </c>
      <c r="C113" s="820"/>
      <c r="D113" s="724">
        <v>11957985.949999999</v>
      </c>
      <c r="E113" s="724">
        <v>11554883.300000001</v>
      </c>
      <c r="F113" s="1504">
        <f t="shared" si="42"/>
        <v>11756434.625</v>
      </c>
      <c r="G113" s="945"/>
      <c r="H113" s="945"/>
      <c r="I113" s="1429"/>
      <c r="J113" s="1504">
        <f t="shared" si="43"/>
        <v>11554883.300000001</v>
      </c>
      <c r="K113" s="945"/>
      <c r="L113" s="945"/>
      <c r="M113" s="1429"/>
      <c r="N113" s="1134" t="s">
        <v>1141</v>
      </c>
      <c r="O113" s="78" t="s">
        <v>1302</v>
      </c>
      <c r="P113" s="557"/>
      <c r="Q113" s="557"/>
      <c r="R113" s="557" t="s">
        <v>1317</v>
      </c>
    </row>
    <row r="114" spans="1:18" ht="13.95" customHeight="1">
      <c r="A114" s="1527">
        <f t="shared" si="34"/>
        <v>11.096999999999998</v>
      </c>
      <c r="B114" s="1570" t="s">
        <v>1419</v>
      </c>
      <c r="C114" s="557"/>
      <c r="D114" s="724">
        <v>20205828.670000002</v>
      </c>
      <c r="E114" s="724">
        <v>12706071.17</v>
      </c>
      <c r="F114" s="1504">
        <f t="shared" ref="F114:F117" si="44">+SUM(D114:E114)/2</f>
        <v>16455949.920000002</v>
      </c>
      <c r="G114" s="945"/>
      <c r="H114" s="945"/>
      <c r="I114" s="1429"/>
      <c r="J114" s="1504">
        <f t="shared" ref="J114:J126" si="45">+E114</f>
        <v>12706071.17</v>
      </c>
      <c r="K114" s="945"/>
      <c r="L114" s="945"/>
      <c r="M114" s="1429"/>
      <c r="N114" s="1499" t="s">
        <v>1039</v>
      </c>
    </row>
    <row r="115" spans="1:18">
      <c r="A115" s="1527">
        <f t="shared" si="34"/>
        <v>11.097999999999997</v>
      </c>
      <c r="B115" s="1570" t="s">
        <v>1420</v>
      </c>
      <c r="C115" s="820"/>
      <c r="D115" s="724">
        <v>3263087.3</v>
      </c>
      <c r="E115" s="724">
        <v>1842104.29</v>
      </c>
      <c r="F115" s="1504">
        <f t="shared" si="44"/>
        <v>2552595.7949999999</v>
      </c>
      <c r="G115" s="945"/>
      <c r="H115" s="945"/>
      <c r="I115" s="1429"/>
      <c r="J115" s="1504">
        <f t="shared" si="45"/>
        <v>1842104.29</v>
      </c>
      <c r="K115" s="945"/>
      <c r="L115" s="945"/>
      <c r="M115" s="1429"/>
      <c r="N115" s="1134" t="s">
        <v>1039</v>
      </c>
    </row>
    <row r="116" spans="1:18">
      <c r="A116" s="1527">
        <f t="shared" si="34"/>
        <v>11.098999999999997</v>
      </c>
      <c r="B116" s="1570" t="s">
        <v>1421</v>
      </c>
      <c r="C116" s="820"/>
      <c r="D116" s="724">
        <v>65390187.580000006</v>
      </c>
      <c r="E116" s="724">
        <v>66999192.25</v>
      </c>
      <c r="F116" s="1504">
        <f t="shared" si="44"/>
        <v>66194689.915000007</v>
      </c>
      <c r="G116" s="945"/>
      <c r="H116" s="945"/>
      <c r="I116" s="1429"/>
      <c r="J116" s="1504">
        <f t="shared" si="45"/>
        <v>66999192.25</v>
      </c>
      <c r="K116" s="945"/>
      <c r="L116" s="945"/>
      <c r="M116" s="1429"/>
      <c r="N116" s="1134" t="s">
        <v>205</v>
      </c>
    </row>
    <row r="117" spans="1:18">
      <c r="A117" s="1527">
        <f t="shared" si="34"/>
        <v>11.099999999999996</v>
      </c>
      <c r="B117" s="1570" t="s">
        <v>1422</v>
      </c>
      <c r="C117" s="820"/>
      <c r="D117" s="724">
        <v>195506.66999999998</v>
      </c>
      <c r="E117" s="724">
        <v>10819770.83</v>
      </c>
      <c r="F117" s="1504">
        <f t="shared" si="44"/>
        <v>5507638.75</v>
      </c>
      <c r="G117" s="945"/>
      <c r="H117" s="945"/>
      <c r="I117" s="1429"/>
      <c r="J117" s="1504">
        <f t="shared" si="45"/>
        <v>10819770.83</v>
      </c>
      <c r="K117" s="945"/>
      <c r="L117" s="945"/>
      <c r="M117" s="1429"/>
      <c r="N117" s="1134" t="s">
        <v>205</v>
      </c>
    </row>
    <row r="118" spans="1:18" s="1518" customFormat="1" ht="13.95" customHeight="1">
      <c r="A118" s="1527">
        <f t="shared" si="34"/>
        <v>11.100999999999996</v>
      </c>
      <c r="B118" s="1572" t="s">
        <v>1423</v>
      </c>
      <c r="C118" s="820"/>
      <c r="D118" s="724">
        <v>1086383.01</v>
      </c>
      <c r="E118" s="724">
        <v>1037083.01</v>
      </c>
      <c r="F118" s="1504"/>
      <c r="G118" s="945"/>
      <c r="H118" s="945">
        <f t="shared" ref="H118:H125" si="46">+SUM($D118:$E118)/2</f>
        <v>1061733.01</v>
      </c>
      <c r="I118" s="1429"/>
      <c r="J118" s="1504"/>
      <c r="K118" s="945"/>
      <c r="L118" s="945">
        <f t="shared" ref="L118:L125" si="47">+E118</f>
        <v>1037083.01</v>
      </c>
      <c r="M118" s="1429"/>
      <c r="N118" s="1134" t="s">
        <v>205</v>
      </c>
      <c r="O118" s="78" t="s">
        <v>1302</v>
      </c>
      <c r="P118" s="557"/>
      <c r="Q118" s="557"/>
      <c r="R118" s="557"/>
    </row>
    <row r="119" spans="1:18" s="1518" customFormat="1" ht="13.95" customHeight="1">
      <c r="A119" s="1527">
        <f t="shared" si="34"/>
        <v>11.101999999999995</v>
      </c>
      <c r="B119" s="1572" t="s">
        <v>1424</v>
      </c>
      <c r="C119" s="820"/>
      <c r="D119" s="724">
        <v>238687.98</v>
      </c>
      <c r="E119" s="724">
        <v>227855.98</v>
      </c>
      <c r="F119" s="1504"/>
      <c r="G119" s="945"/>
      <c r="H119" s="945">
        <f t="shared" si="46"/>
        <v>233271.98</v>
      </c>
      <c r="I119" s="1429"/>
      <c r="J119" s="1504"/>
      <c r="K119" s="945"/>
      <c r="L119" s="945">
        <f t="shared" si="47"/>
        <v>227855.98</v>
      </c>
      <c r="M119" s="1429"/>
      <c r="N119" s="1134" t="s">
        <v>205</v>
      </c>
      <c r="O119" s="78" t="s">
        <v>1302</v>
      </c>
      <c r="P119" s="557"/>
      <c r="Q119" s="557"/>
      <c r="R119" s="557"/>
    </row>
    <row r="120" spans="1:18" s="1518" customFormat="1" ht="13.95" customHeight="1">
      <c r="A120" s="1527">
        <f t="shared" ref="A120:A121" si="48">+A119+0.001</f>
        <v>11.102999999999994</v>
      </c>
      <c r="B120" s="1570" t="s">
        <v>1425</v>
      </c>
      <c r="C120" s="820"/>
      <c r="D120" s="724">
        <v>77046825</v>
      </c>
      <c r="E120" s="724">
        <v>74211649</v>
      </c>
      <c r="F120" s="1504"/>
      <c r="G120" s="945"/>
      <c r="H120" s="945">
        <f t="shared" si="46"/>
        <v>75629237</v>
      </c>
      <c r="I120" s="1429"/>
      <c r="J120" s="1504"/>
      <c r="K120" s="945"/>
      <c r="L120" s="945">
        <f t="shared" si="47"/>
        <v>74211649</v>
      </c>
      <c r="M120" s="1429"/>
      <c r="N120" s="1134" t="s">
        <v>1307</v>
      </c>
      <c r="O120" s="557" t="s">
        <v>1304</v>
      </c>
      <c r="P120" s="557"/>
      <c r="Q120" s="557"/>
      <c r="R120" s="557"/>
    </row>
    <row r="121" spans="1:18" s="1518" customFormat="1" ht="13.95" customHeight="1">
      <c r="A121" s="1527">
        <f t="shared" si="48"/>
        <v>11.103999999999994</v>
      </c>
      <c r="B121" s="820" t="s">
        <v>1450</v>
      </c>
      <c r="C121" s="820"/>
      <c r="D121" s="724">
        <v>55051600</v>
      </c>
      <c r="E121" s="724">
        <v>62721241</v>
      </c>
      <c r="F121" s="1504"/>
      <c r="G121" s="945"/>
      <c r="H121" s="945">
        <f t="shared" si="46"/>
        <v>58886420.5</v>
      </c>
      <c r="I121" s="1429"/>
      <c r="J121" s="1504"/>
      <c r="K121" s="945"/>
      <c r="L121" s="945">
        <f t="shared" si="47"/>
        <v>62721241</v>
      </c>
      <c r="M121" s="1429"/>
      <c r="N121" s="1134" t="s">
        <v>1308</v>
      </c>
      <c r="O121" s="557" t="s">
        <v>1304</v>
      </c>
      <c r="P121" s="557"/>
      <c r="Q121" s="557"/>
      <c r="R121" s="557"/>
    </row>
    <row r="122" spans="1:18" ht="13.95" customHeight="1">
      <c r="A122" s="1527">
        <f t="shared" si="34"/>
        <v>11.104999999999993</v>
      </c>
      <c r="B122" s="1570" t="s">
        <v>1426</v>
      </c>
      <c r="C122" s="820"/>
      <c r="D122" s="724">
        <v>849386300</v>
      </c>
      <c r="E122" s="724">
        <v>1542127650.0799999</v>
      </c>
      <c r="F122" s="1584"/>
      <c r="G122" s="1585"/>
      <c r="H122" s="945">
        <f t="shared" si="46"/>
        <v>1195756975.04</v>
      </c>
      <c r="I122" s="1429"/>
      <c r="J122" s="1504"/>
      <c r="K122" s="945"/>
      <c r="L122" s="945">
        <f t="shared" si="47"/>
        <v>1542127650.0799999</v>
      </c>
      <c r="M122" s="1586"/>
      <c r="N122" s="1134" t="s">
        <v>1040</v>
      </c>
    </row>
    <row r="123" spans="1:18" s="1526" customFormat="1" ht="13.95" customHeight="1">
      <c r="A123" s="1527">
        <f t="shared" si="34"/>
        <v>11.105999999999993</v>
      </c>
      <c r="B123" s="1570" t="s">
        <v>1427</v>
      </c>
      <c r="C123" s="820"/>
      <c r="D123" s="724">
        <v>24136338</v>
      </c>
      <c r="E123" s="724">
        <v>19697275</v>
      </c>
      <c r="F123" s="1504"/>
      <c r="G123" s="945"/>
      <c r="H123" s="945">
        <f t="shared" si="46"/>
        <v>21916806.5</v>
      </c>
      <c r="I123" s="1429"/>
      <c r="J123" s="1504"/>
      <c r="K123" s="945"/>
      <c r="L123" s="945">
        <f t="shared" si="47"/>
        <v>19697275</v>
      </c>
      <c r="M123" s="1429"/>
      <c r="N123" s="1134" t="s">
        <v>1309</v>
      </c>
      <c r="O123" s="557" t="s">
        <v>1304</v>
      </c>
      <c r="P123" s="557"/>
      <c r="Q123" s="557"/>
      <c r="R123" s="557"/>
    </row>
    <row r="124" spans="1:18" ht="26.4">
      <c r="A124" s="1527">
        <f t="shared" si="34"/>
        <v>11.106999999999992</v>
      </c>
      <c r="B124" s="1570" t="s">
        <v>1428</v>
      </c>
      <c r="D124" s="724">
        <v>0</v>
      </c>
      <c r="E124" s="724">
        <v>0</v>
      </c>
      <c r="F124" s="1504"/>
      <c r="G124" s="945"/>
      <c r="H124" s="945">
        <f t="shared" si="46"/>
        <v>0</v>
      </c>
      <c r="I124" s="1429"/>
      <c r="J124" s="1504"/>
      <c r="K124" s="945"/>
      <c r="L124" s="945">
        <f t="shared" si="47"/>
        <v>0</v>
      </c>
      <c r="M124" s="1429"/>
      <c r="N124" s="1134" t="s">
        <v>1041</v>
      </c>
    </row>
    <row r="125" spans="1:18" ht="26.4">
      <c r="A125" s="1527">
        <f t="shared" si="34"/>
        <v>11.107999999999992</v>
      </c>
      <c r="B125" s="1570" t="s">
        <v>1429</v>
      </c>
      <c r="C125" s="820"/>
      <c r="D125" s="724">
        <v>-0.03</v>
      </c>
      <c r="E125" s="724">
        <v>0</v>
      </c>
      <c r="F125" s="1504"/>
      <c r="G125" s="945"/>
      <c r="H125" s="945">
        <f t="shared" si="46"/>
        <v>-1.4999999999999999E-2</v>
      </c>
      <c r="I125" s="1429"/>
      <c r="J125" s="1504"/>
      <c r="K125" s="945"/>
      <c r="L125" s="945">
        <f t="shared" si="47"/>
        <v>0</v>
      </c>
      <c r="M125" s="1429"/>
      <c r="N125" s="1134" t="s">
        <v>1042</v>
      </c>
    </row>
    <row r="126" spans="1:18">
      <c r="A126" s="1527">
        <f t="shared" si="34"/>
        <v>11.108999999999991</v>
      </c>
      <c r="B126" s="820" t="s">
        <v>1451</v>
      </c>
      <c r="C126" s="820"/>
      <c r="D126" s="724">
        <v>0</v>
      </c>
      <c r="E126" s="724">
        <v>0</v>
      </c>
      <c r="F126" s="1504">
        <f t="shared" ref="F126" si="49">+SUM(D126:E126)/2</f>
        <v>0</v>
      </c>
      <c r="G126" s="945"/>
      <c r="H126" s="945"/>
      <c r="I126" s="1429"/>
      <c r="J126" s="1504">
        <f t="shared" si="45"/>
        <v>0</v>
      </c>
      <c r="K126" s="945"/>
      <c r="L126" s="945"/>
      <c r="M126" s="1429"/>
      <c r="N126" s="1134" t="s">
        <v>206</v>
      </c>
    </row>
    <row r="127" spans="1:18">
      <c r="A127" s="1527">
        <f t="shared" si="34"/>
        <v>11.109999999999991</v>
      </c>
      <c r="B127" s="820" t="s">
        <v>1430</v>
      </c>
      <c r="C127" s="820"/>
      <c r="D127" s="724">
        <v>0</v>
      </c>
      <c r="E127" s="724">
        <v>312621</v>
      </c>
      <c r="F127" s="1504"/>
      <c r="G127" s="945"/>
      <c r="H127" s="945"/>
      <c r="I127" s="1429">
        <f t="shared" ref="I127" si="50">+SUM($D127:$E127)/2</f>
        <v>156310.5</v>
      </c>
      <c r="J127" s="1504"/>
      <c r="K127" s="945"/>
      <c r="L127" s="945"/>
      <c r="M127" s="1429">
        <f t="shared" ref="M127" si="51">+E127</f>
        <v>312621</v>
      </c>
      <c r="N127" s="1134" t="s">
        <v>1043</v>
      </c>
    </row>
    <row r="128" spans="1:18" ht="26.4">
      <c r="A128" s="1527">
        <f t="shared" si="34"/>
        <v>11.11099999999999</v>
      </c>
      <c r="B128" s="820" t="s">
        <v>1431</v>
      </c>
      <c r="C128" s="820"/>
      <c r="D128" s="724">
        <v>0</v>
      </c>
      <c r="E128" s="724">
        <v>0</v>
      </c>
      <c r="F128" s="1504"/>
      <c r="G128" s="945"/>
      <c r="H128" s="945">
        <f t="shared" ref="H128:H131" si="52">+SUM($D128:$E128)/2</f>
        <v>0</v>
      </c>
      <c r="I128" s="1429"/>
      <c r="J128" s="1504"/>
      <c r="K128" s="945"/>
      <c r="L128" s="945">
        <f t="shared" ref="L128:L131" si="53">+E128</f>
        <v>0</v>
      </c>
      <c r="M128" s="1429"/>
      <c r="N128" s="1134" t="s">
        <v>417</v>
      </c>
    </row>
    <row r="129" spans="1:18" ht="26.4">
      <c r="A129" s="1527">
        <f t="shared" si="34"/>
        <v>11.111999999999989</v>
      </c>
      <c r="B129" s="820" t="s">
        <v>1432</v>
      </c>
      <c r="C129" s="820"/>
      <c r="D129" s="724">
        <v>-47112256.500000007</v>
      </c>
      <c r="E129" s="724">
        <v>-90222014.849999994</v>
      </c>
      <c r="F129" s="1504"/>
      <c r="G129" s="945"/>
      <c r="H129" s="945">
        <f t="shared" si="52"/>
        <v>-68667135.674999997</v>
      </c>
      <c r="I129" s="1429"/>
      <c r="J129" s="1504"/>
      <c r="K129" s="945"/>
      <c r="L129" s="945">
        <f t="shared" si="53"/>
        <v>-90222014.849999994</v>
      </c>
      <c r="M129" s="1429"/>
      <c r="N129" s="1134" t="s">
        <v>1044</v>
      </c>
    </row>
    <row r="130" spans="1:18" ht="26.4">
      <c r="A130" s="1528">
        <f t="shared" si="34"/>
        <v>11.112999999999989</v>
      </c>
      <c r="B130" s="186" t="s">
        <v>1433</v>
      </c>
      <c r="C130" s="186"/>
      <c r="D130" s="724">
        <v>0</v>
      </c>
      <c r="E130" s="724">
        <v>0</v>
      </c>
      <c r="F130" s="1504"/>
      <c r="G130" s="945"/>
      <c r="H130" s="945">
        <f t="shared" si="52"/>
        <v>0</v>
      </c>
      <c r="I130" s="1429"/>
      <c r="J130" s="1504"/>
      <c r="K130" s="945"/>
      <c r="L130" s="945">
        <f t="shared" si="53"/>
        <v>0</v>
      </c>
      <c r="M130" s="1429"/>
      <c r="N130" s="1134" t="s">
        <v>1041</v>
      </c>
    </row>
    <row r="131" spans="1:18" ht="26.4">
      <c r="A131" s="1528">
        <f t="shared" si="34"/>
        <v>11.113999999999988</v>
      </c>
      <c r="B131" s="186" t="s">
        <v>1434</v>
      </c>
      <c r="C131" s="186"/>
      <c r="D131" s="724">
        <v>134618778.31</v>
      </c>
      <c r="E131" s="724">
        <v>257777219.72000003</v>
      </c>
      <c r="F131" s="1504"/>
      <c r="G131" s="945"/>
      <c r="H131" s="945">
        <f t="shared" si="52"/>
        <v>196197999.01500002</v>
      </c>
      <c r="I131" s="1429"/>
      <c r="J131" s="1504"/>
      <c r="K131" s="945"/>
      <c r="L131" s="945">
        <f t="shared" si="53"/>
        <v>257777219.72000003</v>
      </c>
      <c r="M131" s="1429"/>
      <c r="N131" s="1134" t="s">
        <v>1042</v>
      </c>
    </row>
    <row r="132" spans="1:18">
      <c r="A132" s="1527">
        <f t="shared" si="34"/>
        <v>11.114999999999988</v>
      </c>
      <c r="B132" s="820" t="s">
        <v>1435</v>
      </c>
      <c r="C132" s="820"/>
      <c r="D132" s="724">
        <v>0</v>
      </c>
      <c r="E132" s="724">
        <v>59467.950000000012</v>
      </c>
      <c r="F132" s="1504">
        <f t="shared" ref="F132:F133" si="54">+SUM(D132:E132)/2</f>
        <v>29733.975000000006</v>
      </c>
      <c r="G132" s="945"/>
      <c r="H132" s="945"/>
      <c r="I132" s="1429"/>
      <c r="J132" s="1504">
        <f>+E132</f>
        <v>59467.950000000012</v>
      </c>
      <c r="K132" s="945"/>
      <c r="L132" s="945"/>
      <c r="M132" s="1429"/>
      <c r="N132" s="1134" t="s">
        <v>206</v>
      </c>
    </row>
    <row r="133" spans="1:18">
      <c r="A133" s="1527">
        <f t="shared" si="34"/>
        <v>11.115999999999987</v>
      </c>
      <c r="B133" s="820" t="s">
        <v>1436</v>
      </c>
      <c r="C133" s="820"/>
      <c r="D133" s="724">
        <v>18192829</v>
      </c>
      <c r="E133" s="724">
        <v>14974424</v>
      </c>
      <c r="F133" s="1504">
        <f t="shared" si="54"/>
        <v>16583626.5</v>
      </c>
      <c r="G133" s="945"/>
      <c r="H133" s="945"/>
      <c r="I133" s="1429"/>
      <c r="J133" s="1504">
        <f>+E133</f>
        <v>14974424</v>
      </c>
      <c r="K133" s="945"/>
      <c r="L133" s="945"/>
      <c r="M133" s="1429"/>
      <c r="N133" s="1134" t="s">
        <v>0</v>
      </c>
    </row>
    <row r="134" spans="1:18">
      <c r="A134" s="1529">
        <f t="shared" si="34"/>
        <v>11.116999999999987</v>
      </c>
      <c r="B134" s="1434"/>
      <c r="C134" s="1434" t="s">
        <v>936</v>
      </c>
      <c r="D134" s="1587">
        <v>0</v>
      </c>
      <c r="E134" s="1587">
        <v>0</v>
      </c>
      <c r="F134" s="1588"/>
      <c r="G134" s="1589"/>
      <c r="H134" s="1589"/>
      <c r="I134" s="1590"/>
      <c r="J134" s="1588"/>
      <c r="K134" s="1589"/>
      <c r="L134" s="1589"/>
      <c r="M134" s="1590"/>
      <c r="N134" s="1435"/>
    </row>
    <row r="135" spans="1:18">
      <c r="A135" s="1254" t="s">
        <v>927</v>
      </c>
      <c r="B135" s="1434"/>
      <c r="C135" s="1434" t="s">
        <v>936</v>
      </c>
      <c r="D135" s="1587">
        <v>0</v>
      </c>
      <c r="E135" s="1587">
        <v>0</v>
      </c>
      <c r="F135" s="1588"/>
      <c r="G135" s="1589"/>
      <c r="H135" s="1589"/>
      <c r="I135" s="1590"/>
      <c r="J135" s="1588"/>
      <c r="K135" s="1589"/>
      <c r="L135" s="1589"/>
      <c r="M135" s="1590"/>
      <c r="N135" s="1435"/>
    </row>
    <row r="136" spans="1:18">
      <c r="A136" s="1471" t="str">
        <f>A17&amp;".XXX"</f>
        <v>11.XXX</v>
      </c>
      <c r="B136" s="1434"/>
      <c r="C136" s="1434" t="s">
        <v>936</v>
      </c>
      <c r="D136" s="1244">
        <v>0</v>
      </c>
      <c r="E136" s="1244">
        <v>0</v>
      </c>
      <c r="F136" s="1591"/>
      <c r="G136" s="725"/>
      <c r="H136" s="725"/>
      <c r="I136" s="1592"/>
      <c r="J136" s="1591"/>
      <c r="K136" s="725"/>
      <c r="L136" s="725"/>
      <c r="M136" s="1592"/>
      <c r="N136" s="1435"/>
    </row>
    <row r="137" spans="1:18" ht="13.8" thickBot="1">
      <c r="A137" s="768">
        <f>+A117+1</f>
        <v>12.099999999999996</v>
      </c>
      <c r="B137" s="1420"/>
      <c r="C137" s="1420"/>
      <c r="D137" s="945"/>
      <c r="E137" s="945"/>
      <c r="F137" s="1593"/>
      <c r="G137" s="1594"/>
      <c r="H137" s="1594"/>
      <c r="I137" s="1595"/>
      <c r="J137" s="1593"/>
      <c r="K137" s="1594"/>
      <c r="L137" s="1594"/>
      <c r="M137" s="1595"/>
      <c r="N137" s="1134"/>
    </row>
    <row r="138" spans="1:18" s="557" customFormat="1" ht="14.4" thickBot="1">
      <c r="A138" s="768">
        <f>+A137+1</f>
        <v>13.099999999999996</v>
      </c>
      <c r="B138" s="1436" t="s">
        <v>527</v>
      </c>
      <c r="C138" s="1437"/>
      <c r="D138" s="1438">
        <f>SUM(D18:D137)</f>
        <v>2954261212.2500005</v>
      </c>
      <c r="E138" s="1438">
        <f>SUM(E18:E137)</f>
        <v>3421434521.1499996</v>
      </c>
      <c r="F138" s="1596">
        <f>SUM(F18:F136)</f>
        <v>875780822.18500006</v>
      </c>
      <c r="G138" s="945">
        <f>SUM(G18:G136)</f>
        <v>0</v>
      </c>
      <c r="H138" s="945">
        <f>SUM(H18:H136)</f>
        <v>2406460045.7749996</v>
      </c>
      <c r="I138" s="1429">
        <f>SUM(I18:I136)</f>
        <v>-94393001.259999976</v>
      </c>
      <c r="J138" s="1596">
        <f>SUM(J18:J137)</f>
        <v>825207243.92000008</v>
      </c>
      <c r="K138" s="945">
        <f>SUM(K18:K137)</f>
        <v>0</v>
      </c>
      <c r="L138" s="945">
        <f>SUM(L18:L137)</f>
        <v>2696244561.5299997</v>
      </c>
      <c r="M138" s="1429">
        <f>SUM(M18:M137)</f>
        <v>-100017284.30000001</v>
      </c>
      <c r="N138" s="1134" t="str">
        <f>+"Sum by Column of Line "&amp;A17&amp;" Subparts"</f>
        <v>Sum by Column of Line 11 Subparts</v>
      </c>
    </row>
    <row r="139" spans="1:18" ht="15">
      <c r="A139" s="768">
        <f>+A138+1</f>
        <v>14.099999999999996</v>
      </c>
      <c r="B139" s="1992" t="s">
        <v>566</v>
      </c>
      <c r="C139" s="1992"/>
      <c r="D139" s="1439">
        <f t="shared" ref="D139:M139" si="55">+D116+D117</f>
        <v>65585694.250000007</v>
      </c>
      <c r="E139" s="1439">
        <f t="shared" si="55"/>
        <v>77818963.079999998</v>
      </c>
      <c r="F139" s="1439">
        <f t="shared" si="55"/>
        <v>71702328.665000007</v>
      </c>
      <c r="G139" s="1439">
        <f t="shared" si="55"/>
        <v>0</v>
      </c>
      <c r="H139" s="1439">
        <f t="shared" si="55"/>
        <v>0</v>
      </c>
      <c r="I139" s="1439">
        <f t="shared" si="55"/>
        <v>0</v>
      </c>
      <c r="J139" s="1439">
        <f t="shared" si="55"/>
        <v>77818963.079999998</v>
      </c>
      <c r="K139" s="1439">
        <f t="shared" si="55"/>
        <v>0</v>
      </c>
      <c r="L139" s="1439">
        <f t="shared" si="55"/>
        <v>0</v>
      </c>
      <c r="M139" s="1439">
        <f t="shared" si="55"/>
        <v>0</v>
      </c>
      <c r="N139" s="820"/>
    </row>
    <row r="140" spans="1:18" ht="13.8">
      <c r="A140" s="768">
        <f>ROUND(+A139+1,0)</f>
        <v>15</v>
      </c>
      <c r="B140" s="1440" t="s">
        <v>525</v>
      </c>
      <c r="C140" s="1441"/>
      <c r="D140" s="945">
        <f>+D138-D139</f>
        <v>2888675518.0000005</v>
      </c>
      <c r="E140" s="945">
        <f>+E138-E139</f>
        <v>3343615558.0699997</v>
      </c>
      <c r="F140" s="1596">
        <f>+F138-F139</f>
        <v>804078493.5200001</v>
      </c>
      <c r="G140" s="945">
        <f t="shared" ref="G140:M140" si="56">+G138-G139</f>
        <v>0</v>
      </c>
      <c r="H140" s="945">
        <f t="shared" si="56"/>
        <v>2406460045.7749996</v>
      </c>
      <c r="I140" s="1429">
        <f t="shared" si="56"/>
        <v>-94393001.259999976</v>
      </c>
      <c r="J140" s="1596">
        <f t="shared" si="56"/>
        <v>747388280.84000003</v>
      </c>
      <c r="K140" s="945">
        <f t="shared" si="56"/>
        <v>0</v>
      </c>
      <c r="L140" s="945">
        <f t="shared" si="56"/>
        <v>2696244561.5299997</v>
      </c>
      <c r="M140" s="1429">
        <f t="shared" si="56"/>
        <v>-100017284.30000001</v>
      </c>
      <c r="N140" s="820" t="str">
        <f>+"Ln "&amp;A138&amp;" Less Ln "&amp;A139</f>
        <v>Ln 13.1 Less Ln 14.1</v>
      </c>
    </row>
    <row r="141" spans="1:18" ht="13.8">
      <c r="A141" s="768">
        <f t="shared" ref="A141:A142" si="57">+A140+1</f>
        <v>16</v>
      </c>
      <c r="B141" s="1440"/>
      <c r="C141" s="1441"/>
      <c r="D141" s="945"/>
      <c r="E141" s="945"/>
      <c r="F141" s="945"/>
      <c r="G141" s="945"/>
      <c r="H141" s="945"/>
      <c r="I141" s="945"/>
      <c r="J141" s="945"/>
      <c r="K141" s="945"/>
      <c r="L141" s="945"/>
      <c r="M141" s="945"/>
      <c r="N141" s="820"/>
    </row>
    <row r="142" spans="1:18" s="1518" customFormat="1">
      <c r="A142" s="768">
        <f t="shared" si="57"/>
        <v>17</v>
      </c>
      <c r="B142" s="72" t="s">
        <v>1150</v>
      </c>
      <c r="C142" s="903"/>
      <c r="D142" s="1597"/>
      <c r="E142" s="1598"/>
      <c r="F142" s="1997">
        <f>F29</f>
        <v>15658410.57</v>
      </c>
      <c r="G142" s="1998"/>
      <c r="H142" s="1998"/>
      <c r="I142" s="1998"/>
      <c r="J142" s="1997">
        <f>J29</f>
        <v>15637186.870000001</v>
      </c>
      <c r="K142" s="1998"/>
      <c r="L142" s="1998"/>
      <c r="M142" s="1998"/>
      <c r="N142" s="1547" t="s">
        <v>49</v>
      </c>
      <c r="O142" s="78" t="s">
        <v>1302</v>
      </c>
      <c r="P142" s="557"/>
      <c r="Q142" s="557"/>
      <c r="R142" s="557"/>
    </row>
    <row r="143" spans="1:18" s="1518" customFormat="1" ht="13.95" customHeight="1">
      <c r="A143" s="769">
        <f>+A142+0.01</f>
        <v>17.010000000000002</v>
      </c>
      <c r="B143" s="820" t="s">
        <v>1452</v>
      </c>
      <c r="C143" s="1569"/>
      <c r="D143" s="724">
        <v>-11181.62</v>
      </c>
      <c r="E143" s="724">
        <v>-10456.85</v>
      </c>
      <c r="F143" s="1599">
        <f t="shared" ref="F143:F146" si="58">+SUM(D143:E143)/2</f>
        <v>-10819.235000000001</v>
      </c>
      <c r="G143" s="945"/>
      <c r="H143" s="945"/>
      <c r="I143" s="945"/>
      <c r="J143" s="1504">
        <f t="shared" ref="J143:J146" si="59">+E143</f>
        <v>-10456.85</v>
      </c>
      <c r="K143" s="945"/>
      <c r="L143" s="945"/>
      <c r="M143" s="945"/>
      <c r="N143" s="1550" t="s">
        <v>1142</v>
      </c>
      <c r="O143" s="78" t="s">
        <v>1302</v>
      </c>
      <c r="P143" s="557"/>
      <c r="Q143" s="557"/>
      <c r="R143" s="557"/>
    </row>
    <row r="144" spans="1:18" s="1518" customFormat="1" ht="13.95" customHeight="1">
      <c r="A144" s="769">
        <f>+A143+0.01</f>
        <v>17.020000000000003</v>
      </c>
      <c r="B144" s="820" t="s">
        <v>1453</v>
      </c>
      <c r="C144" s="1569"/>
      <c r="D144" s="724">
        <v>-1805.8100000000002</v>
      </c>
      <c r="E144" s="724">
        <v>-1688.56</v>
      </c>
      <c r="F144" s="1599">
        <f t="shared" si="58"/>
        <v>-1747.1849999999999</v>
      </c>
      <c r="G144" s="945"/>
      <c r="H144" s="945"/>
      <c r="I144" s="945"/>
      <c r="J144" s="1504">
        <f t="shared" si="59"/>
        <v>-1688.56</v>
      </c>
      <c r="K144" s="945"/>
      <c r="L144" s="945"/>
      <c r="M144" s="945"/>
      <c r="N144" s="1506" t="s">
        <v>1142</v>
      </c>
      <c r="O144" s="78" t="s">
        <v>1302</v>
      </c>
      <c r="P144" s="557"/>
      <c r="Q144" s="557"/>
      <c r="R144" s="557"/>
    </row>
    <row r="145" spans="1:18" s="1518" customFormat="1" ht="13.95" customHeight="1">
      <c r="A145" s="769">
        <f>+A144+0.01</f>
        <v>17.030000000000005</v>
      </c>
      <c r="B145" s="820" t="s">
        <v>1454</v>
      </c>
      <c r="C145" s="1569"/>
      <c r="D145" s="724">
        <v>-1630256.37</v>
      </c>
      <c r="E145" s="724">
        <v>-1607498.06</v>
      </c>
      <c r="F145" s="1599">
        <f t="shared" si="58"/>
        <v>-1618877.2150000001</v>
      </c>
      <c r="G145" s="945"/>
      <c r="H145" s="945"/>
      <c r="I145" s="945"/>
      <c r="J145" s="1504">
        <f t="shared" si="59"/>
        <v>-1607498.06</v>
      </c>
      <c r="K145" s="945"/>
      <c r="L145" s="945"/>
      <c r="M145" s="945"/>
      <c r="N145" s="1506" t="s">
        <v>1142</v>
      </c>
      <c r="O145" s="78" t="s">
        <v>1302</v>
      </c>
      <c r="P145" s="557"/>
      <c r="Q145" s="557"/>
      <c r="R145" s="557"/>
    </row>
    <row r="146" spans="1:18" s="1518" customFormat="1" ht="13.95" customHeight="1">
      <c r="A146" s="769">
        <f>+A145+0.01</f>
        <v>17.040000000000006</v>
      </c>
      <c r="B146" s="820" t="s">
        <v>1455</v>
      </c>
      <c r="C146" s="1569"/>
      <c r="D146" s="724">
        <v>-263281.91000000003</v>
      </c>
      <c r="E146" s="724">
        <v>-259605.81</v>
      </c>
      <c r="F146" s="1599">
        <f t="shared" si="58"/>
        <v>-261443.86000000002</v>
      </c>
      <c r="G146" s="945"/>
      <c r="H146" s="945"/>
      <c r="I146" s="1429"/>
      <c r="J146" s="945">
        <f t="shared" si="59"/>
        <v>-259605.81</v>
      </c>
      <c r="K146" s="945"/>
      <c r="L146" s="945"/>
      <c r="M146" s="945"/>
      <c r="N146" s="1506" t="s">
        <v>1142</v>
      </c>
      <c r="O146" s="78" t="s">
        <v>1302</v>
      </c>
      <c r="P146" s="557"/>
      <c r="Q146" s="557"/>
      <c r="R146" s="557"/>
    </row>
    <row r="147" spans="1:18" s="1518" customFormat="1" ht="13.95" customHeight="1">
      <c r="A147" s="1471">
        <f>+A146+0.01</f>
        <v>17.050000000000008</v>
      </c>
      <c r="B147" s="1434"/>
      <c r="C147" s="1434" t="s">
        <v>936</v>
      </c>
      <c r="D147" s="724">
        <v>0</v>
      </c>
      <c r="E147" s="724">
        <v>0</v>
      </c>
      <c r="F147" s="1600"/>
      <c r="G147" s="1601"/>
      <c r="H147" s="1601"/>
      <c r="I147" s="1602"/>
      <c r="J147" s="1601"/>
      <c r="K147" s="1601"/>
      <c r="L147" s="1601"/>
      <c r="M147" s="1601"/>
      <c r="N147" s="1548"/>
      <c r="O147" s="78" t="s">
        <v>1302</v>
      </c>
      <c r="P147" s="557"/>
      <c r="Q147" s="557"/>
      <c r="R147" s="557"/>
    </row>
    <row r="148" spans="1:18" s="1518" customFormat="1" ht="13.95" customHeight="1">
      <c r="A148" s="1254" t="s">
        <v>927</v>
      </c>
      <c r="B148" s="1434"/>
      <c r="C148" s="1434" t="s">
        <v>936</v>
      </c>
      <c r="D148" s="724">
        <v>0</v>
      </c>
      <c r="E148" s="724">
        <v>0</v>
      </c>
      <c r="F148" s="1600"/>
      <c r="G148" s="1601"/>
      <c r="H148" s="1601"/>
      <c r="I148" s="1602"/>
      <c r="J148" s="1601"/>
      <c r="K148" s="1601"/>
      <c r="L148" s="1601"/>
      <c r="M148" s="1601"/>
      <c r="N148" s="1548"/>
      <c r="O148" s="78" t="s">
        <v>1302</v>
      </c>
      <c r="P148" s="557"/>
      <c r="Q148" s="557"/>
      <c r="R148" s="557"/>
    </row>
    <row r="149" spans="1:18" s="1518" customFormat="1" ht="13.95" customHeight="1">
      <c r="A149" s="1471" t="str">
        <f>A142&amp;".XX"</f>
        <v>17.XX</v>
      </c>
      <c r="B149" s="1434"/>
      <c r="C149" s="1434" t="s">
        <v>936</v>
      </c>
      <c r="D149" s="725">
        <v>0</v>
      </c>
      <c r="E149" s="1592">
        <v>0</v>
      </c>
      <c r="F149" s="1591"/>
      <c r="G149" s="725"/>
      <c r="H149" s="725"/>
      <c r="I149" s="1592"/>
      <c r="J149" s="725"/>
      <c r="K149" s="725"/>
      <c r="L149" s="725"/>
      <c r="M149" s="725"/>
      <c r="N149" s="1549"/>
      <c r="O149" s="78" t="s">
        <v>1302</v>
      </c>
      <c r="P149" s="557"/>
      <c r="Q149" s="557"/>
      <c r="R149" s="557"/>
    </row>
    <row r="150" spans="1:18" s="1518" customFormat="1" ht="13.8" thickBot="1">
      <c r="A150" s="768">
        <f>+A142+1</f>
        <v>18</v>
      </c>
      <c r="B150" s="1545"/>
      <c r="C150" s="1545"/>
      <c r="D150" s="1603"/>
      <c r="E150" s="945"/>
      <c r="F150" s="945"/>
      <c r="G150" s="945"/>
      <c r="H150" s="945"/>
      <c r="I150" s="1429"/>
      <c r="J150" s="945"/>
      <c r="K150" s="945"/>
      <c r="L150" s="945"/>
      <c r="M150" s="945"/>
      <c r="N150" s="1506"/>
      <c r="O150" s="78" t="s">
        <v>1302</v>
      </c>
      <c r="P150" s="557"/>
      <c r="Q150" s="557"/>
      <c r="R150" s="557"/>
    </row>
    <row r="151" spans="1:18" s="1518" customFormat="1" ht="13.8" thickBot="1">
      <c r="A151" s="768">
        <f>+A150+1</f>
        <v>19</v>
      </c>
      <c r="B151" s="1553" t="s">
        <v>1143</v>
      </c>
      <c r="C151" s="1551"/>
      <c r="D151" s="1438">
        <f t="shared" ref="D151:J151" si="60">SUM(D143:D149)</f>
        <v>-1906525.71</v>
      </c>
      <c r="E151" s="1438">
        <f t="shared" si="60"/>
        <v>-1879249.28</v>
      </c>
      <c r="F151" s="1504">
        <f t="shared" si="60"/>
        <v>-1892887.4950000001</v>
      </c>
      <c r="G151" s="945">
        <f t="shared" si="60"/>
        <v>0</v>
      </c>
      <c r="H151" s="945">
        <f t="shared" si="60"/>
        <v>0</v>
      </c>
      <c r="I151" s="945">
        <f t="shared" si="60"/>
        <v>0</v>
      </c>
      <c r="J151" s="1504">
        <f t="shared" si="60"/>
        <v>-1879249.28</v>
      </c>
      <c r="K151" s="945">
        <f t="shared" ref="K151:M151" si="61">SUM(K143:K149)</f>
        <v>0</v>
      </c>
      <c r="L151" s="945">
        <f t="shared" si="61"/>
        <v>0</v>
      </c>
      <c r="M151" s="945">
        <f t="shared" si="61"/>
        <v>0</v>
      </c>
      <c r="N151" s="1530" t="str">
        <f>+"Sum by Column of Line "&amp;A142&amp;" Subparts"</f>
        <v>Sum by Column of Line 17 Subparts</v>
      </c>
      <c r="O151" s="78" t="s">
        <v>1302</v>
      </c>
      <c r="P151" s="557"/>
      <c r="Q151" s="557"/>
      <c r="R151" s="557"/>
    </row>
    <row r="152" spans="1:18" s="1518" customFormat="1">
      <c r="A152" s="768">
        <f>+A151+1</f>
        <v>20</v>
      </c>
      <c r="B152" s="1545" t="s">
        <v>526</v>
      </c>
      <c r="C152" s="180"/>
      <c r="D152" s="945">
        <v>0</v>
      </c>
      <c r="E152" s="945">
        <v>0</v>
      </c>
      <c r="F152" s="1504">
        <f>SUM(G152:J152)</f>
        <v>0</v>
      </c>
      <c r="G152" s="945">
        <v>0</v>
      </c>
      <c r="H152" s="945">
        <v>0</v>
      </c>
      <c r="I152" s="945">
        <v>0</v>
      </c>
      <c r="J152" s="1504">
        <v>0</v>
      </c>
      <c r="K152" s="945">
        <v>0</v>
      </c>
      <c r="L152" s="945">
        <v>0</v>
      </c>
      <c r="M152" s="945">
        <v>0</v>
      </c>
      <c r="N152" s="1554"/>
      <c r="O152" s="78" t="s">
        <v>1302</v>
      </c>
      <c r="P152" s="557"/>
      <c r="Q152" s="557"/>
      <c r="R152" s="557"/>
    </row>
    <row r="153" spans="1:18" s="1518" customFormat="1" ht="13.8" thickBot="1">
      <c r="A153" s="768">
        <f>+A152+1</f>
        <v>21</v>
      </c>
      <c r="B153" s="1555" t="s">
        <v>1144</v>
      </c>
      <c r="C153" s="1552"/>
      <c r="D153" s="945">
        <f>+D151-D152</f>
        <v>-1906525.71</v>
      </c>
      <c r="E153" s="945">
        <f>+E151-E152</f>
        <v>-1879249.28</v>
      </c>
      <c r="F153" s="1504">
        <f>+F151-F152</f>
        <v>-1892887.4950000001</v>
      </c>
      <c r="G153" s="945">
        <f t="shared" ref="G153:M153" si="62">+G151-G152</f>
        <v>0</v>
      </c>
      <c r="H153" s="945">
        <f t="shared" si="62"/>
        <v>0</v>
      </c>
      <c r="I153" s="945">
        <f t="shared" si="62"/>
        <v>0</v>
      </c>
      <c r="J153" s="1504">
        <f t="shared" si="62"/>
        <v>-1879249.28</v>
      </c>
      <c r="K153" s="945">
        <f t="shared" si="62"/>
        <v>0</v>
      </c>
      <c r="L153" s="945">
        <f t="shared" si="62"/>
        <v>0</v>
      </c>
      <c r="M153" s="945">
        <f t="shared" si="62"/>
        <v>0</v>
      </c>
      <c r="N153" s="1554" t="str">
        <f>+"Ln "&amp;A151&amp;" Less Ln "&amp;A152</f>
        <v>Ln 19 Less Ln 20</v>
      </c>
      <c r="O153" s="78" t="s">
        <v>1302</v>
      </c>
      <c r="P153" s="557"/>
      <c r="Q153" s="557"/>
      <c r="R153" s="557"/>
    </row>
    <row r="154" spans="1:18">
      <c r="A154" s="768">
        <f>+A153+1</f>
        <v>22</v>
      </c>
      <c r="B154" s="1442"/>
      <c r="C154" s="1442"/>
      <c r="D154" s="1604"/>
      <c r="E154" s="1605"/>
      <c r="F154" s="1606"/>
      <c r="G154" s="1606"/>
      <c r="H154" s="1606"/>
      <c r="I154" s="1606"/>
      <c r="J154" s="945"/>
      <c r="K154" s="945"/>
      <c r="L154" s="1606"/>
      <c r="M154" s="1606"/>
      <c r="N154" s="1530"/>
    </row>
    <row r="155" spans="1:18" ht="16.8">
      <c r="A155" s="768">
        <f>+A154+1</f>
        <v>23</v>
      </c>
      <c r="B155" s="1440" t="s">
        <v>777</v>
      </c>
      <c r="C155" s="954"/>
      <c r="D155" s="1581"/>
      <c r="E155" s="1607"/>
      <c r="F155" s="1995" t="str">
        <f>F8</f>
        <v>Average of BOY/EOY (Col (C+D)/2)</v>
      </c>
      <c r="G155" s="1995"/>
      <c r="H155" s="1995"/>
      <c r="I155" s="1995"/>
      <c r="J155" s="1995" t="str">
        <f>J8</f>
        <v>EOY (Col D)</v>
      </c>
      <c r="K155" s="1995"/>
      <c r="L155" s="1995"/>
      <c r="M155" s="1995"/>
      <c r="N155" s="1515" t="s">
        <v>49</v>
      </c>
    </row>
    <row r="156" spans="1:18" ht="13.95" customHeight="1">
      <c r="A156" s="769">
        <f t="shared" ref="A156:A189" si="63">+A155+0.01</f>
        <v>23.01</v>
      </c>
      <c r="B156" s="1571" t="s">
        <v>1456</v>
      </c>
      <c r="C156" s="557"/>
      <c r="D156" s="724">
        <v>-1203065040.7</v>
      </c>
      <c r="E156" s="1590">
        <v>-1255229120.6600001</v>
      </c>
      <c r="F156" s="929"/>
      <c r="H156" s="929">
        <f t="shared" ref="H156:H168" si="64">+SUM($D156:$E156)/2</f>
        <v>-1229147080.6800001</v>
      </c>
      <c r="I156" s="1429"/>
      <c r="L156" s="929">
        <f>+E156</f>
        <v>-1255229120.6600001</v>
      </c>
      <c r="M156" s="1429"/>
      <c r="N156" s="1421" t="s">
        <v>1</v>
      </c>
    </row>
    <row r="157" spans="1:18" ht="13.95" customHeight="1">
      <c r="A157" s="769">
        <f t="shared" si="63"/>
        <v>23.020000000000003</v>
      </c>
      <c r="B157" s="1571" t="s">
        <v>1457</v>
      </c>
      <c r="C157" s="557"/>
      <c r="D157" s="724">
        <v>-81682635.540000007</v>
      </c>
      <c r="E157" s="1590">
        <v>-95459437.609999999</v>
      </c>
      <c r="F157" s="929"/>
      <c r="H157" s="929">
        <f t="shared" si="64"/>
        <v>-88571036.575000003</v>
      </c>
      <c r="I157" s="1429"/>
      <c r="L157" s="929">
        <f t="shared" ref="L157:L167" si="65">+E157</f>
        <v>-95459437.609999999</v>
      </c>
      <c r="M157" s="1429"/>
      <c r="N157" s="1421" t="s">
        <v>1</v>
      </c>
    </row>
    <row r="158" spans="1:18" s="1518" customFormat="1" ht="13.95" customHeight="1">
      <c r="A158" s="769">
        <f t="shared" si="63"/>
        <v>23.030000000000005</v>
      </c>
      <c r="B158" s="1571" t="s">
        <v>1458</v>
      </c>
      <c r="C158" s="557"/>
      <c r="D158" s="724">
        <v>-1652920.61</v>
      </c>
      <c r="E158" s="1590">
        <v>-1617822.66</v>
      </c>
      <c r="F158" s="929"/>
      <c r="G158" s="929"/>
      <c r="H158" s="929">
        <f t="shared" si="64"/>
        <v>-1635371.635</v>
      </c>
      <c r="I158" s="1429"/>
      <c r="J158" s="929"/>
      <c r="K158" s="929"/>
      <c r="L158" s="929">
        <f t="shared" ref="L158" si="66">+E158</f>
        <v>-1617822.66</v>
      </c>
      <c r="M158" s="1429"/>
      <c r="N158" s="1546" t="s">
        <v>1</v>
      </c>
      <c r="O158" s="78" t="s">
        <v>1302</v>
      </c>
      <c r="P158" s="557"/>
      <c r="Q158" s="557"/>
      <c r="R158" s="557"/>
    </row>
    <row r="159" spans="1:18" ht="13.95" customHeight="1">
      <c r="A159" s="769">
        <f t="shared" si="63"/>
        <v>23.040000000000006</v>
      </c>
      <c r="B159" s="1571" t="s">
        <v>1459</v>
      </c>
      <c r="C159" s="557"/>
      <c r="D159" s="724">
        <v>3655554.89</v>
      </c>
      <c r="E159" s="1590">
        <v>3170926.34</v>
      </c>
      <c r="F159" s="929"/>
      <c r="H159" s="929">
        <f t="shared" si="64"/>
        <v>3413240.6150000002</v>
      </c>
      <c r="I159" s="1429"/>
      <c r="L159" s="929">
        <f t="shared" si="65"/>
        <v>3170926.34</v>
      </c>
      <c r="M159" s="1429"/>
      <c r="N159" s="1421" t="s">
        <v>1</v>
      </c>
    </row>
    <row r="160" spans="1:18" s="1518" customFormat="1" ht="13.95" customHeight="1">
      <c r="A160" s="769">
        <f t="shared" si="63"/>
        <v>23.050000000000008</v>
      </c>
      <c r="B160" s="1571" t="s">
        <v>1460</v>
      </c>
      <c r="C160" s="557"/>
      <c r="D160" s="724">
        <v>-470922154.68000001</v>
      </c>
      <c r="E160" s="724">
        <v>-483440799.48000002</v>
      </c>
      <c r="F160" s="1504">
        <f t="shared" ref="F160:F161" si="67">+SUM(D160:E160)/2</f>
        <v>-477181477.08000004</v>
      </c>
      <c r="G160" s="945"/>
      <c r="H160" s="945"/>
      <c r="I160" s="1429"/>
      <c r="J160" s="1504">
        <f t="shared" ref="J160:J161" si="68">+E160</f>
        <v>-483440799.48000002</v>
      </c>
      <c r="K160" s="945"/>
      <c r="L160" s="945"/>
      <c r="M160" s="1429"/>
      <c r="N160" s="1546" t="s">
        <v>197</v>
      </c>
      <c r="O160" s="557" t="s">
        <v>1304</v>
      </c>
      <c r="P160" s="557"/>
      <c r="Q160" s="557"/>
      <c r="R160" s="557"/>
    </row>
    <row r="161" spans="1:18" s="1518" customFormat="1" ht="13.95" customHeight="1">
      <c r="A161" s="769">
        <f>+A160+0.01</f>
        <v>23.060000000000009</v>
      </c>
      <c r="B161" s="1571" t="s">
        <v>1461</v>
      </c>
      <c r="C161" s="557"/>
      <c r="D161" s="724">
        <v>-18558961.899999999</v>
      </c>
      <c r="E161" s="724">
        <v>-22261101.34</v>
      </c>
      <c r="F161" s="1504">
        <f t="shared" si="67"/>
        <v>-20410031.619999997</v>
      </c>
      <c r="G161" s="945"/>
      <c r="H161" s="945"/>
      <c r="I161" s="1429"/>
      <c r="J161" s="1504">
        <f t="shared" si="68"/>
        <v>-22261101.34</v>
      </c>
      <c r="K161" s="945"/>
      <c r="L161" s="945"/>
      <c r="M161" s="1429"/>
      <c r="N161" s="1546" t="s">
        <v>197</v>
      </c>
      <c r="O161" s="557" t="s">
        <v>1304</v>
      </c>
      <c r="P161" s="557"/>
      <c r="Q161" s="557"/>
      <c r="R161" s="557"/>
    </row>
    <row r="162" spans="1:18" ht="13.95" customHeight="1">
      <c r="A162" s="769">
        <f>+A161+0.01</f>
        <v>23.070000000000011</v>
      </c>
      <c r="B162" s="1571" t="s">
        <v>1462</v>
      </c>
      <c r="C162" s="557"/>
      <c r="D162" s="724">
        <v>-879002.63</v>
      </c>
      <c r="E162" s="1590">
        <v>-813812.45</v>
      </c>
      <c r="F162" s="929"/>
      <c r="H162" s="929">
        <f t="shared" si="64"/>
        <v>-846407.54</v>
      </c>
      <c r="I162" s="1429"/>
      <c r="L162" s="929">
        <f t="shared" si="65"/>
        <v>-813812.45</v>
      </c>
      <c r="M162" s="1429"/>
      <c r="N162" s="1421" t="s">
        <v>1045</v>
      </c>
    </row>
    <row r="163" spans="1:18" ht="13.95" customHeight="1">
      <c r="A163" s="769">
        <f t="shared" si="63"/>
        <v>23.080000000000013</v>
      </c>
      <c r="B163" s="1571" t="s">
        <v>1463</v>
      </c>
      <c r="C163" s="557"/>
      <c r="D163" s="724">
        <v>-104866.96</v>
      </c>
      <c r="E163" s="1590">
        <v>-97090.12</v>
      </c>
      <c r="F163" s="929"/>
      <c r="H163" s="929">
        <f t="shared" si="64"/>
        <v>-100978.54000000001</v>
      </c>
      <c r="I163" s="1429"/>
      <c r="L163" s="929">
        <f t="shared" si="65"/>
        <v>-97090.12</v>
      </c>
      <c r="M163" s="1429"/>
      <c r="N163" s="1421" t="s">
        <v>1045</v>
      </c>
    </row>
    <row r="164" spans="1:18" ht="13.95" customHeight="1">
      <c r="A164" s="769">
        <f t="shared" si="63"/>
        <v>23.090000000000014</v>
      </c>
      <c r="B164" s="1571" t="s">
        <v>1464</v>
      </c>
      <c r="C164" s="557"/>
      <c r="D164" s="724">
        <v>-1395704.72</v>
      </c>
      <c r="E164" s="1590">
        <v>-1246030.05</v>
      </c>
      <c r="F164" s="929"/>
      <c r="H164" s="929">
        <f t="shared" si="64"/>
        <v>-1320867.385</v>
      </c>
      <c r="I164" s="1429"/>
      <c r="L164" s="929">
        <f t="shared" si="65"/>
        <v>-1246030.05</v>
      </c>
      <c r="M164" s="1429"/>
      <c r="N164" s="1421" t="s">
        <v>1046</v>
      </c>
    </row>
    <row r="165" spans="1:18" ht="13.95" customHeight="1">
      <c r="A165" s="769">
        <f t="shared" si="63"/>
        <v>23.100000000000016</v>
      </c>
      <c r="B165" s="1571" t="s">
        <v>1465</v>
      </c>
      <c r="C165" s="557"/>
      <c r="D165" s="724">
        <v>-166822.74</v>
      </c>
      <c r="E165" s="1590">
        <v>-148932.79999999999</v>
      </c>
      <c r="F165" s="929"/>
      <c r="H165" s="929">
        <f t="shared" si="64"/>
        <v>-157877.76999999999</v>
      </c>
      <c r="I165" s="1429"/>
      <c r="L165" s="929">
        <f t="shared" si="65"/>
        <v>-148932.79999999999</v>
      </c>
      <c r="M165" s="1429"/>
      <c r="N165" s="1421" t="s">
        <v>1046</v>
      </c>
    </row>
    <row r="166" spans="1:18" ht="13.95" customHeight="1">
      <c r="A166" s="769">
        <f t="shared" si="63"/>
        <v>23.110000000000017</v>
      </c>
      <c r="B166" s="1571" t="s">
        <v>1466</v>
      </c>
      <c r="C166" s="557"/>
      <c r="D166" s="724">
        <v>-63888885.799999997</v>
      </c>
      <c r="E166" s="1590">
        <v>-65600488.530000001</v>
      </c>
      <c r="F166" s="929"/>
      <c r="H166" s="929">
        <f t="shared" si="64"/>
        <v>-64744687.164999999</v>
      </c>
      <c r="I166" s="1429"/>
      <c r="L166" s="929">
        <f t="shared" si="65"/>
        <v>-65600488.530000001</v>
      </c>
      <c r="M166" s="1429"/>
      <c r="N166" s="1421" t="s">
        <v>1047</v>
      </c>
    </row>
    <row r="167" spans="1:18" ht="13.95" customHeight="1">
      <c r="A167" s="769">
        <f t="shared" si="63"/>
        <v>23.120000000000019</v>
      </c>
      <c r="B167" s="1571" t="s">
        <v>1467</v>
      </c>
      <c r="C167" s="557"/>
      <c r="D167" s="724">
        <v>-10526103.640000001</v>
      </c>
      <c r="E167" s="1590">
        <v>-10594389.32</v>
      </c>
      <c r="F167" s="929"/>
      <c r="H167" s="929">
        <f t="shared" si="64"/>
        <v>-10560246.48</v>
      </c>
      <c r="I167" s="1429"/>
      <c r="L167" s="929">
        <f t="shared" si="65"/>
        <v>-10594389.32</v>
      </c>
      <c r="M167" s="1429"/>
      <c r="N167" s="1421" t="s">
        <v>1047</v>
      </c>
      <c r="O167" s="78" t="s">
        <v>1302</v>
      </c>
    </row>
    <row r="168" spans="1:18" s="1518" customFormat="1" ht="13.95" customHeight="1">
      <c r="A168" s="769">
        <f t="shared" si="63"/>
        <v>23.13000000000002</v>
      </c>
      <c r="B168" s="1571" t="s">
        <v>1468</v>
      </c>
      <c r="C168" s="557"/>
      <c r="D168" s="724">
        <v>-1150422.1100000001</v>
      </c>
      <c r="E168" s="1590">
        <v>-1073421.02</v>
      </c>
      <c r="F168" s="929"/>
      <c r="G168" s="929"/>
      <c r="H168" s="929">
        <f t="shared" si="64"/>
        <v>-1111921.5649999999</v>
      </c>
      <c r="I168" s="1429"/>
      <c r="J168" s="929"/>
      <c r="K168" s="929"/>
      <c r="L168" s="929">
        <f t="shared" ref="L168" si="69">+E168</f>
        <v>-1073421.02</v>
      </c>
      <c r="M168" s="1429"/>
      <c r="N168" s="1546" t="s">
        <v>2</v>
      </c>
      <c r="O168" s="557"/>
      <c r="P168" s="557"/>
      <c r="Q168" s="557"/>
      <c r="R168" s="557"/>
    </row>
    <row r="169" spans="1:18" ht="13.95" customHeight="1">
      <c r="A169" s="769">
        <f t="shared" si="63"/>
        <v>23.140000000000022</v>
      </c>
      <c r="B169" s="1571" t="s">
        <v>1469</v>
      </c>
      <c r="C169" s="557"/>
      <c r="D169" s="724">
        <v>-311876710.76999998</v>
      </c>
      <c r="E169" s="1590">
        <v>-291774139.06</v>
      </c>
      <c r="F169" s="929">
        <f t="shared" ref="F169:F173" si="70">+SUM($D169:$E169)/2</f>
        <v>-301825424.91499996</v>
      </c>
      <c r="I169" s="1429"/>
      <c r="J169" s="929">
        <f t="shared" ref="J169:J171" si="71">+E169</f>
        <v>-291774139.06</v>
      </c>
      <c r="M169" s="1429"/>
      <c r="N169" s="1421" t="s">
        <v>197</v>
      </c>
    </row>
    <row r="170" spans="1:18" ht="13.95" customHeight="1">
      <c r="A170" s="769">
        <f t="shared" si="63"/>
        <v>23.150000000000023</v>
      </c>
      <c r="B170" s="1571" t="s">
        <v>1470</v>
      </c>
      <c r="C170" s="557"/>
      <c r="D170" s="724">
        <v>-1524350</v>
      </c>
      <c r="E170" s="1590">
        <v>677307.63</v>
      </c>
      <c r="F170" s="929">
        <f t="shared" si="70"/>
        <v>-423521.185</v>
      </c>
      <c r="I170" s="1429"/>
      <c r="J170" s="929">
        <f t="shared" si="71"/>
        <v>677307.63</v>
      </c>
      <c r="M170" s="1429"/>
      <c r="N170" s="1499" t="s">
        <v>197</v>
      </c>
    </row>
    <row r="171" spans="1:18" ht="13.95" customHeight="1">
      <c r="A171" s="769">
        <f t="shared" si="63"/>
        <v>23.160000000000025</v>
      </c>
      <c r="B171" s="1571" t="s">
        <v>1471</v>
      </c>
      <c r="C171" s="557"/>
      <c r="D171" s="724">
        <v>-1716919.46</v>
      </c>
      <c r="E171" s="1590">
        <v>-1724518.23</v>
      </c>
      <c r="F171" s="929">
        <f t="shared" si="70"/>
        <v>-1720718.845</v>
      </c>
      <c r="I171" s="1429"/>
      <c r="J171" s="929">
        <f t="shared" si="71"/>
        <v>-1724518.23</v>
      </c>
      <c r="M171" s="1429"/>
      <c r="N171" s="1499" t="s">
        <v>197</v>
      </c>
    </row>
    <row r="172" spans="1:18" ht="13.95" customHeight="1">
      <c r="A172" s="769">
        <f t="shared" si="63"/>
        <v>23.170000000000027</v>
      </c>
      <c r="B172" s="1571" t="s">
        <v>1472</v>
      </c>
      <c r="C172" s="557"/>
      <c r="D172" s="724">
        <v>-50801785.310000002</v>
      </c>
      <c r="E172" s="1590">
        <v>-38071292.979999997</v>
      </c>
      <c r="F172" s="929">
        <f t="shared" si="70"/>
        <v>-44436539.144999996</v>
      </c>
      <c r="I172" s="1429"/>
      <c r="J172" s="929">
        <f>+E172</f>
        <v>-38071292.979999997</v>
      </c>
      <c r="M172" s="1429"/>
      <c r="N172" s="1421" t="s">
        <v>197</v>
      </c>
    </row>
    <row r="173" spans="1:18" ht="13.95" customHeight="1">
      <c r="A173" s="769">
        <f t="shared" si="63"/>
        <v>23.180000000000028</v>
      </c>
      <c r="B173" s="1571" t="s">
        <v>1473</v>
      </c>
      <c r="C173" s="557"/>
      <c r="D173" s="724">
        <v>-8204014.6399999997</v>
      </c>
      <c r="E173" s="1590">
        <v>-5690765.3499999996</v>
      </c>
      <c r="F173" s="929">
        <f t="shared" si="70"/>
        <v>-6947389.9949999992</v>
      </c>
      <c r="I173" s="1429"/>
      <c r="J173" s="929">
        <f t="shared" ref="J173" si="72">+E173</f>
        <v>-5690765.3499999996</v>
      </c>
      <c r="M173" s="1429"/>
      <c r="N173" s="1421" t="s">
        <v>197</v>
      </c>
      <c r="O173" s="78" t="s">
        <v>1302</v>
      </c>
    </row>
    <row r="174" spans="1:18" ht="13.95" customHeight="1">
      <c r="A174" s="769">
        <f t="shared" si="63"/>
        <v>23.19000000000003</v>
      </c>
      <c r="B174" s="1571" t="s">
        <v>1474</v>
      </c>
      <c r="C174" s="557"/>
      <c r="D174" s="724">
        <v>-245.11</v>
      </c>
      <c r="E174" s="1590">
        <v>-7.0000000000000007E-2</v>
      </c>
      <c r="F174" s="929"/>
      <c r="I174" s="1429">
        <f t="shared" ref="I174:I175" si="73">+SUM($D174:$E174)/2</f>
        <v>-122.59</v>
      </c>
      <c r="M174" s="1429">
        <f>+E174</f>
        <v>-7.0000000000000007E-2</v>
      </c>
      <c r="N174" s="1499" t="s">
        <v>1048</v>
      </c>
    </row>
    <row r="175" spans="1:18" s="1518" customFormat="1" ht="13.95" customHeight="1">
      <c r="A175" s="769">
        <f t="shared" si="63"/>
        <v>23.200000000000031</v>
      </c>
      <c r="B175" s="1571" t="s">
        <v>1475</v>
      </c>
      <c r="C175" s="557"/>
      <c r="D175" s="724">
        <v>-39.590000000000003</v>
      </c>
      <c r="E175" s="1590">
        <v>0.32</v>
      </c>
      <c r="F175" s="929"/>
      <c r="G175" s="929"/>
      <c r="H175" s="929"/>
      <c r="I175" s="1429">
        <f t="shared" si="73"/>
        <v>-19.635000000000002</v>
      </c>
      <c r="J175" s="929"/>
      <c r="K175" s="929"/>
      <c r="L175" s="929"/>
      <c r="M175" s="1429">
        <f>+E175</f>
        <v>0.32</v>
      </c>
      <c r="N175" s="1546" t="s">
        <v>1048</v>
      </c>
      <c r="O175" s="557"/>
      <c r="P175" s="557"/>
      <c r="Q175" s="557"/>
      <c r="R175" s="557"/>
    </row>
    <row r="176" spans="1:18" ht="13.95" customHeight="1">
      <c r="A176" s="769">
        <f t="shared" si="63"/>
        <v>23.210000000000033</v>
      </c>
      <c r="B176" s="1571" t="s">
        <v>1476</v>
      </c>
      <c r="C176" s="557"/>
      <c r="D176" s="724">
        <v>-60916700.460000001</v>
      </c>
      <c r="E176" s="1590">
        <v>-57314081.020000003</v>
      </c>
      <c r="F176" s="929"/>
      <c r="H176" s="929">
        <f t="shared" ref="H176:H177" si="74">+SUM($D176:$E176)/2</f>
        <v>-59115390.740000002</v>
      </c>
      <c r="I176" s="1429"/>
      <c r="L176" s="929">
        <f>+E176</f>
        <v>-57314081.020000003</v>
      </c>
      <c r="M176" s="1429"/>
      <c r="N176" s="1421" t="s">
        <v>2</v>
      </c>
    </row>
    <row r="177" spans="1:18" ht="13.95" customHeight="1">
      <c r="A177" s="769">
        <f t="shared" si="63"/>
        <v>23.220000000000034</v>
      </c>
      <c r="B177" s="1571" t="s">
        <v>1477</v>
      </c>
      <c r="C177" s="557"/>
      <c r="D177" s="724">
        <v>-9837949.7400000002</v>
      </c>
      <c r="E177" s="1590">
        <v>-9256125.2300000004</v>
      </c>
      <c r="F177" s="929"/>
      <c r="H177" s="929">
        <f t="shared" si="74"/>
        <v>-9547037.4849999994</v>
      </c>
      <c r="I177" s="1429"/>
      <c r="L177" s="929">
        <f>+E177</f>
        <v>-9256125.2300000004</v>
      </c>
      <c r="M177" s="1429"/>
      <c r="N177" s="1421" t="s">
        <v>2</v>
      </c>
    </row>
    <row r="178" spans="1:18" ht="13.95" customHeight="1">
      <c r="A178" s="769">
        <f t="shared" si="63"/>
        <v>23.230000000000036</v>
      </c>
      <c r="B178" s="1571" t="s">
        <v>1478</v>
      </c>
      <c r="C178" s="557"/>
      <c r="D178" s="724">
        <v>-14718754.789999999</v>
      </c>
      <c r="E178" s="1590">
        <v>-1615135.52</v>
      </c>
      <c r="F178" s="929">
        <f t="shared" ref="F178:F179" si="75">+SUM($D178:$E178)/2</f>
        <v>-8166945.1549999993</v>
      </c>
      <c r="I178" s="1429"/>
      <c r="J178" s="929">
        <f t="shared" ref="J178:J179" si="76">+E178</f>
        <v>-1615135.52</v>
      </c>
      <c r="M178" s="1429"/>
      <c r="N178" s="1421" t="s">
        <v>191</v>
      </c>
    </row>
    <row r="179" spans="1:18" ht="13.95" customHeight="1">
      <c r="A179" s="769">
        <f t="shared" si="63"/>
        <v>23.240000000000038</v>
      </c>
      <c r="B179" s="1571" t="s">
        <v>1479</v>
      </c>
      <c r="C179" s="557"/>
      <c r="D179" s="724">
        <v>-2376942.88</v>
      </c>
      <c r="E179" s="1590">
        <v>-260831.88</v>
      </c>
      <c r="F179" s="929">
        <f t="shared" si="75"/>
        <v>-1318887.3799999999</v>
      </c>
      <c r="I179" s="1429"/>
      <c r="J179" s="929">
        <f t="shared" si="76"/>
        <v>-260831.88</v>
      </c>
      <c r="M179" s="1429"/>
      <c r="N179" s="1421" t="s">
        <v>191</v>
      </c>
    </row>
    <row r="180" spans="1:18" ht="13.95" customHeight="1">
      <c r="A180" s="769">
        <f t="shared" si="63"/>
        <v>23.250000000000039</v>
      </c>
      <c r="B180" s="1571" t="s">
        <v>1480</v>
      </c>
      <c r="C180" s="557"/>
      <c r="D180" s="724">
        <v>-3337413.55</v>
      </c>
      <c r="E180" s="1590">
        <v>-3188206.95</v>
      </c>
      <c r="F180" s="929"/>
      <c r="H180" s="929">
        <f t="shared" ref="H180:H181" si="77">+SUM($D180:$E180)/2</f>
        <v>-3262810.25</v>
      </c>
      <c r="I180" s="1429"/>
      <c r="L180" s="929">
        <f>+E180</f>
        <v>-3188206.95</v>
      </c>
      <c r="M180" s="1429"/>
      <c r="N180" s="1421" t="s">
        <v>2</v>
      </c>
    </row>
    <row r="181" spans="1:18" ht="13.95" customHeight="1">
      <c r="A181" s="769">
        <f t="shared" si="63"/>
        <v>23.260000000000041</v>
      </c>
      <c r="B181" s="1571" t="s">
        <v>1481</v>
      </c>
      <c r="C181" s="557"/>
      <c r="D181" s="724">
        <v>-538981.43999999994</v>
      </c>
      <c r="E181" s="1590">
        <v>-514885.83</v>
      </c>
      <c r="F181" s="929"/>
      <c r="H181" s="929">
        <f t="shared" si="77"/>
        <v>-526933.63500000001</v>
      </c>
      <c r="I181" s="1429"/>
      <c r="L181" s="929">
        <f>+E181</f>
        <v>-514885.83</v>
      </c>
      <c r="M181" s="1429"/>
      <c r="N181" s="1421" t="s">
        <v>2</v>
      </c>
    </row>
    <row r="182" spans="1:18" s="1518" customFormat="1" ht="13.95" customHeight="1">
      <c r="A182" s="769">
        <f t="shared" si="63"/>
        <v>23.270000000000042</v>
      </c>
      <c r="B182" s="557" t="s">
        <v>1482</v>
      </c>
      <c r="C182" s="557"/>
      <c r="D182" s="724">
        <v>0</v>
      </c>
      <c r="E182" s="1590">
        <v>0</v>
      </c>
      <c r="F182" s="1504">
        <f t="shared" ref="F182:F183" si="78">+SUM(D182:E182)/2</f>
        <v>0</v>
      </c>
      <c r="G182" s="945"/>
      <c r="H182" s="945"/>
      <c r="I182" s="1429"/>
      <c r="J182" s="1504">
        <f t="shared" ref="J182:J183" si="79">+E182</f>
        <v>0</v>
      </c>
      <c r="K182" s="945"/>
      <c r="L182" s="945"/>
      <c r="M182" s="1429"/>
      <c r="N182" s="1546" t="s">
        <v>1142</v>
      </c>
      <c r="O182" s="78" t="s">
        <v>1302</v>
      </c>
      <c r="P182" s="557"/>
      <c r="Q182" s="557"/>
      <c r="R182" s="557"/>
    </row>
    <row r="183" spans="1:18" s="1518" customFormat="1" ht="13.95" customHeight="1">
      <c r="A183" s="769">
        <f t="shared" si="63"/>
        <v>23.280000000000044</v>
      </c>
      <c r="B183" s="557" t="s">
        <v>1483</v>
      </c>
      <c r="C183" s="557"/>
      <c r="D183" s="724">
        <v>0</v>
      </c>
      <c r="E183" s="1590">
        <v>0</v>
      </c>
      <c r="F183" s="1504">
        <f t="shared" si="78"/>
        <v>0</v>
      </c>
      <c r="G183" s="945"/>
      <c r="H183" s="945"/>
      <c r="I183" s="1429"/>
      <c r="J183" s="1504">
        <f t="shared" si="79"/>
        <v>0</v>
      </c>
      <c r="K183" s="945"/>
      <c r="L183" s="945"/>
      <c r="M183" s="1429"/>
      <c r="N183" s="1546" t="s">
        <v>1142</v>
      </c>
      <c r="O183" s="78" t="s">
        <v>1302</v>
      </c>
      <c r="P183" s="557"/>
      <c r="Q183" s="557"/>
      <c r="R183" s="557"/>
    </row>
    <row r="184" spans="1:18" ht="13.95" customHeight="1">
      <c r="A184" s="769">
        <f t="shared" si="63"/>
        <v>23.290000000000045</v>
      </c>
      <c r="B184" s="1571" t="s">
        <v>1484</v>
      </c>
      <c r="C184" s="557"/>
      <c r="D184" s="724">
        <v>-43894.02</v>
      </c>
      <c r="E184" s="1590">
        <v>-42277.79</v>
      </c>
      <c r="F184" s="929"/>
      <c r="I184" s="1429">
        <f t="shared" ref="I184:I185" si="80">+SUM($D184:$E184)/2</f>
        <v>-43085.904999999999</v>
      </c>
      <c r="M184" s="1429">
        <f t="shared" ref="M184:M185" si="81">+E184</f>
        <v>-42277.79</v>
      </c>
      <c r="N184" s="1421" t="s">
        <v>1049</v>
      </c>
    </row>
    <row r="185" spans="1:18" ht="13.95" customHeight="1">
      <c r="A185" s="769">
        <f t="shared" si="63"/>
        <v>23.300000000000047</v>
      </c>
      <c r="B185" s="1571" t="s">
        <v>1485</v>
      </c>
      <c r="C185" s="557"/>
      <c r="D185" s="724">
        <v>-7088.72</v>
      </c>
      <c r="E185" s="1590">
        <v>-6827.62</v>
      </c>
      <c r="F185" s="929"/>
      <c r="I185" s="1429">
        <f t="shared" si="80"/>
        <v>-6958.17</v>
      </c>
      <c r="M185" s="1429">
        <f t="shared" si="81"/>
        <v>-6827.62</v>
      </c>
      <c r="N185" s="1421" t="s">
        <v>1049</v>
      </c>
    </row>
    <row r="186" spans="1:18" ht="13.95" customHeight="1">
      <c r="A186" s="769">
        <f t="shared" si="63"/>
        <v>23.310000000000048</v>
      </c>
      <c r="B186" s="1571" t="s">
        <v>1486</v>
      </c>
      <c r="C186" s="557"/>
      <c r="D186" s="724">
        <v>40265491.839999996</v>
      </c>
      <c r="E186" s="1590">
        <v>40206950.579999998</v>
      </c>
      <c r="F186" s="929"/>
      <c r="H186" s="929">
        <f t="shared" ref="H186:H187" si="82">+SUM($D186:$E186)/2</f>
        <v>40236221.209999993</v>
      </c>
      <c r="I186" s="1429"/>
      <c r="L186" s="929">
        <f>+E186</f>
        <v>40206950.579999998</v>
      </c>
      <c r="M186" s="1429"/>
      <c r="N186" s="1421" t="s">
        <v>2</v>
      </c>
    </row>
    <row r="187" spans="1:18" ht="13.95" customHeight="1">
      <c r="A187" s="769">
        <f t="shared" si="63"/>
        <v>23.32000000000005</v>
      </c>
      <c r="B187" s="1571" t="s">
        <v>1487</v>
      </c>
      <c r="C187" s="557"/>
      <c r="D187" s="724">
        <v>6482782.6800000006</v>
      </c>
      <c r="E187" s="1590">
        <v>6493263.7700000005</v>
      </c>
      <c r="F187" s="929"/>
      <c r="H187" s="929">
        <f t="shared" si="82"/>
        <v>6488023.2250000006</v>
      </c>
      <c r="I187" s="1429"/>
      <c r="L187" s="929">
        <f>+E187</f>
        <v>6493263.7700000005</v>
      </c>
      <c r="M187" s="1429"/>
      <c r="N187" s="1421" t="s">
        <v>2</v>
      </c>
    </row>
    <row r="188" spans="1:18" ht="13.95" customHeight="1">
      <c r="A188" s="769">
        <f t="shared" si="63"/>
        <v>23.330000000000052</v>
      </c>
      <c r="B188" s="1571" t="s">
        <v>1488</v>
      </c>
      <c r="C188" s="557"/>
      <c r="D188" s="724">
        <v>2109596.21</v>
      </c>
      <c r="E188" s="1590">
        <v>2024263.76</v>
      </c>
      <c r="F188" s="929">
        <f t="shared" ref="F188:F191" si="83">+SUM($D188:$E188)/2</f>
        <v>2066929.9849999999</v>
      </c>
      <c r="I188" s="1429"/>
      <c r="J188" s="929">
        <f t="shared" ref="J188:J190" si="84">+E188</f>
        <v>2024263.76</v>
      </c>
      <c r="M188" s="1429"/>
      <c r="N188" s="1421" t="s">
        <v>197</v>
      </c>
    </row>
    <row r="189" spans="1:18" ht="13.95" customHeight="1">
      <c r="A189" s="769">
        <f t="shared" si="63"/>
        <v>23.340000000000053</v>
      </c>
      <c r="B189" s="1571" t="s">
        <v>1489</v>
      </c>
      <c r="C189" s="557"/>
      <c r="D189" s="724">
        <v>340693.95</v>
      </c>
      <c r="E189" s="1590">
        <v>326913.74</v>
      </c>
      <c r="F189" s="929">
        <f t="shared" si="83"/>
        <v>333803.84499999997</v>
      </c>
      <c r="I189" s="1429"/>
      <c r="J189" s="929">
        <f t="shared" si="84"/>
        <v>326913.74</v>
      </c>
      <c r="M189" s="1429"/>
      <c r="N189" s="1421" t="s">
        <v>197</v>
      </c>
    </row>
    <row r="190" spans="1:18" ht="13.95" customHeight="1">
      <c r="A190" s="769">
        <f t="shared" ref="A190:A218" si="85">+A189+0.01</f>
        <v>23.350000000000055</v>
      </c>
      <c r="B190" s="1571" t="s">
        <v>1490</v>
      </c>
      <c r="C190" s="557"/>
      <c r="D190" s="724">
        <v>-369459.43</v>
      </c>
      <c r="E190" s="1590">
        <v>-1190122.05</v>
      </c>
      <c r="F190" s="929">
        <f t="shared" si="83"/>
        <v>-779790.74</v>
      </c>
      <c r="I190" s="1429"/>
      <c r="J190" s="929">
        <f t="shared" si="84"/>
        <v>-1190122.05</v>
      </c>
      <c r="M190" s="1429"/>
      <c r="N190" s="1546" t="s">
        <v>197</v>
      </c>
      <c r="O190" s="557" t="s">
        <v>1310</v>
      </c>
    </row>
    <row r="191" spans="1:18" ht="13.95" customHeight="1">
      <c r="A191" s="769">
        <f t="shared" si="85"/>
        <v>23.360000000000056</v>
      </c>
      <c r="B191" s="1571" t="s">
        <v>1491</v>
      </c>
      <c r="C191" s="557"/>
      <c r="D191" s="724">
        <v>-59665.01</v>
      </c>
      <c r="E191" s="1590">
        <v>-192199.76</v>
      </c>
      <c r="F191" s="929">
        <f t="shared" si="83"/>
        <v>-125932.38500000001</v>
      </c>
      <c r="I191" s="1429"/>
      <c r="J191" s="929">
        <f>+E191</f>
        <v>-192199.76</v>
      </c>
      <c r="M191" s="1429"/>
      <c r="N191" s="1546" t="s">
        <v>197</v>
      </c>
      <c r="O191" s="557" t="s">
        <v>1310</v>
      </c>
    </row>
    <row r="192" spans="1:18" ht="13.95" customHeight="1">
      <c r="A192" s="769">
        <f t="shared" si="85"/>
        <v>23.370000000000058</v>
      </c>
      <c r="B192" s="1571" t="s">
        <v>1492</v>
      </c>
      <c r="C192" s="557"/>
      <c r="D192" s="724">
        <v>-20482853.600000001</v>
      </c>
      <c r="E192" s="1590">
        <v>-20290849.460000001</v>
      </c>
      <c r="F192" s="929"/>
      <c r="I192" s="1429">
        <f t="shared" ref="I192:I193" si="86">+SUM($D192:$E192)/2</f>
        <v>-20386851.530000001</v>
      </c>
      <c r="M192" s="1429">
        <f t="shared" ref="M192:M193" si="87">+E192</f>
        <v>-20290849.460000001</v>
      </c>
      <c r="N192" s="1421" t="s">
        <v>3</v>
      </c>
    </row>
    <row r="193" spans="1:18" ht="13.95" customHeight="1">
      <c r="A193" s="769">
        <f t="shared" si="85"/>
        <v>23.380000000000059</v>
      </c>
      <c r="B193" s="1571" t="s">
        <v>1493</v>
      </c>
      <c r="C193" s="557"/>
      <c r="D193" s="724">
        <v>-3307893.61</v>
      </c>
      <c r="E193" s="1590">
        <v>-3276870.04</v>
      </c>
      <c r="F193" s="929"/>
      <c r="I193" s="1429">
        <f t="shared" si="86"/>
        <v>-3292381.8250000002</v>
      </c>
      <c r="M193" s="1429">
        <f t="shared" si="87"/>
        <v>-3276870.04</v>
      </c>
      <c r="N193" s="1421" t="s">
        <v>3</v>
      </c>
    </row>
    <row r="194" spans="1:18" ht="13.95" customHeight="1">
      <c r="A194" s="769">
        <f t="shared" si="85"/>
        <v>23.390000000000061</v>
      </c>
      <c r="B194" s="1571" t="s">
        <v>1494</v>
      </c>
      <c r="C194" s="557"/>
      <c r="D194" s="724">
        <v>-19322</v>
      </c>
      <c r="E194" s="1590">
        <v>-18245.240000000002</v>
      </c>
      <c r="F194" s="929"/>
      <c r="H194" s="929">
        <f t="shared" ref="H194:H195" si="88">+SUM($D194:$E194)/2</f>
        <v>-18783.620000000003</v>
      </c>
      <c r="I194" s="1429"/>
      <c r="L194" s="929">
        <f>+E194</f>
        <v>-18245.240000000002</v>
      </c>
      <c r="M194" s="1429"/>
      <c r="N194" s="1421" t="s">
        <v>2</v>
      </c>
    </row>
    <row r="195" spans="1:18" ht="13.95" customHeight="1">
      <c r="A195" s="769">
        <f t="shared" si="85"/>
        <v>23.400000000000063</v>
      </c>
      <c r="B195" s="1571" t="s">
        <v>1495</v>
      </c>
      <c r="C195" s="557"/>
      <c r="D195" s="724">
        <v>-3120.39</v>
      </c>
      <c r="E195" s="1590">
        <v>-2947.54</v>
      </c>
      <c r="F195" s="929"/>
      <c r="H195" s="929">
        <f t="shared" si="88"/>
        <v>-3033.9650000000001</v>
      </c>
      <c r="I195" s="1429"/>
      <c r="L195" s="929">
        <f>+E195</f>
        <v>-2947.54</v>
      </c>
      <c r="M195" s="1429"/>
      <c r="N195" s="1421" t="s">
        <v>2</v>
      </c>
    </row>
    <row r="196" spans="1:18" ht="13.95" customHeight="1">
      <c r="A196" s="769">
        <f t="shared" si="85"/>
        <v>23.410000000000064</v>
      </c>
      <c r="B196" s="1571" t="s">
        <v>1496</v>
      </c>
      <c r="C196" s="557"/>
      <c r="D196" s="724">
        <v>226571363.86000001</v>
      </c>
      <c r="E196" s="1590">
        <v>218734998.5</v>
      </c>
      <c r="F196" s="929">
        <f t="shared" ref="F196:F197" si="89">+SUM($D196:$E196)/2</f>
        <v>222653181.18000001</v>
      </c>
      <c r="I196" s="1429"/>
      <c r="J196" s="929">
        <f t="shared" ref="J196:J207" si="90">+E196</f>
        <v>218734998.5</v>
      </c>
      <c r="M196" s="1429"/>
      <c r="N196" s="1421" t="s">
        <v>4</v>
      </c>
    </row>
    <row r="197" spans="1:18" ht="13.95" customHeight="1">
      <c r="A197" s="769">
        <f t="shared" si="85"/>
        <v>23.420000000000066</v>
      </c>
      <c r="B197" s="1571" t="s">
        <v>1497</v>
      </c>
      <c r="C197" s="557"/>
      <c r="D197" s="724">
        <v>36589162.740000002</v>
      </c>
      <c r="E197" s="1590">
        <v>35323662.799999997</v>
      </c>
      <c r="F197" s="929">
        <f t="shared" si="89"/>
        <v>35956412.769999996</v>
      </c>
      <c r="I197" s="1429"/>
      <c r="J197" s="929">
        <f t="shared" si="90"/>
        <v>35323662.799999997</v>
      </c>
      <c r="M197" s="1429"/>
      <c r="N197" s="1421" t="s">
        <v>4</v>
      </c>
    </row>
    <row r="198" spans="1:18" s="1518" customFormat="1" ht="13.95" customHeight="1">
      <c r="A198" s="769">
        <f t="shared" si="85"/>
        <v>23.430000000000067</v>
      </c>
      <c r="B198" s="1571" t="s">
        <v>1498</v>
      </c>
      <c r="C198" s="557"/>
      <c r="D198" s="724">
        <v>-1261433.02</v>
      </c>
      <c r="E198" s="1590">
        <v>-1199799.19</v>
      </c>
      <c r="F198" s="929"/>
      <c r="G198" s="929"/>
      <c r="H198" s="929">
        <f t="shared" ref="H198" si="91">+SUM($D198:$E198)/2</f>
        <v>-1230616.105</v>
      </c>
      <c r="I198" s="1429"/>
      <c r="J198" s="929"/>
      <c r="K198" s="929"/>
      <c r="L198" s="929">
        <f t="shared" ref="L198" si="92">+E198</f>
        <v>-1199799.19</v>
      </c>
      <c r="M198" s="1429"/>
      <c r="N198" s="1546" t="s">
        <v>2</v>
      </c>
      <c r="O198" s="78" t="s">
        <v>1302</v>
      </c>
      <c r="P198" s="557"/>
      <c r="Q198" s="557"/>
      <c r="R198" s="557"/>
    </row>
    <row r="199" spans="1:18" ht="13.95" customHeight="1">
      <c r="A199" s="769">
        <f t="shared" si="85"/>
        <v>23.440000000000069</v>
      </c>
      <c r="B199" s="1571" t="s">
        <v>1499</v>
      </c>
      <c r="C199" s="557"/>
      <c r="D199" s="724">
        <v>-380124060.69999999</v>
      </c>
      <c r="E199" s="1590">
        <v>-385144310.94999999</v>
      </c>
      <c r="F199" s="929"/>
      <c r="H199" s="929">
        <f t="shared" ref="H199:H201" si="93">+SUM($D199:$E199)/2</f>
        <v>-382634185.82499999</v>
      </c>
      <c r="I199" s="1429"/>
      <c r="L199" s="929">
        <f>+E199</f>
        <v>-385144310.94999999</v>
      </c>
      <c r="M199" s="1429"/>
      <c r="N199" s="1421" t="s">
        <v>2</v>
      </c>
    </row>
    <row r="200" spans="1:18" ht="13.95" customHeight="1">
      <c r="A200" s="769">
        <f t="shared" si="85"/>
        <v>23.45000000000007</v>
      </c>
      <c r="B200" s="1571" t="s">
        <v>1500</v>
      </c>
      <c r="C200" s="557"/>
      <c r="D200" s="724">
        <v>-61388978.340000004</v>
      </c>
      <c r="E200" s="1590">
        <v>-62199734.259999998</v>
      </c>
      <c r="F200" s="929"/>
      <c r="H200" s="929">
        <f t="shared" si="93"/>
        <v>-61794356.299999997</v>
      </c>
      <c r="I200" s="1429"/>
      <c r="L200" s="929">
        <f>+E200</f>
        <v>-62199734.259999998</v>
      </c>
      <c r="M200" s="1429"/>
      <c r="N200" s="1421" t="s">
        <v>2</v>
      </c>
    </row>
    <row r="201" spans="1:18" s="1518" customFormat="1" ht="13.95" customHeight="1">
      <c r="A201" s="769">
        <f t="shared" si="85"/>
        <v>23.460000000000072</v>
      </c>
      <c r="B201" s="1571" t="s">
        <v>1501</v>
      </c>
      <c r="C201" s="557"/>
      <c r="D201" s="724">
        <v>-938743.05</v>
      </c>
      <c r="E201" s="1590">
        <v>-892876.51</v>
      </c>
      <c r="F201" s="1504"/>
      <c r="G201" s="929"/>
      <c r="H201" s="929">
        <f t="shared" si="93"/>
        <v>-915809.78</v>
      </c>
      <c r="I201" s="1429"/>
      <c r="J201" s="929"/>
      <c r="K201" s="929"/>
      <c r="L201" s="929">
        <f>+E201</f>
        <v>-892876.51</v>
      </c>
      <c r="M201" s="1429"/>
      <c r="N201" s="1546" t="s">
        <v>2</v>
      </c>
      <c r="O201" s="78" t="s">
        <v>1302</v>
      </c>
      <c r="P201" s="557"/>
      <c r="Q201" s="557"/>
      <c r="R201" s="557"/>
    </row>
    <row r="202" spans="1:18" s="1518" customFormat="1" ht="13.95" customHeight="1">
      <c r="A202" s="769">
        <f t="shared" si="85"/>
        <v>23.470000000000073</v>
      </c>
      <c r="B202" s="1571" t="s">
        <v>1502</v>
      </c>
      <c r="C202" s="557"/>
      <c r="D202" s="724">
        <v>7250728.6200000001</v>
      </c>
      <c r="E202" s="1590">
        <v>6937291.79</v>
      </c>
      <c r="F202" s="1504">
        <f t="shared" ref="F202" si="94">+SUM($D202:$E202)/2</f>
        <v>7094010.2050000001</v>
      </c>
      <c r="G202" s="929"/>
      <c r="H202" s="929"/>
      <c r="I202" s="1429"/>
      <c r="J202" s="929">
        <f t="shared" ref="J202" si="95">+E202</f>
        <v>6937291.79</v>
      </c>
      <c r="K202" s="929"/>
      <c r="L202" s="929"/>
      <c r="M202" s="1429"/>
      <c r="N202" s="1546" t="s">
        <v>1055</v>
      </c>
      <c r="O202" s="78" t="s">
        <v>1302</v>
      </c>
      <c r="P202" s="557"/>
      <c r="Q202" s="557"/>
      <c r="R202" s="557"/>
    </row>
    <row r="203" spans="1:18" ht="13.95" customHeight="1">
      <c r="A203" s="769">
        <f t="shared" si="85"/>
        <v>23.480000000000075</v>
      </c>
      <c r="B203" s="1571" t="s">
        <v>1503</v>
      </c>
      <c r="C203" s="557"/>
      <c r="D203" s="724">
        <v>-105878763.81999999</v>
      </c>
      <c r="E203" s="1590">
        <v>-110315568.95</v>
      </c>
      <c r="F203" s="929">
        <f t="shared" ref="F203:F207" si="96">+SUM($D203:$E203)/2</f>
        <v>-108097166.38499999</v>
      </c>
      <c r="I203" s="1429"/>
      <c r="J203" s="929">
        <f t="shared" si="90"/>
        <v>-110315568.95</v>
      </c>
      <c r="M203" s="1429"/>
      <c r="N203" s="1421" t="s">
        <v>205</v>
      </c>
    </row>
    <row r="204" spans="1:18" ht="13.95" customHeight="1">
      <c r="A204" s="769">
        <f t="shared" si="85"/>
        <v>23.490000000000077</v>
      </c>
      <c r="B204" s="1571" t="s">
        <v>1504</v>
      </c>
      <c r="C204" s="557"/>
      <c r="D204" s="724">
        <v>-214188939.54000002</v>
      </c>
      <c r="E204" s="1590">
        <v>-215722972.06999999</v>
      </c>
      <c r="F204" s="929">
        <f t="shared" si="96"/>
        <v>-214955955.80500001</v>
      </c>
      <c r="I204" s="1429"/>
      <c r="J204" s="929">
        <f t="shared" si="90"/>
        <v>-215722972.06999999</v>
      </c>
      <c r="M204" s="1429"/>
      <c r="N204" s="1421" t="s">
        <v>205</v>
      </c>
    </row>
    <row r="205" spans="1:18" s="1518" customFormat="1" ht="13.95" customHeight="1">
      <c r="A205" s="769">
        <f t="shared" si="85"/>
        <v>23.500000000000078</v>
      </c>
      <c r="B205" s="1571" t="s">
        <v>1505</v>
      </c>
      <c r="C205" s="557"/>
      <c r="D205" s="724">
        <v>-28852234</v>
      </c>
      <c r="E205" s="1590">
        <v>-27879694</v>
      </c>
      <c r="F205" s="1504">
        <f t="shared" si="96"/>
        <v>-28365964</v>
      </c>
      <c r="G205" s="929"/>
      <c r="H205" s="929"/>
      <c r="I205" s="1429"/>
      <c r="J205" s="929">
        <f t="shared" si="90"/>
        <v>-27879694</v>
      </c>
      <c r="K205" s="945"/>
      <c r="L205" s="945"/>
      <c r="M205" s="1429"/>
      <c r="N205" s="1546" t="s">
        <v>205</v>
      </c>
      <c r="O205" s="78" t="s">
        <v>1302</v>
      </c>
      <c r="P205" s="557"/>
      <c r="Q205" s="557"/>
      <c r="R205" s="557"/>
    </row>
    <row r="206" spans="1:18" s="1518" customFormat="1" ht="13.95" customHeight="1">
      <c r="A206" s="769">
        <f t="shared" si="85"/>
        <v>23.51000000000008</v>
      </c>
      <c r="B206" s="1571" t="s">
        <v>1506</v>
      </c>
      <c r="C206" s="557"/>
      <c r="D206" s="724">
        <v>-40153422</v>
      </c>
      <c r="E206" s="1590">
        <v>-38799930</v>
      </c>
      <c r="F206" s="1504">
        <f t="shared" si="96"/>
        <v>-39476676</v>
      </c>
      <c r="G206" s="929"/>
      <c r="H206" s="929"/>
      <c r="I206" s="1429"/>
      <c r="J206" s="929">
        <f t="shared" si="90"/>
        <v>-38799930</v>
      </c>
      <c r="K206" s="945"/>
      <c r="L206" s="945"/>
      <c r="M206" s="1429"/>
      <c r="N206" s="1546" t="s">
        <v>205</v>
      </c>
      <c r="O206" s="78" t="s">
        <v>1302</v>
      </c>
      <c r="P206" s="557"/>
      <c r="Q206" s="557"/>
      <c r="R206" s="557"/>
    </row>
    <row r="207" spans="1:18" s="1518" customFormat="1" ht="13.95" customHeight="1">
      <c r="A207" s="769">
        <f t="shared" si="85"/>
        <v>23.520000000000081</v>
      </c>
      <c r="B207" s="1571" t="s">
        <v>1507</v>
      </c>
      <c r="C207" s="557"/>
      <c r="D207" s="724">
        <v>-22164514</v>
      </c>
      <c r="E207" s="1590">
        <v>-21417394</v>
      </c>
      <c r="F207" s="1504">
        <f t="shared" si="96"/>
        <v>-21790954</v>
      </c>
      <c r="G207" s="929"/>
      <c r="H207" s="929"/>
      <c r="I207" s="1429"/>
      <c r="J207" s="929">
        <f t="shared" si="90"/>
        <v>-21417394</v>
      </c>
      <c r="K207" s="945"/>
      <c r="L207" s="945"/>
      <c r="M207" s="1429"/>
      <c r="N207" s="1546" t="s">
        <v>205</v>
      </c>
      <c r="O207" s="78" t="s">
        <v>1302</v>
      </c>
      <c r="P207" s="557"/>
      <c r="Q207" s="557"/>
      <c r="R207" s="557"/>
    </row>
    <row r="208" spans="1:18" ht="13.95" customHeight="1">
      <c r="A208" s="769">
        <f t="shared" si="85"/>
        <v>23.530000000000083</v>
      </c>
      <c r="B208" s="1571" t="s">
        <v>1508</v>
      </c>
      <c r="C208" s="557"/>
      <c r="D208" s="724">
        <v>-87745656.840000004</v>
      </c>
      <c r="E208" s="1590">
        <v>-106684917.02</v>
      </c>
      <c r="F208" s="929"/>
      <c r="H208" s="929">
        <f t="shared" ref="H208:H209" si="97">+SUM($D208:$E208)/2</f>
        <v>-97215286.930000007</v>
      </c>
      <c r="I208" s="1429"/>
      <c r="L208" s="929">
        <f t="shared" ref="L208" si="98">+E208</f>
        <v>-106684917.02</v>
      </c>
      <c r="M208" s="1429"/>
      <c r="N208" s="1421" t="s">
        <v>2</v>
      </c>
    </row>
    <row r="209" spans="1:18" ht="13.95" customHeight="1">
      <c r="A209" s="769">
        <f t="shared" si="85"/>
        <v>23.540000000000084</v>
      </c>
      <c r="B209" s="1571" t="s">
        <v>1509</v>
      </c>
      <c r="C209" s="557"/>
      <c r="D209" s="724">
        <v>-14170754.9</v>
      </c>
      <c r="E209" s="1590">
        <v>-17228885.5</v>
      </c>
      <c r="F209" s="929"/>
      <c r="H209" s="929">
        <f t="shared" si="97"/>
        <v>-15699820.199999999</v>
      </c>
      <c r="I209" s="1429"/>
      <c r="L209" s="929">
        <f>+$E209</f>
        <v>-17228885.5</v>
      </c>
      <c r="M209" s="1429"/>
      <c r="N209" s="1421" t="s">
        <v>2</v>
      </c>
    </row>
    <row r="210" spans="1:18" ht="13.95" customHeight="1">
      <c r="A210" s="769">
        <f t="shared" si="85"/>
        <v>23.550000000000086</v>
      </c>
      <c r="B210" s="1571" t="s">
        <v>1510</v>
      </c>
      <c r="C210" s="557"/>
      <c r="D210" s="724">
        <v>-242063835.68000001</v>
      </c>
      <c r="E210" s="1590">
        <v>-283637362.55000001</v>
      </c>
      <c r="F210" s="929">
        <f t="shared" ref="F210:F213" si="99">+SUM($D210:$E210)/2</f>
        <v>-262850599.11500001</v>
      </c>
      <c r="I210" s="1429"/>
      <c r="J210" s="929">
        <f t="shared" ref="J210:J222" si="100">+E210</f>
        <v>-283637362.55000001</v>
      </c>
      <c r="M210" s="1429"/>
      <c r="N210" s="1421" t="s">
        <v>197</v>
      </c>
    </row>
    <row r="211" spans="1:18" ht="13.95" customHeight="1">
      <c r="A211" s="769">
        <f t="shared" si="85"/>
        <v>23.560000000000088</v>
      </c>
      <c r="B211" s="1571" t="s">
        <v>1511</v>
      </c>
      <c r="C211" s="557"/>
      <c r="D211" s="724">
        <v>-27516947.289999999</v>
      </c>
      <c r="E211" s="1590">
        <v>-35524660.32</v>
      </c>
      <c r="F211" s="929">
        <f t="shared" si="99"/>
        <v>-31520803.805</v>
      </c>
      <c r="I211" s="1429"/>
      <c r="J211" s="929">
        <f t="shared" si="100"/>
        <v>-35524660.32</v>
      </c>
      <c r="M211" s="1429"/>
      <c r="N211" s="1421" t="s">
        <v>197</v>
      </c>
    </row>
    <row r="212" spans="1:18" ht="13.95" customHeight="1">
      <c r="A212" s="769">
        <f t="shared" si="85"/>
        <v>23.570000000000089</v>
      </c>
      <c r="B212" s="1571" t="s">
        <v>1512</v>
      </c>
      <c r="C212" s="557"/>
      <c r="D212" s="724">
        <v>-474135.36</v>
      </c>
      <c r="E212" s="1590">
        <v>-0.18</v>
      </c>
      <c r="F212" s="929">
        <f t="shared" si="99"/>
        <v>-237067.77</v>
      </c>
      <c r="I212" s="1429"/>
      <c r="J212" s="929">
        <f t="shared" si="100"/>
        <v>-0.18</v>
      </c>
      <c r="M212" s="1429"/>
      <c r="N212" s="1499" t="s">
        <v>197</v>
      </c>
    </row>
    <row r="213" spans="1:18" ht="13.95" customHeight="1">
      <c r="A213" s="769">
        <f t="shared" si="85"/>
        <v>23.580000000000091</v>
      </c>
      <c r="B213" s="1571" t="s">
        <v>1513</v>
      </c>
      <c r="C213" s="557"/>
      <c r="D213" s="724">
        <v>-76121.36</v>
      </c>
      <c r="E213" s="1590">
        <v>-0.06</v>
      </c>
      <c r="F213" s="929">
        <f t="shared" si="99"/>
        <v>-38060.71</v>
      </c>
      <c r="I213" s="1429"/>
      <c r="J213" s="929">
        <f t="shared" si="100"/>
        <v>-0.06</v>
      </c>
      <c r="M213" s="1429"/>
      <c r="N213" s="1499" t="s">
        <v>197</v>
      </c>
    </row>
    <row r="214" spans="1:18" ht="13.95" customHeight="1">
      <c r="A214" s="769">
        <f t="shared" si="85"/>
        <v>23.590000000000092</v>
      </c>
      <c r="B214" s="1571" t="s">
        <v>1514</v>
      </c>
      <c r="C214" s="557"/>
      <c r="D214" s="724">
        <v>-14046917.460000001</v>
      </c>
      <c r="E214" s="1590">
        <v>-13387574.57</v>
      </c>
      <c r="F214" s="929"/>
      <c r="G214" s="929">
        <f t="shared" ref="G214:G215" si="101">+SUM($D214:$E214)/2</f>
        <v>-13717246.015000001</v>
      </c>
      <c r="I214" s="1429"/>
      <c r="K214" s="929">
        <f t="shared" ref="K214:K215" si="102">+$E214</f>
        <v>-13387574.57</v>
      </c>
      <c r="M214" s="1429"/>
      <c r="N214" s="1499" t="s">
        <v>886</v>
      </c>
    </row>
    <row r="215" spans="1:18" ht="13.95" customHeight="1">
      <c r="A215" s="769">
        <f t="shared" si="85"/>
        <v>23.600000000000094</v>
      </c>
      <c r="B215" s="1571" t="s">
        <v>1515</v>
      </c>
      <c r="C215" s="557"/>
      <c r="D215" s="724">
        <v>-2268534.08</v>
      </c>
      <c r="E215" s="1590">
        <v>-2162053.67</v>
      </c>
      <c r="F215" s="929"/>
      <c r="G215" s="929">
        <f t="shared" si="101"/>
        <v>-2215293.875</v>
      </c>
      <c r="I215" s="1429"/>
      <c r="K215" s="929">
        <f t="shared" si="102"/>
        <v>-2162053.67</v>
      </c>
      <c r="M215" s="1429"/>
      <c r="N215" s="1499" t="s">
        <v>886</v>
      </c>
    </row>
    <row r="216" spans="1:18" s="1518" customFormat="1" ht="13.95" customHeight="1">
      <c r="A216" s="769">
        <f t="shared" si="85"/>
        <v>23.610000000000095</v>
      </c>
      <c r="B216" s="1571" t="s">
        <v>1516</v>
      </c>
      <c r="C216" s="557"/>
      <c r="D216" s="724">
        <v>17619485.289999999</v>
      </c>
      <c r="E216" s="724">
        <v>19574003.629999999</v>
      </c>
      <c r="F216" s="1504"/>
      <c r="G216" s="929"/>
      <c r="H216" s="929">
        <f t="shared" ref="H216:H217" si="103">+SUM($D216:$E216)/2</f>
        <v>18596744.460000001</v>
      </c>
      <c r="I216" s="1429"/>
      <c r="J216" s="929"/>
      <c r="K216" s="929"/>
      <c r="L216" s="929">
        <f>+E216</f>
        <v>19574003.629999999</v>
      </c>
      <c r="M216" s="1429"/>
      <c r="N216" s="1546" t="s">
        <v>1</v>
      </c>
      <c r="O216" s="78" t="s">
        <v>1302</v>
      </c>
      <c r="P216" s="557"/>
      <c r="Q216" s="557"/>
      <c r="R216" s="557"/>
    </row>
    <row r="217" spans="1:18" s="1518" customFormat="1" ht="13.95" customHeight="1">
      <c r="A217" s="769">
        <f t="shared" si="85"/>
        <v>23.620000000000097</v>
      </c>
      <c r="B217" s="1571" t="s">
        <v>1517</v>
      </c>
      <c r="C217" s="557"/>
      <c r="D217" s="724">
        <v>1497179.63</v>
      </c>
      <c r="E217" s="724">
        <v>1812816.12</v>
      </c>
      <c r="F217" s="1504"/>
      <c r="G217" s="945"/>
      <c r="H217" s="945">
        <f t="shared" si="103"/>
        <v>1654997.875</v>
      </c>
      <c r="I217" s="1429"/>
      <c r="J217" s="945"/>
      <c r="K217" s="945"/>
      <c r="L217" s="945">
        <f>+E217</f>
        <v>1812816.12</v>
      </c>
      <c r="M217" s="1429"/>
      <c r="N217" s="1546" t="s">
        <v>1</v>
      </c>
      <c r="O217" s="78" t="s">
        <v>1302</v>
      </c>
      <c r="P217" s="557"/>
      <c r="Q217" s="557"/>
      <c r="R217" s="557"/>
    </row>
    <row r="218" spans="1:18">
      <c r="A218" s="1471">
        <f t="shared" si="85"/>
        <v>23.630000000000098</v>
      </c>
      <c r="B218" s="1624" t="s">
        <v>1518</v>
      </c>
      <c r="C218" s="1443"/>
      <c r="D218" s="724">
        <v>-9344248.5</v>
      </c>
      <c r="E218" s="1590">
        <v>-8011262.5</v>
      </c>
      <c r="F218" s="1588">
        <f t="shared" ref="F218:F222" si="104">+SUM($D218:$E218)/2</f>
        <v>-8677755.5</v>
      </c>
      <c r="G218" s="1589"/>
      <c r="H218" s="1589"/>
      <c r="I218" s="1590"/>
      <c r="J218" s="1589">
        <f t="shared" si="100"/>
        <v>-8011262.5</v>
      </c>
      <c r="K218" s="1589"/>
      <c r="L218" s="1589"/>
      <c r="M218" s="1590"/>
      <c r="N218" s="1444" t="s">
        <v>1050</v>
      </c>
    </row>
    <row r="219" spans="1:18">
      <c r="A219" s="1471">
        <f>+A218+0.01</f>
        <v>23.6400000000001</v>
      </c>
      <c r="B219" s="1443" t="s">
        <v>2032</v>
      </c>
      <c r="C219" s="1434"/>
      <c r="D219" s="1587">
        <v>129032.65</v>
      </c>
      <c r="E219" s="1587">
        <v>-2901797.62</v>
      </c>
      <c r="F219" s="1588">
        <f t="shared" si="104"/>
        <v>-1386382.4850000001</v>
      </c>
      <c r="G219" s="1589"/>
      <c r="H219" s="1589"/>
      <c r="I219" s="1590"/>
      <c r="J219" s="1589">
        <f t="shared" si="100"/>
        <v>-2901797.62</v>
      </c>
      <c r="K219" s="1589"/>
      <c r="L219" s="1589"/>
      <c r="M219" s="1590"/>
      <c r="N219" s="1444" t="s">
        <v>197</v>
      </c>
    </row>
    <row r="220" spans="1:18">
      <c r="A220" s="1471">
        <f>+A219+0.01</f>
        <v>23.650000000000102</v>
      </c>
      <c r="B220" s="1443" t="s">
        <v>2033</v>
      </c>
      <c r="C220" s="1434"/>
      <c r="D220" s="1587">
        <v>20837.55</v>
      </c>
      <c r="E220" s="1587">
        <v>-465095.4</v>
      </c>
      <c r="F220" s="1588">
        <f t="shared" si="104"/>
        <v>-222128.92500000002</v>
      </c>
      <c r="G220" s="1589"/>
      <c r="H220" s="1589"/>
      <c r="I220" s="1590"/>
      <c r="J220" s="1589">
        <f t="shared" si="100"/>
        <v>-465095.4</v>
      </c>
      <c r="K220" s="1589"/>
      <c r="L220" s="1589"/>
      <c r="M220" s="1590"/>
      <c r="N220" s="1444" t="s">
        <v>197</v>
      </c>
    </row>
    <row r="221" spans="1:18">
      <c r="A221" s="1471">
        <f>+A220+0.01</f>
        <v>23.660000000000103</v>
      </c>
      <c r="B221" s="1443" t="s">
        <v>2034</v>
      </c>
      <c r="C221" s="1434"/>
      <c r="D221" s="1587">
        <v>53593.98</v>
      </c>
      <c r="E221" s="1587">
        <v>52484.98</v>
      </c>
      <c r="F221" s="1588">
        <f t="shared" si="104"/>
        <v>53039.48</v>
      </c>
      <c r="G221" s="1589"/>
      <c r="H221" s="1589"/>
      <c r="I221" s="1590"/>
      <c r="J221" s="1589">
        <f t="shared" si="100"/>
        <v>52484.98</v>
      </c>
      <c r="K221" s="1589"/>
      <c r="L221" s="1589"/>
      <c r="M221" s="1590"/>
      <c r="N221" s="1444" t="s">
        <v>197</v>
      </c>
    </row>
    <row r="222" spans="1:18">
      <c r="A222" s="1471">
        <f>+A221+0.01</f>
        <v>23.670000000000105</v>
      </c>
      <c r="B222" s="1443" t="s">
        <v>2035</v>
      </c>
      <c r="C222" s="1434"/>
      <c r="D222" s="1587">
        <v>-38967.71</v>
      </c>
      <c r="E222" s="1587">
        <v>-39256.71</v>
      </c>
      <c r="F222" s="1588">
        <f t="shared" si="104"/>
        <v>-39112.21</v>
      </c>
      <c r="G222" s="1589"/>
      <c r="H222" s="1589"/>
      <c r="I222" s="1590"/>
      <c r="J222" s="1589">
        <f t="shared" si="100"/>
        <v>-39256.71</v>
      </c>
      <c r="K222" s="1589"/>
      <c r="L222" s="1589"/>
      <c r="M222" s="1590"/>
      <c r="N222" s="1444" t="s">
        <v>197</v>
      </c>
    </row>
    <row r="223" spans="1:18">
      <c r="A223" s="1471">
        <f>+A222+0.01</f>
        <v>23.680000000000106</v>
      </c>
      <c r="B223" s="1443"/>
      <c r="C223" s="1434" t="s">
        <v>936</v>
      </c>
      <c r="D223" s="1587">
        <v>0</v>
      </c>
      <c r="E223" s="1587">
        <v>0</v>
      </c>
      <c r="F223" s="1588"/>
      <c r="G223" s="1589"/>
      <c r="H223" s="1589"/>
      <c r="I223" s="1590"/>
      <c r="J223" s="1589"/>
      <c r="K223" s="1589"/>
      <c r="L223" s="1589"/>
      <c r="M223" s="1590"/>
      <c r="N223" s="1444"/>
    </row>
    <row r="224" spans="1:18">
      <c r="A224" s="1254" t="s">
        <v>927</v>
      </c>
      <c r="B224" s="1443"/>
      <c r="C224" s="1434" t="s">
        <v>936</v>
      </c>
      <c r="D224" s="1587">
        <v>0</v>
      </c>
      <c r="E224" s="1587">
        <v>0</v>
      </c>
      <c r="F224" s="1588"/>
      <c r="G224" s="1589"/>
      <c r="H224" s="1589"/>
      <c r="I224" s="1590"/>
      <c r="J224" s="1589"/>
      <c r="K224" s="1589"/>
      <c r="L224" s="1589"/>
      <c r="M224" s="1590"/>
      <c r="N224" s="1444"/>
    </row>
    <row r="225" spans="1:18">
      <c r="A225" s="1472" t="str">
        <f>23&amp;".XX"</f>
        <v>23.XX</v>
      </c>
      <c r="B225" s="1434"/>
      <c r="C225" s="1434" t="s">
        <v>936</v>
      </c>
      <c r="D225" s="1244">
        <v>0</v>
      </c>
      <c r="E225" s="1244">
        <v>0</v>
      </c>
      <c r="F225" s="1591"/>
      <c r="G225" s="725"/>
      <c r="H225" s="725"/>
      <c r="I225" s="1592"/>
      <c r="J225" s="725"/>
      <c r="K225" s="725"/>
      <c r="L225" s="725"/>
      <c r="M225" s="1592"/>
      <c r="N225" s="1435"/>
    </row>
    <row r="226" spans="1:18" ht="13.8" thickBot="1">
      <c r="A226" s="768">
        <v>24</v>
      </c>
      <c r="B226" s="1420"/>
      <c r="C226" s="1420"/>
      <c r="D226" s="1668"/>
      <c r="E226" s="1595"/>
      <c r="F226" s="1593"/>
      <c r="G226" s="1594"/>
      <c r="H226" s="1594"/>
      <c r="I226" s="1595"/>
      <c r="J226" s="1593"/>
      <c r="K226" s="1594"/>
      <c r="L226" s="1594"/>
      <c r="M226" s="1595"/>
      <c r="N226" s="180"/>
    </row>
    <row r="227" spans="1:18" s="557" customFormat="1" ht="14.4" thickBot="1">
      <c r="A227" s="768">
        <f>+A226+1</f>
        <v>25</v>
      </c>
      <c r="B227" s="1436" t="s">
        <v>528</v>
      </c>
      <c r="C227" s="1437"/>
      <c r="D227" s="1438">
        <f t="shared" ref="D227:M227" si="105">SUM(D156:D225)</f>
        <v>-3254249330.3100004</v>
      </c>
      <c r="E227" s="1698">
        <f t="shared" si="105"/>
        <v>-3370293029.7300005</v>
      </c>
      <c r="F227" s="945">
        <f t="shared" si="105"/>
        <v>-1312837907.6899998</v>
      </c>
      <c r="G227" s="945">
        <f t="shared" si="105"/>
        <v>-15932539.890000001</v>
      </c>
      <c r="H227" s="945">
        <f t="shared" si="105"/>
        <v>-1959771312.7849998</v>
      </c>
      <c r="I227" s="1429">
        <f t="shared" si="105"/>
        <v>-23729419.655000001</v>
      </c>
      <c r="J227" s="1596">
        <f t="shared" si="105"/>
        <v>-1326858976.8099999</v>
      </c>
      <c r="K227" s="945">
        <f t="shared" si="105"/>
        <v>-15549628.24</v>
      </c>
      <c r="L227" s="945">
        <f t="shared" si="105"/>
        <v>-2004267600.02</v>
      </c>
      <c r="M227" s="1429">
        <f t="shared" si="105"/>
        <v>-23616824.66</v>
      </c>
      <c r="N227" s="1134" t="str">
        <f>+"Sum by Column of Line "&amp;A155&amp;" Subparts"</f>
        <v>Sum by Column of Line 23 Subparts</v>
      </c>
    </row>
    <row r="228" spans="1:18" s="41" customFormat="1">
      <c r="A228" s="768">
        <f t="shared" ref="A228:A229" si="106">+A227+1</f>
        <v>26</v>
      </c>
      <c r="B228" s="72" t="s">
        <v>1751</v>
      </c>
      <c r="C228" s="43"/>
      <c r="D228" s="262">
        <f>+'WP06 ADIT Support'!D31</f>
        <v>-1776611.1995884767</v>
      </c>
      <c r="E228" s="262">
        <f>+'WP06 ADIT Support'!E31</f>
        <v>-46978378.174897105</v>
      </c>
      <c r="F228" s="862"/>
      <c r="G228" s="262"/>
      <c r="H228" s="1687">
        <f t="shared" ref="H228" si="107">+SUM($D228:$E228)/2</f>
        <v>-24377494.687242791</v>
      </c>
      <c r="I228" s="1688"/>
      <c r="J228" s="862"/>
      <c r="K228" s="262"/>
      <c r="L228" s="262">
        <f>+E228</f>
        <v>-46978378.174897105</v>
      </c>
      <c r="M228" s="1688"/>
      <c r="N228" s="1689" t="s">
        <v>1752</v>
      </c>
      <c r="O228" s="1884" t="s">
        <v>1848</v>
      </c>
    </row>
    <row r="229" spans="1:18" ht="15">
      <c r="A229" s="768">
        <f t="shared" si="106"/>
        <v>27</v>
      </c>
      <c r="B229" s="1986" t="s">
        <v>526</v>
      </c>
      <c r="C229" s="1986"/>
      <c r="D229" s="1439">
        <f t="shared" ref="D229:M229" si="108">SUM(D203:D207)+D221+D222</f>
        <v>-411223247.08999997</v>
      </c>
      <c r="E229" s="1439">
        <f t="shared" si="108"/>
        <v>-414122330.74999994</v>
      </c>
      <c r="F229" s="1439">
        <f t="shared" si="108"/>
        <v>-412672788.91999996</v>
      </c>
      <c r="G229" s="1439">
        <f t="shared" si="108"/>
        <v>0</v>
      </c>
      <c r="H229" s="1439">
        <f t="shared" si="108"/>
        <v>0</v>
      </c>
      <c r="I229" s="1439">
        <f t="shared" si="108"/>
        <v>0</v>
      </c>
      <c r="J229" s="1439">
        <f t="shared" si="108"/>
        <v>-414122330.74999994</v>
      </c>
      <c r="K229" s="1439">
        <f t="shared" si="108"/>
        <v>0</v>
      </c>
      <c r="L229" s="1439">
        <f t="shared" si="108"/>
        <v>0</v>
      </c>
      <c r="M229" s="1439">
        <f t="shared" si="108"/>
        <v>0</v>
      </c>
      <c r="N229" s="820"/>
      <c r="O229" s="41"/>
    </row>
    <row r="230" spans="1:18" s="42" customFormat="1" ht="13.8">
      <c r="A230" s="843">
        <f t="shared" ref="A230" si="109">+A229+1</f>
        <v>28</v>
      </c>
      <c r="B230" s="1690" t="s">
        <v>1821</v>
      </c>
      <c r="C230" s="1629"/>
      <c r="D230" s="262">
        <f>+D227+D228-D229</f>
        <v>-2844802694.4195886</v>
      </c>
      <c r="E230" s="262">
        <f>+E227+E228-E229</f>
        <v>-3003149077.1548977</v>
      </c>
      <c r="F230" s="862">
        <f t="shared" ref="F230:M230" si="110">+F227+F228-F229</f>
        <v>-900165118.76999986</v>
      </c>
      <c r="G230" s="262">
        <f t="shared" si="110"/>
        <v>-15932539.890000001</v>
      </c>
      <c r="H230" s="262">
        <f t="shared" si="110"/>
        <v>-1984148807.4722426</v>
      </c>
      <c r="I230" s="1688">
        <f t="shared" si="110"/>
        <v>-23729419.655000001</v>
      </c>
      <c r="J230" s="862">
        <f t="shared" si="110"/>
        <v>-912736646.05999994</v>
      </c>
      <c r="K230" s="262">
        <f t="shared" si="110"/>
        <v>-15549628.24</v>
      </c>
      <c r="L230" s="262">
        <f t="shared" si="110"/>
        <v>-2051245978.1948972</v>
      </c>
      <c r="M230" s="1688">
        <f t="shared" si="110"/>
        <v>-23616824.66</v>
      </c>
      <c r="N230" s="43" t="str">
        <f>+"Ln "&amp;A227&amp;" Plus Ln "&amp;A228&amp;" Less Ln "&amp;A229</f>
        <v>Ln 25 Plus Ln 26 Less Ln 27</v>
      </c>
      <c r="O230" s="1884" t="s">
        <v>1849</v>
      </c>
      <c r="P230" s="41"/>
      <c r="Q230" s="41"/>
      <c r="R230" s="41"/>
    </row>
    <row r="231" spans="1:18">
      <c r="A231" s="768">
        <f>+A230+1</f>
        <v>29</v>
      </c>
      <c r="B231" s="1442"/>
      <c r="C231" s="1442"/>
      <c r="D231" s="1604"/>
      <c r="E231" s="1605"/>
      <c r="F231" s="1606"/>
      <c r="G231" s="1606"/>
      <c r="H231" s="1606"/>
      <c r="I231" s="1606"/>
      <c r="J231" s="945"/>
      <c r="K231" s="945"/>
      <c r="L231" s="1606"/>
      <c r="M231" s="1606"/>
      <c r="N231" s="1134"/>
    </row>
    <row r="232" spans="1:18" ht="16.8">
      <c r="A232" s="768">
        <f>+A231+1</f>
        <v>30</v>
      </c>
      <c r="B232" s="1440" t="s">
        <v>776</v>
      </c>
      <c r="C232" s="954"/>
      <c r="D232" s="1581"/>
      <c r="E232" s="1607"/>
      <c r="F232" s="1991" t="str">
        <f>F8</f>
        <v>Average of BOY/EOY (Col (C+D)/2)</v>
      </c>
      <c r="G232" s="1987"/>
      <c r="H232" s="1987"/>
      <c r="I232" s="1988"/>
      <c r="J232" s="1991" t="str">
        <f>J8</f>
        <v>EOY (Col D)</v>
      </c>
      <c r="K232" s="1987"/>
      <c r="L232" s="1987"/>
      <c r="M232" s="1988"/>
      <c r="N232" s="1427" t="s">
        <v>49</v>
      </c>
    </row>
    <row r="233" spans="1:18" ht="13.95" customHeight="1">
      <c r="A233" s="769">
        <f t="shared" ref="A233:A266" si="111">+A232+0.01</f>
        <v>30.01</v>
      </c>
      <c r="B233" s="1570" t="s">
        <v>1528</v>
      </c>
      <c r="C233" s="557"/>
      <c r="D233" s="724">
        <v>-850236.34000000008</v>
      </c>
      <c r="E233" s="724">
        <v>-249505.06</v>
      </c>
      <c r="F233" s="1504">
        <f t="shared" ref="F233:G248" si="112">+SUM($D233:$E233)/2</f>
        <v>-549870.70000000007</v>
      </c>
      <c r="G233" s="945"/>
      <c r="H233" s="945"/>
      <c r="I233" s="1429"/>
      <c r="J233" s="1504">
        <f t="shared" ref="J233:J250" si="113">+E233</f>
        <v>-249505.06</v>
      </c>
      <c r="K233" s="945"/>
      <c r="L233" s="945"/>
      <c r="M233" s="1429"/>
      <c r="N233" s="1421" t="s">
        <v>197</v>
      </c>
    </row>
    <row r="234" spans="1:18" ht="13.95" customHeight="1">
      <c r="A234" s="769">
        <f t="shared" si="111"/>
        <v>30.020000000000003</v>
      </c>
      <c r="B234" s="1570" t="s">
        <v>1529</v>
      </c>
      <c r="C234" s="557"/>
      <c r="D234" s="724">
        <v>-137305.24</v>
      </c>
      <c r="E234" s="724">
        <v>-40292.74</v>
      </c>
      <c r="F234" s="1504">
        <f t="shared" si="112"/>
        <v>-88798.989999999991</v>
      </c>
      <c r="I234" s="1429"/>
      <c r="J234" s="1504">
        <f t="shared" si="113"/>
        <v>-40292.74</v>
      </c>
      <c r="M234" s="1429"/>
      <c r="N234" s="1421" t="s">
        <v>197</v>
      </c>
    </row>
    <row r="235" spans="1:18" ht="13.95" customHeight="1">
      <c r="A235" s="769">
        <f t="shared" si="111"/>
        <v>30.030000000000005</v>
      </c>
      <c r="B235" s="1570" t="s">
        <v>1530</v>
      </c>
      <c r="C235" s="557"/>
      <c r="D235" s="724">
        <v>-13627909.970000001</v>
      </c>
      <c r="E235" s="724">
        <v>-12308276.529999999</v>
      </c>
      <c r="F235" s="1504">
        <f t="shared" si="112"/>
        <v>-12968093.25</v>
      </c>
      <c r="I235" s="1429"/>
      <c r="J235" s="1504">
        <f t="shared" si="113"/>
        <v>-12308276.529999999</v>
      </c>
      <c r="M235" s="1429"/>
      <c r="N235" s="1421" t="s">
        <v>6</v>
      </c>
    </row>
    <row r="236" spans="1:18" ht="13.95" customHeight="1">
      <c r="A236" s="769">
        <f t="shared" si="111"/>
        <v>30.040000000000006</v>
      </c>
      <c r="B236" s="1570" t="s">
        <v>1531</v>
      </c>
      <c r="C236" s="557"/>
      <c r="D236" s="724">
        <v>-2200780.36</v>
      </c>
      <c r="E236" s="724">
        <v>-1987671.85</v>
      </c>
      <c r="F236" s="1504">
        <f t="shared" si="112"/>
        <v>-2094226.105</v>
      </c>
      <c r="I236" s="1429"/>
      <c r="J236" s="1504">
        <f t="shared" si="113"/>
        <v>-1987671.85</v>
      </c>
      <c r="M236" s="1429"/>
      <c r="N236" s="1421" t="s">
        <v>6</v>
      </c>
    </row>
    <row r="237" spans="1:18" ht="13.95" customHeight="1">
      <c r="A237" s="769">
        <f t="shared" si="111"/>
        <v>30.050000000000008</v>
      </c>
      <c r="B237" s="1570" t="s">
        <v>1532</v>
      </c>
      <c r="C237" s="557"/>
      <c r="D237" s="724">
        <v>-36228020.539999999</v>
      </c>
      <c r="E237" s="724">
        <v>-29756103.370000001</v>
      </c>
      <c r="F237" s="1504">
        <f t="shared" si="112"/>
        <v>-32992061.954999998</v>
      </c>
      <c r="I237" s="1429"/>
      <c r="J237" s="1504">
        <f t="shared" si="113"/>
        <v>-29756103.370000001</v>
      </c>
      <c r="M237" s="1429"/>
      <c r="N237" s="1421" t="s">
        <v>197</v>
      </c>
    </row>
    <row r="238" spans="1:18" ht="13.95" customHeight="1">
      <c r="A238" s="769">
        <f t="shared" si="111"/>
        <v>30.060000000000009</v>
      </c>
      <c r="B238" s="1570" t="s">
        <v>1533</v>
      </c>
      <c r="C238" s="557"/>
      <c r="D238" s="724">
        <v>-5850291.9100000001</v>
      </c>
      <c r="E238" s="724">
        <v>-4805172.71</v>
      </c>
      <c r="F238" s="1504">
        <f t="shared" si="112"/>
        <v>-5327732.3100000005</v>
      </c>
      <c r="I238" s="1429"/>
      <c r="J238" s="1504">
        <f t="shared" si="113"/>
        <v>-4805172.71</v>
      </c>
      <c r="M238" s="1429"/>
      <c r="N238" s="1421" t="s">
        <v>197</v>
      </c>
    </row>
    <row r="239" spans="1:18" ht="13.95" customHeight="1">
      <c r="A239" s="769">
        <f t="shared" si="111"/>
        <v>30.070000000000011</v>
      </c>
      <c r="B239" s="1570" t="s">
        <v>1534</v>
      </c>
      <c r="C239" s="557"/>
      <c r="D239" s="724">
        <v>1409195.11</v>
      </c>
      <c r="E239" s="724">
        <v>1574315.43</v>
      </c>
      <c r="F239" s="1504">
        <f t="shared" si="112"/>
        <v>1491755.27</v>
      </c>
      <c r="I239" s="1429"/>
      <c r="J239" s="1504">
        <f t="shared" si="113"/>
        <v>1574315.43</v>
      </c>
      <c r="M239" s="1429"/>
      <c r="N239" s="1421" t="s">
        <v>197</v>
      </c>
    </row>
    <row r="240" spans="1:18" ht="13.95" customHeight="1">
      <c r="A240" s="769">
        <f t="shared" si="111"/>
        <v>30.080000000000013</v>
      </c>
      <c r="B240" s="1570" t="s">
        <v>1535</v>
      </c>
      <c r="C240" s="557"/>
      <c r="D240" s="724">
        <v>227571.87</v>
      </c>
      <c r="E240" s="724">
        <v>254237.26</v>
      </c>
      <c r="F240" s="1504">
        <f t="shared" si="112"/>
        <v>240904.565</v>
      </c>
      <c r="I240" s="1429"/>
      <c r="J240" s="1504">
        <f t="shared" si="113"/>
        <v>254237.26</v>
      </c>
      <c r="M240" s="1429"/>
      <c r="N240" s="1421" t="s">
        <v>197</v>
      </c>
    </row>
    <row r="241" spans="1:18" ht="13.95" customHeight="1">
      <c r="A241" s="769">
        <f t="shared" si="111"/>
        <v>30.090000000000014</v>
      </c>
      <c r="B241" s="1570" t="s">
        <v>1536</v>
      </c>
      <c r="C241" s="557"/>
      <c r="D241" s="724">
        <v>-8810098.6300000008</v>
      </c>
      <c r="E241" s="724">
        <v>-4889886.53</v>
      </c>
      <c r="F241" s="1504"/>
      <c r="G241" s="929">
        <f t="shared" si="112"/>
        <v>-6849992.5800000001</v>
      </c>
      <c r="I241" s="1429"/>
      <c r="J241" s="1504"/>
      <c r="K241" s="929">
        <f>+E241</f>
        <v>-4889886.53</v>
      </c>
      <c r="M241" s="1429"/>
      <c r="N241" s="1499" t="s">
        <v>297</v>
      </c>
    </row>
    <row r="242" spans="1:18" ht="13.95" customHeight="1">
      <c r="A242" s="769">
        <f t="shared" si="111"/>
        <v>30.100000000000016</v>
      </c>
      <c r="B242" s="1570" t="s">
        <v>1537</v>
      </c>
      <c r="C242" s="557"/>
      <c r="D242" s="724">
        <v>-1422748.78</v>
      </c>
      <c r="E242" s="724">
        <v>-789671.08</v>
      </c>
      <c r="F242" s="1504"/>
      <c r="G242" s="929">
        <f t="shared" si="112"/>
        <v>-1106209.93</v>
      </c>
      <c r="I242" s="1429"/>
      <c r="J242" s="1504"/>
      <c r="K242" s="929">
        <f>+E242</f>
        <v>-789671.08</v>
      </c>
      <c r="M242" s="1429"/>
      <c r="N242" s="1499" t="s">
        <v>297</v>
      </c>
    </row>
    <row r="243" spans="1:18" ht="13.95" customHeight="1">
      <c r="A243" s="769">
        <f t="shared" si="111"/>
        <v>30.110000000000017</v>
      </c>
      <c r="B243" s="1570" t="s">
        <v>1538</v>
      </c>
      <c r="C243" s="557"/>
      <c r="D243" s="724">
        <v>-2217082.63</v>
      </c>
      <c r="E243" s="724">
        <v>-686613.55</v>
      </c>
      <c r="F243" s="1504">
        <f t="shared" si="112"/>
        <v>-1451848.0899999999</v>
      </c>
      <c r="I243" s="1429"/>
      <c r="J243" s="1504">
        <f t="shared" ref="J243:J244" si="114">+E243</f>
        <v>-686613.55</v>
      </c>
      <c r="M243" s="1429"/>
      <c r="N243" s="1546" t="s">
        <v>197</v>
      </c>
      <c r="O243" s="557" t="s">
        <v>1304</v>
      </c>
    </row>
    <row r="244" spans="1:18" ht="13.95" customHeight="1">
      <c r="A244" s="769">
        <f t="shared" si="111"/>
        <v>30.120000000000019</v>
      </c>
      <c r="B244" s="1570" t="s">
        <v>1539</v>
      </c>
      <c r="C244" s="557"/>
      <c r="D244" s="724">
        <v>-358038.17</v>
      </c>
      <c r="E244" s="724">
        <v>-110881.69</v>
      </c>
      <c r="F244" s="1504">
        <f t="shared" si="112"/>
        <v>-234459.93</v>
      </c>
      <c r="I244" s="1429"/>
      <c r="J244" s="1504">
        <f t="shared" si="114"/>
        <v>-110881.69</v>
      </c>
      <c r="M244" s="1429"/>
      <c r="N244" s="1546" t="s">
        <v>197</v>
      </c>
      <c r="O244" s="557" t="s">
        <v>1304</v>
      </c>
    </row>
    <row r="245" spans="1:18" ht="13.95" customHeight="1">
      <c r="A245" s="769">
        <f t="shared" si="111"/>
        <v>30.13000000000002</v>
      </c>
      <c r="B245" s="1570" t="s">
        <v>1540</v>
      </c>
      <c r="C245" s="557"/>
      <c r="D245" s="724">
        <v>-18070742.359999999</v>
      </c>
      <c r="E245" s="724">
        <v>-3346106.54</v>
      </c>
      <c r="F245" s="1504">
        <f t="shared" si="112"/>
        <v>-10708424.449999999</v>
      </c>
      <c r="I245" s="1429"/>
      <c r="J245" s="1504">
        <f t="shared" si="113"/>
        <v>-3346106.54</v>
      </c>
      <c r="M245" s="1429"/>
      <c r="N245" s="1421" t="s">
        <v>197</v>
      </c>
    </row>
    <row r="246" spans="1:18" ht="13.95" customHeight="1">
      <c r="A246" s="769">
        <f t="shared" si="111"/>
        <v>30.140000000000022</v>
      </c>
      <c r="B246" s="1570" t="s">
        <v>1541</v>
      </c>
      <c r="C246" s="557"/>
      <c r="D246" s="724">
        <v>-2918256.42</v>
      </c>
      <c r="E246" s="724">
        <v>-540365.03</v>
      </c>
      <c r="F246" s="1504">
        <f t="shared" si="112"/>
        <v>-1729310.7250000001</v>
      </c>
      <c r="I246" s="1429"/>
      <c r="J246" s="1504">
        <f t="shared" si="113"/>
        <v>-540365.03</v>
      </c>
      <c r="M246" s="1429"/>
      <c r="N246" s="1421" t="s">
        <v>197</v>
      </c>
    </row>
    <row r="247" spans="1:18" ht="13.95" customHeight="1">
      <c r="A247" s="769">
        <f t="shared" si="111"/>
        <v>30.150000000000023</v>
      </c>
      <c r="B247" s="1570" t="s">
        <v>1542</v>
      </c>
      <c r="C247" s="557"/>
      <c r="D247" s="724">
        <v>-227867664.75999999</v>
      </c>
      <c r="E247" s="724">
        <v>-227425457.37</v>
      </c>
      <c r="F247" s="1504">
        <f t="shared" si="112"/>
        <v>-227646561.065</v>
      </c>
      <c r="I247" s="1429"/>
      <c r="J247" s="1504">
        <f t="shared" si="113"/>
        <v>-227425457.37</v>
      </c>
      <c r="M247" s="1429"/>
      <c r="N247" s="1421" t="s">
        <v>196</v>
      </c>
    </row>
    <row r="248" spans="1:18" ht="13.95" customHeight="1">
      <c r="A248" s="769">
        <f t="shared" si="111"/>
        <v>30.160000000000025</v>
      </c>
      <c r="B248" s="1570" t="s">
        <v>1543</v>
      </c>
      <c r="C248" s="557"/>
      <c r="D248" s="724">
        <v>-36798503.270000003</v>
      </c>
      <c r="E248" s="724">
        <v>-36727090.890000001</v>
      </c>
      <c r="F248" s="1504">
        <f t="shared" si="112"/>
        <v>-36762797.079999998</v>
      </c>
      <c r="I248" s="1429"/>
      <c r="J248" s="1504">
        <f t="shared" si="113"/>
        <v>-36727090.890000001</v>
      </c>
      <c r="M248" s="1429"/>
      <c r="N248" s="1421" t="s">
        <v>196</v>
      </c>
    </row>
    <row r="249" spans="1:18" s="1467" customFormat="1" ht="13.95" customHeight="1">
      <c r="A249" s="769">
        <f t="shared" si="111"/>
        <v>30.170000000000027</v>
      </c>
      <c r="B249" s="1570" t="s">
        <v>1544</v>
      </c>
      <c r="C249" s="557"/>
      <c r="D249" s="724">
        <v>0</v>
      </c>
      <c r="E249" s="724">
        <v>0</v>
      </c>
      <c r="F249" s="1504">
        <f t="shared" ref="F249:F250" si="115">+SUM($D249:$E249)/2</f>
        <v>0</v>
      </c>
      <c r="G249" s="945"/>
      <c r="H249" s="945"/>
      <c r="I249" s="1429"/>
      <c r="J249" s="1504">
        <f t="shared" si="113"/>
        <v>0</v>
      </c>
      <c r="K249" s="945"/>
      <c r="L249" s="945"/>
      <c r="M249" s="1429"/>
      <c r="N249" s="1546" t="s">
        <v>196</v>
      </c>
      <c r="O249" s="78" t="s">
        <v>1302</v>
      </c>
      <c r="P249" s="557"/>
      <c r="Q249" s="557"/>
      <c r="R249" s="557"/>
    </row>
    <row r="250" spans="1:18" s="1467" customFormat="1" ht="13.95" customHeight="1">
      <c r="A250" s="769">
        <f t="shared" si="111"/>
        <v>30.180000000000028</v>
      </c>
      <c r="B250" s="1570" t="s">
        <v>1545</v>
      </c>
      <c r="C250" s="557"/>
      <c r="D250" s="724">
        <v>0</v>
      </c>
      <c r="E250" s="724">
        <v>0</v>
      </c>
      <c r="F250" s="1504">
        <f t="shared" si="115"/>
        <v>0</v>
      </c>
      <c r="G250" s="945"/>
      <c r="H250" s="945"/>
      <c r="I250" s="1429"/>
      <c r="J250" s="1504">
        <f t="shared" si="113"/>
        <v>0</v>
      </c>
      <c r="K250" s="945"/>
      <c r="L250" s="945"/>
      <c r="M250" s="1429"/>
      <c r="N250" s="1546" t="s">
        <v>196</v>
      </c>
      <c r="O250" s="78" t="s">
        <v>1302</v>
      </c>
      <c r="P250" s="557"/>
      <c r="Q250" s="557"/>
      <c r="R250" s="557"/>
    </row>
    <row r="251" spans="1:18" ht="13.95" customHeight="1">
      <c r="A251" s="769">
        <f t="shared" si="111"/>
        <v>30.19000000000003</v>
      </c>
      <c r="B251" s="1570" t="s">
        <v>1546</v>
      </c>
      <c r="C251" s="557"/>
      <c r="D251" s="724">
        <v>-6355210.2400000002</v>
      </c>
      <c r="E251" s="724">
        <v>-8954792.9399999995</v>
      </c>
      <c r="F251" s="1504"/>
      <c r="H251" s="929">
        <f t="shared" ref="H251:H252" si="116">+SUM($D251:$E251)/2</f>
        <v>-7655001.5899999999</v>
      </c>
      <c r="I251" s="1429"/>
      <c r="J251" s="1504"/>
      <c r="L251" s="929">
        <f t="shared" ref="L251:L252" si="117">+E251</f>
        <v>-8954792.9399999995</v>
      </c>
      <c r="M251" s="1429"/>
      <c r="N251" s="1421" t="s">
        <v>278</v>
      </c>
    </row>
    <row r="252" spans="1:18" ht="13.95" customHeight="1">
      <c r="A252" s="769">
        <f t="shared" si="111"/>
        <v>30.200000000000031</v>
      </c>
      <c r="B252" s="1570" t="s">
        <v>1547</v>
      </c>
      <c r="C252" s="557"/>
      <c r="D252" s="724">
        <v>-1026307.23</v>
      </c>
      <c r="E252" s="724">
        <v>-1446115.59</v>
      </c>
      <c r="F252" s="1504"/>
      <c r="H252" s="929">
        <f t="shared" si="116"/>
        <v>-1236211.4100000001</v>
      </c>
      <c r="I252" s="1429"/>
      <c r="J252" s="1504"/>
      <c r="L252" s="929">
        <f t="shared" si="117"/>
        <v>-1446115.59</v>
      </c>
      <c r="M252" s="1429"/>
      <c r="N252" s="1421" t="s">
        <v>278</v>
      </c>
    </row>
    <row r="253" spans="1:18" s="1467" customFormat="1" ht="13.95" customHeight="1">
      <c r="A253" s="769">
        <f t="shared" si="111"/>
        <v>30.210000000000033</v>
      </c>
      <c r="B253" s="1570" t="s">
        <v>1548</v>
      </c>
      <c r="C253" s="557"/>
      <c r="D253" s="724">
        <v>11915656.369999997</v>
      </c>
      <c r="E253" s="724">
        <v>-693422693.08000004</v>
      </c>
      <c r="F253" s="1504">
        <f t="shared" ref="F253:F254" si="118">+SUM($D253:$E253)/2</f>
        <v>-340753518.35500002</v>
      </c>
      <c r="G253" s="945"/>
      <c r="H253" s="945"/>
      <c r="I253" s="1429"/>
      <c r="J253" s="1504">
        <f t="shared" ref="J253:J254" si="119">+E253</f>
        <v>-693422693.08000004</v>
      </c>
      <c r="K253" s="945"/>
      <c r="L253" s="945"/>
      <c r="M253" s="1429"/>
      <c r="N253" s="1546" t="s">
        <v>1137</v>
      </c>
      <c r="O253" s="78" t="s">
        <v>1302</v>
      </c>
      <c r="P253" s="557"/>
      <c r="Q253" s="557"/>
      <c r="R253" s="557"/>
    </row>
    <row r="254" spans="1:18" s="1467" customFormat="1" ht="13.95" customHeight="1">
      <c r="A254" s="769">
        <f t="shared" si="111"/>
        <v>30.220000000000034</v>
      </c>
      <c r="B254" s="1570" t="s">
        <v>1549</v>
      </c>
      <c r="C254" s="557"/>
      <c r="D254" s="724">
        <v>1924267.3999999994</v>
      </c>
      <c r="E254" s="724">
        <v>-111981299.54000001</v>
      </c>
      <c r="F254" s="1504">
        <f t="shared" si="118"/>
        <v>-55028516.07</v>
      </c>
      <c r="G254" s="945"/>
      <c r="H254" s="945"/>
      <c r="I254" s="1429"/>
      <c r="J254" s="1504">
        <f t="shared" si="119"/>
        <v>-111981299.54000001</v>
      </c>
      <c r="K254" s="945"/>
      <c r="L254" s="945"/>
      <c r="M254" s="1429"/>
      <c r="N254" s="1546" t="s">
        <v>1137</v>
      </c>
      <c r="O254" s="78" t="s">
        <v>1302</v>
      </c>
      <c r="P254" s="557"/>
      <c r="Q254" s="557"/>
      <c r="R254" s="557"/>
    </row>
    <row r="255" spans="1:18" ht="13.95" customHeight="1">
      <c r="A255" s="769">
        <f t="shared" si="111"/>
        <v>30.230000000000036</v>
      </c>
      <c r="B255" s="557" t="s">
        <v>1519</v>
      </c>
      <c r="C255" s="557"/>
      <c r="D255" s="724">
        <v>0</v>
      </c>
      <c r="E255" s="724">
        <v>0</v>
      </c>
      <c r="F255" s="1504">
        <f t="shared" ref="F255:F256" si="120">+SUM($D255:$E255)/2</f>
        <v>0</v>
      </c>
      <c r="I255" s="1429"/>
      <c r="J255" s="1504">
        <f t="shared" ref="J255:J256" si="121">+E255</f>
        <v>0</v>
      </c>
      <c r="M255" s="1429"/>
      <c r="N255" s="1421" t="s">
        <v>6</v>
      </c>
    </row>
    <row r="256" spans="1:18" ht="13.95" customHeight="1">
      <c r="A256" s="769">
        <f t="shared" si="111"/>
        <v>30.240000000000038</v>
      </c>
      <c r="B256" s="557" t="s">
        <v>1520</v>
      </c>
      <c r="C256" s="557"/>
      <c r="D256" s="724">
        <v>0</v>
      </c>
      <c r="E256" s="724">
        <v>0</v>
      </c>
      <c r="F256" s="1504">
        <f t="shared" si="120"/>
        <v>0</v>
      </c>
      <c r="I256" s="1429"/>
      <c r="J256" s="1504">
        <f t="shared" si="121"/>
        <v>0</v>
      </c>
      <c r="M256" s="1429"/>
      <c r="N256" s="1421" t="s">
        <v>6</v>
      </c>
    </row>
    <row r="257" spans="1:14" ht="26.4">
      <c r="A257" s="769">
        <f t="shared" si="111"/>
        <v>30.250000000000039</v>
      </c>
      <c r="B257" s="1570" t="s">
        <v>1550</v>
      </c>
      <c r="C257" s="557"/>
      <c r="D257" s="724">
        <v>-6124214.79</v>
      </c>
      <c r="E257" s="724">
        <v>-5443831.4400000004</v>
      </c>
      <c r="F257" s="1504"/>
      <c r="G257" s="929">
        <f t="shared" ref="G257:G258" si="122">+SUM($D257:$E257)/2</f>
        <v>-5784023.1150000002</v>
      </c>
      <c r="I257" s="1429"/>
      <c r="J257" s="1504"/>
      <c r="K257" s="929">
        <f>+E257</f>
        <v>-5443831.4400000004</v>
      </c>
      <c r="M257" s="1429"/>
      <c r="N257" s="1421" t="s">
        <v>7</v>
      </c>
    </row>
    <row r="258" spans="1:14" ht="26.4">
      <c r="A258" s="769">
        <f t="shared" si="111"/>
        <v>30.260000000000041</v>
      </c>
      <c r="B258" s="1570" t="s">
        <v>1551</v>
      </c>
      <c r="C258" s="557"/>
      <c r="D258" s="724">
        <v>-988973.01</v>
      </c>
      <c r="E258" s="724">
        <v>-879097.44</v>
      </c>
      <c r="F258" s="1504"/>
      <c r="G258" s="929">
        <f t="shared" si="122"/>
        <v>-934035.22499999998</v>
      </c>
      <c r="I258" s="1429"/>
      <c r="J258" s="1504"/>
      <c r="K258" s="929">
        <f>+E258</f>
        <v>-879097.44</v>
      </c>
      <c r="M258" s="1429"/>
      <c r="N258" s="1421" t="s">
        <v>7</v>
      </c>
    </row>
    <row r="259" spans="1:14" ht="13.95" customHeight="1">
      <c r="A259" s="769">
        <f t="shared" si="111"/>
        <v>30.270000000000042</v>
      </c>
      <c r="B259" s="1570" t="s">
        <v>1552</v>
      </c>
      <c r="C259" s="557"/>
      <c r="D259" s="724">
        <v>-12428724.549999999</v>
      </c>
      <c r="E259" s="724">
        <v>-4693669.5</v>
      </c>
      <c r="F259" s="1504">
        <f t="shared" ref="F259:F272" si="123">+SUM($D259:$E259)/2</f>
        <v>-8561197.0249999985</v>
      </c>
      <c r="I259" s="1429"/>
      <c r="J259" s="1504">
        <f t="shared" ref="J259:J272" si="124">+E259</f>
        <v>-4693669.5</v>
      </c>
      <c r="M259" s="1429"/>
      <c r="N259" s="1421" t="s">
        <v>1051</v>
      </c>
    </row>
    <row r="260" spans="1:14" ht="13.95" customHeight="1">
      <c r="A260" s="769">
        <f t="shared" si="111"/>
        <v>30.280000000000044</v>
      </c>
      <c r="B260" s="1570" t="s">
        <v>1553</v>
      </c>
      <c r="C260" s="557"/>
      <c r="D260" s="724">
        <v>-2007123.1199999999</v>
      </c>
      <c r="E260" s="724">
        <v>-2628378.2599999998</v>
      </c>
      <c r="F260" s="1504">
        <f t="shared" si="123"/>
        <v>-2317750.69</v>
      </c>
      <c r="I260" s="1429"/>
      <c r="J260" s="1504">
        <f t="shared" si="124"/>
        <v>-2628378.2599999998</v>
      </c>
      <c r="M260" s="1429"/>
      <c r="N260" s="1421" t="s">
        <v>1051</v>
      </c>
    </row>
    <row r="261" spans="1:14" ht="13.95" customHeight="1">
      <c r="A261" s="769">
        <f t="shared" si="111"/>
        <v>30.290000000000045</v>
      </c>
      <c r="B261" s="1570" t="s">
        <v>1554</v>
      </c>
      <c r="C261" s="557"/>
      <c r="D261" s="724">
        <v>-1019224.7699999996</v>
      </c>
      <c r="E261" s="724">
        <v>-914688.79</v>
      </c>
      <c r="F261" s="1504">
        <f t="shared" si="123"/>
        <v>-966956.7799999998</v>
      </c>
      <c r="I261" s="1429"/>
      <c r="J261" s="1504">
        <f t="shared" si="124"/>
        <v>-914688.79</v>
      </c>
      <c r="M261" s="1429"/>
      <c r="N261" s="1421" t="s">
        <v>1050</v>
      </c>
    </row>
    <row r="262" spans="1:14" ht="13.95" customHeight="1">
      <c r="A262" s="769">
        <f t="shared" si="111"/>
        <v>30.300000000000047</v>
      </c>
      <c r="B262" s="1570" t="s">
        <v>1555</v>
      </c>
      <c r="C262" s="557"/>
      <c r="D262" s="724">
        <v>-164595.28999999992</v>
      </c>
      <c r="E262" s="724">
        <v>-147713.70000000001</v>
      </c>
      <c r="F262" s="1504">
        <f t="shared" si="123"/>
        <v>-156154.49499999997</v>
      </c>
      <c r="I262" s="1429"/>
      <c r="J262" s="1504">
        <f t="shared" si="124"/>
        <v>-147713.70000000001</v>
      </c>
      <c r="M262" s="1429"/>
      <c r="N262" s="1421" t="s">
        <v>1050</v>
      </c>
    </row>
    <row r="263" spans="1:14" ht="13.95" customHeight="1">
      <c r="A263" s="769">
        <f t="shared" si="111"/>
        <v>30.310000000000048</v>
      </c>
      <c r="B263" s="1570" t="s">
        <v>1556</v>
      </c>
      <c r="C263" s="557"/>
      <c r="D263" s="724">
        <v>-210722.66999999998</v>
      </c>
      <c r="E263" s="724">
        <v>-121433.97</v>
      </c>
      <c r="F263" s="1504">
        <f t="shared" si="123"/>
        <v>-166078.32</v>
      </c>
      <c r="I263" s="1429"/>
      <c r="J263" s="1504">
        <f t="shared" si="124"/>
        <v>-121433.97</v>
      </c>
      <c r="M263" s="1429"/>
      <c r="N263" s="1421" t="s">
        <v>1052</v>
      </c>
    </row>
    <row r="264" spans="1:14" ht="13.95" customHeight="1">
      <c r="A264" s="769">
        <f t="shared" si="111"/>
        <v>30.32000000000005</v>
      </c>
      <c r="B264" s="1570" t="s">
        <v>1557</v>
      </c>
      <c r="C264" s="557"/>
      <c r="D264" s="724">
        <v>-34029.749999999993</v>
      </c>
      <c r="E264" s="724">
        <v>-19610.46</v>
      </c>
      <c r="F264" s="1504">
        <f t="shared" si="123"/>
        <v>-26820.104999999996</v>
      </c>
      <c r="I264" s="1429"/>
      <c r="J264" s="1504">
        <f t="shared" si="124"/>
        <v>-19610.46</v>
      </c>
      <c r="M264" s="1429"/>
      <c r="N264" s="1421" t="s">
        <v>1052</v>
      </c>
    </row>
    <row r="265" spans="1:14" ht="13.95" customHeight="1">
      <c r="A265" s="769">
        <f t="shared" si="111"/>
        <v>30.330000000000052</v>
      </c>
      <c r="B265" s="1570" t="s">
        <v>1558</v>
      </c>
      <c r="C265" s="557"/>
      <c r="D265" s="724">
        <v>-5666127.9299999997</v>
      </c>
      <c r="E265" s="724">
        <v>-3199349.3</v>
      </c>
      <c r="F265" s="1504">
        <f t="shared" si="123"/>
        <v>-4432738.6150000002</v>
      </c>
      <c r="I265" s="1429"/>
      <c r="J265" s="1504">
        <f t="shared" si="124"/>
        <v>-3199349.3</v>
      </c>
      <c r="M265" s="1429"/>
      <c r="N265" s="1499" t="s">
        <v>296</v>
      </c>
    </row>
    <row r="266" spans="1:14" ht="13.95" customHeight="1">
      <c r="A266" s="769">
        <f t="shared" si="111"/>
        <v>30.340000000000053</v>
      </c>
      <c r="B266" s="1570" t="s">
        <v>1559</v>
      </c>
      <c r="C266" s="557"/>
      <c r="D266" s="724">
        <v>-915026.84000000008</v>
      </c>
      <c r="E266" s="724">
        <v>-516665.09</v>
      </c>
      <c r="F266" s="1504">
        <f t="shared" si="123"/>
        <v>-715845.96500000008</v>
      </c>
      <c r="I266" s="1429"/>
      <c r="J266" s="1504">
        <f t="shared" si="124"/>
        <v>-516665.09</v>
      </c>
      <c r="M266" s="1429"/>
      <c r="N266" s="1499" t="s">
        <v>296</v>
      </c>
    </row>
    <row r="267" spans="1:14" ht="13.95" customHeight="1">
      <c r="A267" s="769">
        <f t="shared" ref="A267:A299" si="125">+A266+0.01</f>
        <v>30.350000000000055</v>
      </c>
      <c r="B267" s="1570" t="s">
        <v>1560</v>
      </c>
      <c r="C267" s="557"/>
      <c r="D267" s="724">
        <v>0</v>
      </c>
      <c r="E267" s="724">
        <v>0</v>
      </c>
      <c r="F267" s="1504">
        <f t="shared" si="123"/>
        <v>0</v>
      </c>
      <c r="I267" s="1429"/>
      <c r="J267" s="1504">
        <f t="shared" si="124"/>
        <v>0</v>
      </c>
      <c r="M267" s="1429"/>
      <c r="N267" s="1499" t="s">
        <v>1053</v>
      </c>
    </row>
    <row r="268" spans="1:14" ht="13.95" customHeight="1">
      <c r="A268" s="769">
        <f t="shared" si="125"/>
        <v>30.360000000000056</v>
      </c>
      <c r="B268" s="1570" t="s">
        <v>1561</v>
      </c>
      <c r="C268" s="557"/>
      <c r="D268" s="724">
        <v>0</v>
      </c>
      <c r="E268" s="724">
        <v>0</v>
      </c>
      <c r="F268" s="1504">
        <f t="shared" si="123"/>
        <v>0</v>
      </c>
      <c r="I268" s="1429"/>
      <c r="J268" s="1504">
        <f t="shared" si="124"/>
        <v>0</v>
      </c>
      <c r="M268" s="1429"/>
      <c r="N268" s="1499" t="s">
        <v>1053</v>
      </c>
    </row>
    <row r="269" spans="1:14" ht="13.95" customHeight="1">
      <c r="A269" s="769">
        <f t="shared" si="125"/>
        <v>30.370000000000058</v>
      </c>
      <c r="B269" s="1570" t="s">
        <v>1562</v>
      </c>
      <c r="C269" s="557"/>
      <c r="D269" s="724">
        <v>-1591633.49</v>
      </c>
      <c r="E269" s="724">
        <v>-2059315.96</v>
      </c>
      <c r="F269" s="1504">
        <f t="shared" si="123"/>
        <v>-1825474.7250000001</v>
      </c>
      <c r="I269" s="1429"/>
      <c r="J269" s="1504">
        <f t="shared" si="124"/>
        <v>-2059315.96</v>
      </c>
      <c r="M269" s="1429"/>
      <c r="N269" s="1499" t="s">
        <v>1054</v>
      </c>
    </row>
    <row r="270" spans="1:14" ht="13.95" customHeight="1">
      <c r="A270" s="769">
        <f t="shared" si="125"/>
        <v>30.380000000000059</v>
      </c>
      <c r="B270" s="1570" t="s">
        <v>1563</v>
      </c>
      <c r="C270" s="557"/>
      <c r="D270" s="724">
        <v>-257033.94</v>
      </c>
      <c r="E270" s="724">
        <v>-332560.3</v>
      </c>
      <c r="F270" s="1504">
        <f t="shared" si="123"/>
        <v>-294797.12</v>
      </c>
      <c r="I270" s="1429"/>
      <c r="J270" s="1504">
        <f t="shared" si="124"/>
        <v>-332560.3</v>
      </c>
      <c r="M270" s="1429"/>
      <c r="N270" s="1499" t="s">
        <v>1054</v>
      </c>
    </row>
    <row r="271" spans="1:14" ht="13.95" customHeight="1">
      <c r="A271" s="769">
        <f t="shared" si="125"/>
        <v>30.390000000000061</v>
      </c>
      <c r="B271" s="1570" t="s">
        <v>1564</v>
      </c>
      <c r="C271" s="557"/>
      <c r="D271" s="724">
        <v>-0.03</v>
      </c>
      <c r="E271" s="724">
        <v>-0.03</v>
      </c>
      <c r="F271" s="1504">
        <f t="shared" si="123"/>
        <v>-0.03</v>
      </c>
      <c r="I271" s="1429"/>
      <c r="J271" s="1504">
        <f t="shared" si="124"/>
        <v>-0.03</v>
      </c>
      <c r="M271" s="1429"/>
      <c r="N271" s="1499" t="s">
        <v>1055</v>
      </c>
    </row>
    <row r="272" spans="1:14" ht="13.95" customHeight="1">
      <c r="A272" s="769">
        <f t="shared" si="125"/>
        <v>30.400000000000063</v>
      </c>
      <c r="B272" s="1570" t="s">
        <v>1565</v>
      </c>
      <c r="C272" s="557"/>
      <c r="D272" s="724">
        <v>0</v>
      </c>
      <c r="E272" s="724">
        <v>0</v>
      </c>
      <c r="F272" s="1504">
        <f t="shared" si="123"/>
        <v>0</v>
      </c>
      <c r="I272" s="1429"/>
      <c r="J272" s="1504">
        <f t="shared" si="124"/>
        <v>0</v>
      </c>
      <c r="M272" s="1429"/>
      <c r="N272" s="1499" t="s">
        <v>1055</v>
      </c>
    </row>
    <row r="273" spans="1:18" s="1467" customFormat="1" ht="13.95" customHeight="1">
      <c r="A273" s="769">
        <f t="shared" si="125"/>
        <v>30.410000000000064</v>
      </c>
      <c r="B273" s="1570" t="s">
        <v>1566</v>
      </c>
      <c r="C273" s="557"/>
      <c r="D273" s="724">
        <v>-3453380.51</v>
      </c>
      <c r="E273" s="724">
        <v>-3613131.95</v>
      </c>
      <c r="F273" s="1608"/>
      <c r="G273" s="1609"/>
      <c r="H273" s="929">
        <f t="shared" ref="H273:H274" si="126">+AVERAGE(D273:E273)</f>
        <v>-3533256.23</v>
      </c>
      <c r="I273" s="1610"/>
      <c r="J273" s="1504"/>
      <c r="K273" s="929"/>
      <c r="L273" s="929">
        <f t="shared" ref="L273:L274" si="127">+E273</f>
        <v>-3613131.95</v>
      </c>
      <c r="M273" s="1611"/>
      <c r="N273" s="1461" t="s">
        <v>8</v>
      </c>
      <c r="O273" s="557"/>
      <c r="P273" s="557"/>
      <c r="Q273" s="557"/>
      <c r="R273" s="557"/>
    </row>
    <row r="274" spans="1:18" s="1467" customFormat="1" ht="13.95" customHeight="1">
      <c r="A274" s="769">
        <f t="shared" si="125"/>
        <v>30.420000000000066</v>
      </c>
      <c r="B274" s="1570" t="s">
        <v>1567</v>
      </c>
      <c r="C274" s="557"/>
      <c r="D274" s="724">
        <v>-557688.77</v>
      </c>
      <c r="E274" s="724">
        <v>-583487.13</v>
      </c>
      <c r="F274" s="1608"/>
      <c r="G274" s="1609"/>
      <c r="H274" s="929">
        <f t="shared" si="126"/>
        <v>-570587.94999999995</v>
      </c>
      <c r="I274" s="1610"/>
      <c r="J274" s="1504"/>
      <c r="K274" s="929"/>
      <c r="L274" s="929">
        <f t="shared" si="127"/>
        <v>-583487.13</v>
      </c>
      <c r="M274" s="1611"/>
      <c r="N274" s="1461" t="s">
        <v>8</v>
      </c>
      <c r="O274" s="557"/>
      <c r="P274" s="557"/>
      <c r="Q274" s="557"/>
      <c r="R274" s="557"/>
    </row>
    <row r="275" spans="1:18" ht="13.95" customHeight="1">
      <c r="A275" s="769">
        <f t="shared" si="125"/>
        <v>30.430000000000067</v>
      </c>
      <c r="B275" s="557" t="s">
        <v>1521</v>
      </c>
      <c r="C275" s="557"/>
      <c r="D275" s="724">
        <v>0</v>
      </c>
      <c r="E275" s="724">
        <v>0</v>
      </c>
      <c r="F275" s="1504">
        <f t="shared" ref="F275:F298" si="128">+SUM($D275:$E275)/2</f>
        <v>0</v>
      </c>
      <c r="I275" s="1429"/>
      <c r="J275" s="1504">
        <f t="shared" ref="J275:J298" si="129">+E275</f>
        <v>0</v>
      </c>
      <c r="M275" s="1429"/>
      <c r="N275" s="1421" t="s">
        <v>1050</v>
      </c>
    </row>
    <row r="276" spans="1:18" ht="13.95" customHeight="1">
      <c r="A276" s="769">
        <f t="shared" si="125"/>
        <v>30.440000000000069</v>
      </c>
      <c r="B276" s="557" t="s">
        <v>1522</v>
      </c>
      <c r="C276" s="557"/>
      <c r="D276" s="724">
        <v>0</v>
      </c>
      <c r="E276" s="724">
        <v>0</v>
      </c>
      <c r="F276" s="1504">
        <f t="shared" si="128"/>
        <v>0</v>
      </c>
      <c r="I276" s="1429"/>
      <c r="J276" s="1504">
        <f t="shared" si="129"/>
        <v>0</v>
      </c>
      <c r="M276" s="1429"/>
      <c r="N276" s="1421" t="s">
        <v>1050</v>
      </c>
    </row>
    <row r="277" spans="1:18" s="1467" customFormat="1" ht="13.95" customHeight="1">
      <c r="A277" s="769">
        <f t="shared" si="125"/>
        <v>30.45000000000007</v>
      </c>
      <c r="B277" s="1570" t="s">
        <v>1568</v>
      </c>
      <c r="C277" s="557"/>
      <c r="D277" s="724">
        <v>-55183.51</v>
      </c>
      <c r="E277" s="724">
        <v>-51598.87</v>
      </c>
      <c r="F277" s="1504">
        <f t="shared" ref="F277:F288" si="130">+SUM($D277:$E277)/2</f>
        <v>-53391.19</v>
      </c>
      <c r="G277" s="945"/>
      <c r="H277" s="945"/>
      <c r="I277" s="1429"/>
      <c r="J277" s="1504">
        <f t="shared" si="129"/>
        <v>-51598.87</v>
      </c>
      <c r="K277" s="945"/>
      <c r="L277" s="945"/>
      <c r="M277" s="1429"/>
      <c r="N277" s="1546" t="s">
        <v>1146</v>
      </c>
      <c r="O277" s="78" t="s">
        <v>1302</v>
      </c>
      <c r="P277" s="557"/>
      <c r="Q277" s="557"/>
      <c r="R277" s="557"/>
    </row>
    <row r="278" spans="1:18" s="1467" customFormat="1" ht="13.95" customHeight="1">
      <c r="A278" s="769">
        <f t="shared" si="125"/>
        <v>30.460000000000072</v>
      </c>
      <c r="B278" s="1570" t="s">
        <v>1569</v>
      </c>
      <c r="C278" s="557"/>
      <c r="D278" s="724">
        <v>-526.99</v>
      </c>
      <c r="E278" s="724">
        <v>-8334.2099999999991</v>
      </c>
      <c r="F278" s="1504">
        <f t="shared" si="130"/>
        <v>-4430.5999999999995</v>
      </c>
      <c r="G278" s="945"/>
      <c r="H278" s="945"/>
      <c r="I278" s="1429"/>
      <c r="J278" s="1504">
        <f t="shared" si="129"/>
        <v>-8334.2099999999991</v>
      </c>
      <c r="K278" s="945"/>
      <c r="L278" s="945"/>
      <c r="M278" s="1429"/>
      <c r="N278" s="1546" t="s">
        <v>1146</v>
      </c>
      <c r="O278" s="78" t="s">
        <v>1302</v>
      </c>
      <c r="P278" s="557"/>
      <c r="Q278" s="557"/>
      <c r="R278" s="557"/>
    </row>
    <row r="279" spans="1:18" s="1467" customFormat="1" ht="13.95" customHeight="1">
      <c r="A279" s="769">
        <f t="shared" si="125"/>
        <v>30.470000000000073</v>
      </c>
      <c r="B279" s="1570" t="s">
        <v>1570</v>
      </c>
      <c r="C279" s="557"/>
      <c r="D279" s="724">
        <v>-1261468.56</v>
      </c>
      <c r="E279" s="724">
        <v>-1243857.6000000001</v>
      </c>
      <c r="F279" s="1504">
        <f t="shared" si="130"/>
        <v>-1252663.08</v>
      </c>
      <c r="G279" s="945"/>
      <c r="H279" s="945"/>
      <c r="I279" s="1429"/>
      <c r="J279" s="1504">
        <f t="shared" si="129"/>
        <v>-1243857.6000000001</v>
      </c>
      <c r="K279" s="945"/>
      <c r="L279" s="945"/>
      <c r="M279" s="1429"/>
      <c r="N279" s="1546" t="s">
        <v>1147</v>
      </c>
      <c r="O279" s="78" t="s">
        <v>1302</v>
      </c>
      <c r="P279" s="557"/>
      <c r="Q279" s="557"/>
      <c r="R279" s="557"/>
    </row>
    <row r="280" spans="1:18" s="1467" customFormat="1" ht="13.95" customHeight="1">
      <c r="A280" s="769">
        <f t="shared" si="125"/>
        <v>30.480000000000075</v>
      </c>
      <c r="B280" s="1570" t="s">
        <v>1571</v>
      </c>
      <c r="C280" s="557"/>
      <c r="D280" s="724">
        <v>-4053.71</v>
      </c>
      <c r="E280" s="724">
        <v>-200880.51</v>
      </c>
      <c r="F280" s="1504">
        <f t="shared" si="130"/>
        <v>-102467.11</v>
      </c>
      <c r="G280" s="945"/>
      <c r="H280" s="945"/>
      <c r="I280" s="1429"/>
      <c r="J280" s="1504">
        <f t="shared" si="129"/>
        <v>-200880.51</v>
      </c>
      <c r="K280" s="945"/>
      <c r="L280" s="945"/>
      <c r="M280" s="1429"/>
      <c r="N280" s="1546" t="s">
        <v>1147</v>
      </c>
      <c r="O280" s="78" t="s">
        <v>1302</v>
      </c>
      <c r="P280" s="557"/>
      <c r="Q280" s="557"/>
      <c r="R280" s="557"/>
    </row>
    <row r="281" spans="1:18" s="1467" customFormat="1" ht="13.95" customHeight="1">
      <c r="A281" s="769">
        <f t="shared" si="125"/>
        <v>30.490000000000077</v>
      </c>
      <c r="B281" s="1570" t="s">
        <v>1572</v>
      </c>
      <c r="C281" s="557"/>
      <c r="D281" s="724">
        <v>0</v>
      </c>
      <c r="E281" s="724">
        <v>0</v>
      </c>
      <c r="F281" s="1504">
        <f t="shared" si="130"/>
        <v>0</v>
      </c>
      <c r="G281" s="945"/>
      <c r="H281" s="945"/>
      <c r="I281" s="1429"/>
      <c r="J281" s="1504">
        <f t="shared" si="129"/>
        <v>0</v>
      </c>
      <c r="K281" s="945"/>
      <c r="L281" s="945"/>
      <c r="M281" s="1429"/>
      <c r="N281" s="1546" t="s">
        <v>1148</v>
      </c>
      <c r="O281" s="78" t="s">
        <v>1302</v>
      </c>
      <c r="P281" s="557"/>
      <c r="Q281" s="557"/>
      <c r="R281" s="557"/>
    </row>
    <row r="282" spans="1:18" s="1467" customFormat="1" ht="13.95" customHeight="1">
      <c r="A282" s="769">
        <f t="shared" si="125"/>
        <v>30.500000000000078</v>
      </c>
      <c r="B282" s="1570" t="s">
        <v>1573</v>
      </c>
      <c r="C282" s="557"/>
      <c r="D282" s="724">
        <v>0</v>
      </c>
      <c r="E282" s="724">
        <v>0</v>
      </c>
      <c r="F282" s="1504">
        <f t="shared" si="130"/>
        <v>0</v>
      </c>
      <c r="G282" s="945"/>
      <c r="H282" s="945"/>
      <c r="I282" s="1429"/>
      <c r="J282" s="1504">
        <f t="shared" si="129"/>
        <v>0</v>
      </c>
      <c r="K282" s="945"/>
      <c r="L282" s="945"/>
      <c r="M282" s="1429"/>
      <c r="N282" s="1546" t="s">
        <v>1148</v>
      </c>
      <c r="O282" s="78" t="s">
        <v>1302</v>
      </c>
      <c r="P282" s="557"/>
      <c r="Q282" s="557"/>
      <c r="R282" s="557"/>
    </row>
    <row r="283" spans="1:18" s="1467" customFormat="1" ht="13.95" customHeight="1">
      <c r="A283" s="769">
        <f t="shared" si="125"/>
        <v>30.51000000000008</v>
      </c>
      <c r="B283" s="1570" t="s">
        <v>1574</v>
      </c>
      <c r="C283" s="557"/>
      <c r="D283" s="724">
        <v>-165609.03</v>
      </c>
      <c r="E283" s="724">
        <v>-149836.03</v>
      </c>
      <c r="F283" s="1504">
        <f t="shared" si="130"/>
        <v>-157722.53</v>
      </c>
      <c r="G283" s="945"/>
      <c r="H283" s="945"/>
      <c r="I283" s="1429"/>
      <c r="J283" s="1504">
        <f t="shared" si="129"/>
        <v>-149836.03</v>
      </c>
      <c r="K283" s="945"/>
      <c r="L283" s="945"/>
      <c r="M283" s="1429"/>
      <c r="N283" s="1546" t="s">
        <v>1145</v>
      </c>
      <c r="O283" s="78" t="s">
        <v>1302</v>
      </c>
      <c r="P283" s="557"/>
      <c r="Q283" s="557"/>
      <c r="R283" s="557"/>
    </row>
    <row r="284" spans="1:18" s="1467" customFormat="1" ht="13.95" customHeight="1">
      <c r="A284" s="769">
        <f t="shared" si="125"/>
        <v>30.520000000000081</v>
      </c>
      <c r="B284" s="1570" t="s">
        <v>1575</v>
      </c>
      <c r="C284" s="557"/>
      <c r="D284" s="724">
        <v>-23740.989999999998</v>
      </c>
      <c r="E284" s="724">
        <v>-21480.989999999998</v>
      </c>
      <c r="F284" s="1504">
        <f t="shared" si="130"/>
        <v>-22610.989999999998</v>
      </c>
      <c r="G284" s="945"/>
      <c r="H284" s="945"/>
      <c r="I284" s="1429"/>
      <c r="J284" s="1504">
        <f t="shared" si="129"/>
        <v>-21480.989999999998</v>
      </c>
      <c r="K284" s="945"/>
      <c r="L284" s="945"/>
      <c r="M284" s="1429"/>
      <c r="N284" s="1546" t="s">
        <v>1145</v>
      </c>
      <c r="O284" s="78" t="s">
        <v>1302</v>
      </c>
      <c r="P284" s="557"/>
      <c r="Q284" s="557"/>
      <c r="R284" s="557"/>
    </row>
    <row r="285" spans="1:18" s="1467" customFormat="1" ht="13.95" customHeight="1">
      <c r="A285" s="769">
        <f t="shared" si="125"/>
        <v>30.530000000000083</v>
      </c>
      <c r="B285" s="1570" t="s">
        <v>1576</v>
      </c>
      <c r="C285" s="557"/>
      <c r="D285" s="724">
        <v>-77933.740000000005</v>
      </c>
      <c r="E285" s="724">
        <v>-25977.97</v>
      </c>
      <c r="F285" s="1504">
        <f t="shared" si="130"/>
        <v>-51955.855000000003</v>
      </c>
      <c r="G285" s="945"/>
      <c r="H285" s="945"/>
      <c r="I285" s="1429"/>
      <c r="J285" s="1504">
        <f t="shared" si="129"/>
        <v>-25977.97</v>
      </c>
      <c r="K285" s="945"/>
      <c r="L285" s="945"/>
      <c r="M285" s="1429"/>
      <c r="N285" s="1546" t="s">
        <v>1149</v>
      </c>
      <c r="O285" s="78" t="s">
        <v>1302</v>
      </c>
      <c r="P285" s="557"/>
      <c r="Q285" s="557"/>
      <c r="R285" s="557"/>
    </row>
    <row r="286" spans="1:18" s="1467" customFormat="1" ht="13.95" customHeight="1">
      <c r="A286" s="769">
        <f t="shared" si="125"/>
        <v>30.540000000000084</v>
      </c>
      <c r="B286" s="1570" t="s">
        <v>1577</v>
      </c>
      <c r="C286" s="557"/>
      <c r="D286" s="724">
        <v>-12585.58</v>
      </c>
      <c r="E286" s="724">
        <v>-4195.2</v>
      </c>
      <c r="F286" s="1504">
        <f t="shared" si="130"/>
        <v>-8390.39</v>
      </c>
      <c r="G286" s="945"/>
      <c r="H286" s="945"/>
      <c r="I286" s="1429"/>
      <c r="J286" s="1504">
        <f t="shared" si="129"/>
        <v>-4195.2</v>
      </c>
      <c r="K286" s="945"/>
      <c r="L286" s="945"/>
      <c r="M286" s="1429"/>
      <c r="N286" s="1546" t="s">
        <v>1149</v>
      </c>
      <c r="O286" s="78" t="s">
        <v>1302</v>
      </c>
      <c r="P286" s="557"/>
      <c r="Q286" s="557"/>
      <c r="R286" s="557"/>
    </row>
    <row r="287" spans="1:18" s="1467" customFormat="1" ht="13.95" customHeight="1">
      <c r="A287" s="769">
        <f t="shared" si="125"/>
        <v>30.550000000000086</v>
      </c>
      <c r="B287" s="1570" t="s">
        <v>1578</v>
      </c>
      <c r="C287" s="557"/>
      <c r="D287" s="724">
        <v>-66830606.859999999</v>
      </c>
      <c r="E287" s="724">
        <v>-61701660.960000001</v>
      </c>
      <c r="F287" s="1504">
        <f t="shared" si="130"/>
        <v>-64266133.909999996</v>
      </c>
      <c r="G287" s="945"/>
      <c r="H287" s="945"/>
      <c r="I287" s="1429"/>
      <c r="J287" s="1504">
        <f t="shared" si="129"/>
        <v>-61701660.960000001</v>
      </c>
      <c r="K287" s="945"/>
      <c r="L287" s="945"/>
      <c r="M287" s="1429"/>
      <c r="N287" s="1546" t="s">
        <v>1145</v>
      </c>
      <c r="O287" s="78" t="s">
        <v>1302</v>
      </c>
      <c r="P287" s="557"/>
      <c r="Q287" s="557"/>
      <c r="R287" s="557"/>
    </row>
    <row r="288" spans="1:18" s="1467" customFormat="1" ht="13.95" customHeight="1">
      <c r="A288" s="769">
        <f t="shared" si="125"/>
        <v>30.560000000000088</v>
      </c>
      <c r="B288" s="1570" t="s">
        <v>1579</v>
      </c>
      <c r="C288" s="557"/>
      <c r="D288" s="724">
        <v>-10792519.93</v>
      </c>
      <c r="E288" s="724">
        <v>-9198510.2699999996</v>
      </c>
      <c r="F288" s="1504">
        <f t="shared" si="130"/>
        <v>-9995515.0999999996</v>
      </c>
      <c r="G288" s="945"/>
      <c r="H288" s="945"/>
      <c r="I288" s="1429"/>
      <c r="J288" s="1504">
        <f t="shared" si="129"/>
        <v>-9198510.2699999996</v>
      </c>
      <c r="K288" s="945"/>
      <c r="L288" s="945"/>
      <c r="M288" s="1429"/>
      <c r="N288" s="1546" t="s">
        <v>1145</v>
      </c>
      <c r="O288" s="78" t="s">
        <v>1302</v>
      </c>
      <c r="P288" s="557"/>
      <c r="Q288" s="557"/>
      <c r="R288" s="557"/>
    </row>
    <row r="289" spans="1:18" ht="13.95" customHeight="1">
      <c r="A289" s="769">
        <f t="shared" si="125"/>
        <v>30.570000000000089</v>
      </c>
      <c r="B289" s="557" t="s">
        <v>1523</v>
      </c>
      <c r="C289" s="557"/>
      <c r="D289" s="724">
        <v>0</v>
      </c>
      <c r="E289" s="724">
        <v>0</v>
      </c>
      <c r="F289" s="1504">
        <f t="shared" si="128"/>
        <v>0</v>
      </c>
      <c r="I289" s="1429"/>
      <c r="J289" s="1504">
        <f t="shared" si="129"/>
        <v>0</v>
      </c>
      <c r="M289" s="1429"/>
      <c r="N289" s="1421" t="s">
        <v>5</v>
      </c>
    </row>
    <row r="290" spans="1:18" ht="13.95" customHeight="1">
      <c r="A290" s="769">
        <f t="shared" si="125"/>
        <v>30.580000000000091</v>
      </c>
      <c r="B290" s="557" t="s">
        <v>1524</v>
      </c>
      <c r="C290" s="557"/>
      <c r="D290" s="724">
        <v>0</v>
      </c>
      <c r="E290" s="724">
        <v>0</v>
      </c>
      <c r="F290" s="1504">
        <f t="shared" si="128"/>
        <v>0</v>
      </c>
      <c r="I290" s="1429"/>
      <c r="J290" s="1504">
        <f t="shared" si="129"/>
        <v>0</v>
      </c>
      <c r="M290" s="1429"/>
      <c r="N290" s="1421" t="s">
        <v>5</v>
      </c>
    </row>
    <row r="291" spans="1:18" ht="13.95" customHeight="1">
      <c r="A291" s="769">
        <f t="shared" si="125"/>
        <v>30.590000000000092</v>
      </c>
      <c r="B291" s="557" t="s">
        <v>1525</v>
      </c>
      <c r="C291" s="557"/>
      <c r="D291" s="724">
        <v>0</v>
      </c>
      <c r="E291" s="724">
        <v>0</v>
      </c>
      <c r="F291" s="1504">
        <f t="shared" si="128"/>
        <v>0</v>
      </c>
      <c r="I291" s="1429"/>
      <c r="J291" s="1504">
        <f t="shared" si="129"/>
        <v>0</v>
      </c>
      <c r="M291" s="1429"/>
      <c r="N291" s="1421"/>
    </row>
    <row r="292" spans="1:18" ht="13.95" customHeight="1">
      <c r="A292" s="769">
        <f t="shared" si="125"/>
        <v>30.600000000000094</v>
      </c>
      <c r="B292" s="1570" t="s">
        <v>1580</v>
      </c>
      <c r="C292" s="557"/>
      <c r="D292" s="724">
        <v>-186534281.16</v>
      </c>
      <c r="E292" s="724">
        <v>-187821006.42000002</v>
      </c>
      <c r="F292" s="1504">
        <f t="shared" si="128"/>
        <v>-187177643.79000002</v>
      </c>
      <c r="I292" s="1429"/>
      <c r="J292" s="1504">
        <f t="shared" si="129"/>
        <v>-187821006.42000002</v>
      </c>
      <c r="M292" s="1429"/>
      <c r="N292" s="1421" t="s">
        <v>205</v>
      </c>
    </row>
    <row r="293" spans="1:18" ht="13.95" customHeight="1">
      <c r="A293" s="769">
        <f t="shared" si="125"/>
        <v>30.610000000000095</v>
      </c>
      <c r="B293" s="1570" t="s">
        <v>1581</v>
      </c>
      <c r="C293" s="557"/>
      <c r="D293" s="724">
        <v>-30696510.469999999</v>
      </c>
      <c r="E293" s="724">
        <v>-30884782.34</v>
      </c>
      <c r="F293" s="1504">
        <f t="shared" si="128"/>
        <v>-30790646.405000001</v>
      </c>
      <c r="I293" s="1429"/>
      <c r="J293" s="1504">
        <f t="shared" si="129"/>
        <v>-30884782.34</v>
      </c>
      <c r="M293" s="1429"/>
      <c r="N293" s="1421" t="s">
        <v>205</v>
      </c>
    </row>
    <row r="294" spans="1:18" s="1467" customFormat="1" ht="13.95" customHeight="1">
      <c r="A294" s="769">
        <f t="shared" si="125"/>
        <v>30.620000000000097</v>
      </c>
      <c r="B294" s="1570" t="s">
        <v>1582</v>
      </c>
      <c r="C294" s="557"/>
      <c r="D294" s="724">
        <v>5366915.99</v>
      </c>
      <c r="E294" s="724">
        <v>5191878.99</v>
      </c>
      <c r="F294" s="1504">
        <f t="shared" ref="F294:F295" si="131">+SUM($D294:$E294)/2</f>
        <v>5279397.49</v>
      </c>
      <c r="G294" s="945"/>
      <c r="H294" s="945"/>
      <c r="I294" s="1429"/>
      <c r="J294" s="1504">
        <f t="shared" si="129"/>
        <v>5191878.99</v>
      </c>
      <c r="K294" s="945"/>
      <c r="L294" s="945"/>
      <c r="M294" s="1429"/>
      <c r="N294" s="1546" t="s">
        <v>205</v>
      </c>
      <c r="O294" s="78" t="s">
        <v>1302</v>
      </c>
      <c r="P294" s="557"/>
      <c r="Q294" s="557"/>
      <c r="R294" s="557"/>
    </row>
    <row r="295" spans="1:18" s="1467" customFormat="1" ht="13.95" customHeight="1">
      <c r="A295" s="769">
        <f t="shared" si="125"/>
        <v>30.630000000000098</v>
      </c>
      <c r="B295" s="1570" t="s">
        <v>1583</v>
      </c>
      <c r="C295" s="557"/>
      <c r="D295" s="724">
        <v>569734</v>
      </c>
      <c r="E295" s="724">
        <v>550534</v>
      </c>
      <c r="F295" s="1504">
        <f t="shared" si="131"/>
        <v>560134</v>
      </c>
      <c r="G295" s="945"/>
      <c r="H295" s="945"/>
      <c r="I295" s="1429"/>
      <c r="J295" s="1504">
        <f t="shared" si="129"/>
        <v>550534</v>
      </c>
      <c r="K295" s="945"/>
      <c r="L295" s="945"/>
      <c r="M295" s="1429"/>
      <c r="N295" s="1546" t="s">
        <v>205</v>
      </c>
      <c r="O295" s="78" t="s">
        <v>1302</v>
      </c>
      <c r="P295" s="557"/>
      <c r="Q295" s="557"/>
      <c r="R295" s="557"/>
    </row>
    <row r="296" spans="1:18" s="1467" customFormat="1" ht="13.95" customHeight="1">
      <c r="A296" s="769">
        <f t="shared" si="125"/>
        <v>30.6400000000001</v>
      </c>
      <c r="B296" s="557" t="s">
        <v>1526</v>
      </c>
      <c r="C296" s="557"/>
      <c r="D296" s="724">
        <v>0</v>
      </c>
      <c r="E296" s="724">
        <v>0</v>
      </c>
      <c r="F296" s="1504"/>
      <c r="G296" s="945"/>
      <c r="H296" s="945">
        <f t="shared" ref="H296" si="132">+SUM($D296:$E296)/2</f>
        <v>0</v>
      </c>
      <c r="I296" s="1429"/>
      <c r="J296" s="1504"/>
      <c r="K296" s="945"/>
      <c r="L296" s="945">
        <f t="shared" ref="L296" si="133">+E296</f>
        <v>0</v>
      </c>
      <c r="M296" s="1429"/>
      <c r="N296" s="1546" t="s">
        <v>2</v>
      </c>
      <c r="O296" s="78" t="s">
        <v>1302</v>
      </c>
      <c r="P296" s="557"/>
      <c r="Q296" s="557"/>
      <c r="R296" s="557"/>
    </row>
    <row r="297" spans="1:18" ht="13.95" customHeight="1">
      <c r="A297" s="769">
        <f t="shared" si="125"/>
        <v>30.650000000000102</v>
      </c>
      <c r="B297" s="557" t="s">
        <v>1527</v>
      </c>
      <c r="C297" s="557"/>
      <c r="D297" s="724">
        <v>0</v>
      </c>
      <c r="E297" s="724">
        <v>0</v>
      </c>
      <c r="F297" s="1504"/>
      <c r="H297" s="929">
        <f t="shared" ref="H297" si="134">+AVERAGE(D297:E297)</f>
        <v>0</v>
      </c>
      <c r="I297" s="1429"/>
      <c r="J297" s="1504"/>
      <c r="L297" s="929">
        <f t="shared" ref="L297" si="135">+E297</f>
        <v>0</v>
      </c>
      <c r="M297" s="1429"/>
      <c r="N297" s="1421" t="s">
        <v>2</v>
      </c>
    </row>
    <row r="298" spans="1:18" ht="13.95" customHeight="1">
      <c r="A298" s="769">
        <f t="shared" si="125"/>
        <v>30.660000000000103</v>
      </c>
      <c r="B298" s="557" t="s">
        <v>1584</v>
      </c>
      <c r="C298" s="557"/>
      <c r="D298" s="724">
        <v>-852284454.03999996</v>
      </c>
      <c r="E298" s="724">
        <v>-857671285.27999997</v>
      </c>
      <c r="F298" s="1504">
        <f t="shared" si="128"/>
        <v>-854977869.65999997</v>
      </c>
      <c r="G298" s="945"/>
      <c r="H298" s="945"/>
      <c r="I298" s="1429"/>
      <c r="J298" s="1504">
        <f t="shared" si="129"/>
        <v>-857671285.27999997</v>
      </c>
      <c r="K298" s="945"/>
      <c r="L298" s="945"/>
      <c r="M298" s="1429"/>
      <c r="N298" s="1421" t="s">
        <v>1056</v>
      </c>
    </row>
    <row r="299" spans="1:18" ht="13.95" customHeight="1">
      <c r="A299" s="769">
        <f t="shared" si="125"/>
        <v>30.670000000000105</v>
      </c>
      <c r="B299" s="1445"/>
      <c r="C299" s="1434" t="s">
        <v>936</v>
      </c>
      <c r="D299" s="1587">
        <v>0</v>
      </c>
      <c r="E299" s="1587">
        <v>0</v>
      </c>
      <c r="F299" s="1612"/>
      <c r="G299" s="1613"/>
      <c r="H299" s="1613"/>
      <c r="I299" s="1614"/>
      <c r="J299" s="1612"/>
      <c r="K299" s="1613"/>
      <c r="L299" s="1613"/>
      <c r="M299" s="1614"/>
      <c r="N299" s="1446"/>
    </row>
    <row r="300" spans="1:18">
      <c r="A300" s="1473" t="s">
        <v>927</v>
      </c>
      <c r="B300" s="1445"/>
      <c r="C300" s="1434" t="s">
        <v>936</v>
      </c>
      <c r="D300" s="1587">
        <v>0</v>
      </c>
      <c r="E300" s="1587">
        <v>0</v>
      </c>
      <c r="F300" s="1612"/>
      <c r="G300" s="1613"/>
      <c r="H300" s="1613"/>
      <c r="I300" s="1614"/>
      <c r="J300" s="1612"/>
      <c r="K300" s="1613"/>
      <c r="L300" s="1613"/>
      <c r="M300" s="1614"/>
      <c r="N300" s="1446"/>
    </row>
    <row r="301" spans="1:18">
      <c r="A301" s="1471" t="str">
        <f>29&amp;".XX"</f>
        <v>29.XX</v>
      </c>
      <c r="B301" s="1443"/>
      <c r="C301" s="1434" t="s">
        <v>936</v>
      </c>
      <c r="D301" s="1244">
        <v>0</v>
      </c>
      <c r="E301" s="1244">
        <v>0</v>
      </c>
      <c r="F301" s="1588"/>
      <c r="G301" s="1589"/>
      <c r="H301" s="1589"/>
      <c r="I301" s="1590"/>
      <c r="J301" s="1588"/>
      <c r="K301" s="1589"/>
      <c r="L301" s="1589"/>
      <c r="M301" s="1590"/>
      <c r="N301" s="1444"/>
    </row>
    <row r="302" spans="1:18" ht="13.8" thickBot="1">
      <c r="A302" s="768">
        <v>30</v>
      </c>
      <c r="B302" s="1420"/>
      <c r="C302" s="1420"/>
      <c r="D302" s="945"/>
      <c r="E302" s="945"/>
      <c r="F302" s="1593"/>
      <c r="G302" s="1594"/>
      <c r="H302" s="1594"/>
      <c r="I302" s="1595"/>
      <c r="J302" s="1593"/>
      <c r="K302" s="1594"/>
      <c r="L302" s="1594"/>
      <c r="M302" s="1595"/>
      <c r="N302" s="1134"/>
    </row>
    <row r="303" spans="1:18" s="557" customFormat="1" ht="14.4" thickBot="1">
      <c r="A303" s="768">
        <f t="shared" ref="A303:A314" si="136">+A302+1</f>
        <v>31</v>
      </c>
      <c r="B303" s="1436" t="s">
        <v>529</v>
      </c>
      <c r="C303" s="1437"/>
      <c r="D303" s="1438">
        <f t="shared" ref="D303:M303" si="137">SUM(D233:D301)</f>
        <v>-1527483830.1399999</v>
      </c>
      <c r="E303" s="1438">
        <f t="shared" si="137"/>
        <v>-2306033370.3800001</v>
      </c>
      <c r="F303" s="1596">
        <f t="shared" si="137"/>
        <v>-1889089282.2300005</v>
      </c>
      <c r="G303" s="945">
        <f t="shared" si="137"/>
        <v>-14674260.85</v>
      </c>
      <c r="H303" s="945">
        <f t="shared" si="137"/>
        <v>-12995057.18</v>
      </c>
      <c r="I303" s="1429">
        <f t="shared" si="137"/>
        <v>0</v>
      </c>
      <c r="J303" s="1596">
        <f t="shared" si="137"/>
        <v>-2279433356.2799997</v>
      </c>
      <c r="K303" s="945">
        <f t="shared" si="137"/>
        <v>-12002486.49</v>
      </c>
      <c r="L303" s="945">
        <f t="shared" si="137"/>
        <v>-14597527.610000001</v>
      </c>
      <c r="M303" s="1429">
        <f t="shared" si="137"/>
        <v>0</v>
      </c>
      <c r="N303" s="1134" t="str">
        <f>+"Sum by Column of Line "&amp;A232&amp;" Subparts"</f>
        <v>Sum by Column of Line 30 Subparts</v>
      </c>
    </row>
    <row r="304" spans="1:18" ht="15">
      <c r="A304" s="768">
        <f t="shared" si="136"/>
        <v>32</v>
      </c>
      <c r="B304" s="1992" t="s">
        <v>567</v>
      </c>
      <c r="C304" s="1992"/>
      <c r="D304" s="1439">
        <f>SUM(D292:D295)</f>
        <v>-211294141.63999999</v>
      </c>
      <c r="E304" s="1439">
        <f t="shared" ref="E304:M304" si="138">SUM(E292:E295)</f>
        <v>-212963375.77000001</v>
      </c>
      <c r="F304" s="1439">
        <f t="shared" si="138"/>
        <v>-212128758.70500001</v>
      </c>
      <c r="G304" s="1439">
        <f t="shared" si="138"/>
        <v>0</v>
      </c>
      <c r="H304" s="1439">
        <f t="shared" si="138"/>
        <v>0</v>
      </c>
      <c r="I304" s="1439">
        <f t="shared" si="138"/>
        <v>0</v>
      </c>
      <c r="J304" s="1439">
        <f t="shared" si="138"/>
        <v>-212963375.77000001</v>
      </c>
      <c r="K304" s="1439">
        <f t="shared" si="138"/>
        <v>0</v>
      </c>
      <c r="L304" s="1439">
        <f t="shared" si="138"/>
        <v>0</v>
      </c>
      <c r="M304" s="1439">
        <f t="shared" si="138"/>
        <v>0</v>
      </c>
      <c r="N304" s="820"/>
    </row>
    <row r="305" spans="1:18">
      <c r="A305" s="768">
        <f t="shared" si="136"/>
        <v>33</v>
      </c>
      <c r="B305" s="1986" t="s">
        <v>568</v>
      </c>
      <c r="C305" s="1986"/>
      <c r="D305" s="945">
        <f t="shared" ref="D305:M305" si="139">+D303-D304</f>
        <v>-1316189688.5</v>
      </c>
      <c r="E305" s="945">
        <f t="shared" si="139"/>
        <v>-2093069994.6100001</v>
      </c>
      <c r="F305" s="1596">
        <f t="shared" si="139"/>
        <v>-1676960523.5250006</v>
      </c>
      <c r="G305" s="945">
        <f t="shared" si="139"/>
        <v>-14674260.85</v>
      </c>
      <c r="H305" s="945">
        <f t="shared" si="139"/>
        <v>-12995057.18</v>
      </c>
      <c r="I305" s="1429">
        <f t="shared" si="139"/>
        <v>0</v>
      </c>
      <c r="J305" s="1596">
        <f t="shared" si="139"/>
        <v>-2066469980.5099998</v>
      </c>
      <c r="K305" s="945">
        <f t="shared" si="139"/>
        <v>-12002486.49</v>
      </c>
      <c r="L305" s="945">
        <f t="shared" si="139"/>
        <v>-14597527.610000001</v>
      </c>
      <c r="M305" s="1429">
        <f t="shared" si="139"/>
        <v>0</v>
      </c>
      <c r="N305" s="820" t="str">
        <f>+"Ln "&amp;A303&amp;" Less Ln "&amp;A304</f>
        <v>Ln 31 Less Ln 32</v>
      </c>
    </row>
    <row r="306" spans="1:18">
      <c r="A306" s="768">
        <f t="shared" si="136"/>
        <v>34</v>
      </c>
      <c r="B306" s="1512"/>
      <c r="C306" s="1513"/>
      <c r="D306" s="945"/>
      <c r="E306" s="945"/>
      <c r="F306" s="945"/>
      <c r="G306" s="945"/>
      <c r="H306" s="945"/>
      <c r="I306" s="945"/>
      <c r="J306" s="945"/>
      <c r="K306" s="945"/>
      <c r="L306" s="945"/>
      <c r="M306" s="945"/>
      <c r="N306" s="180"/>
    </row>
    <row r="307" spans="1:18">
      <c r="A307" s="768">
        <f t="shared" si="136"/>
        <v>35</v>
      </c>
      <c r="B307" s="1990" t="s">
        <v>435</v>
      </c>
      <c r="C307" s="1990"/>
      <c r="D307" s="1990"/>
      <c r="E307" s="1990"/>
      <c r="F307" s="1990"/>
      <c r="G307" s="1990"/>
      <c r="H307" s="1990"/>
      <c r="I307" s="945"/>
      <c r="J307" s="1615"/>
      <c r="K307" s="1615"/>
      <c r="L307" s="1615"/>
      <c r="M307" s="1615"/>
      <c r="N307" s="1134"/>
    </row>
    <row r="308" spans="1:18" ht="13.5" customHeight="1">
      <c r="A308" s="768">
        <f t="shared" si="136"/>
        <v>36</v>
      </c>
      <c r="B308" s="1965"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308" s="1965"/>
      <c r="D308" s="1965"/>
      <c r="E308" s="1965"/>
      <c r="F308" s="1965"/>
      <c r="G308" s="1965"/>
      <c r="H308" s="1965"/>
      <c r="I308" s="1965"/>
      <c r="J308" s="1965"/>
      <c r="K308" s="1965"/>
      <c r="L308" s="1965"/>
      <c r="M308" s="1965"/>
      <c r="N308" s="1419"/>
    </row>
    <row r="309" spans="1:18">
      <c r="A309" s="768">
        <f t="shared" si="136"/>
        <v>37</v>
      </c>
      <c r="B309" s="1990" t="str">
        <f>+"2.  ADIT items related only to Transmission are directly assigned to Column "&amp;G$5&amp;" for True-up and Column "&amp;K$5&amp;" for Projected"</f>
        <v>2.  ADIT items related only to Transmission are directly assigned to Column F for True-up and Column J for Projected</v>
      </c>
      <c r="C309" s="1990"/>
      <c r="D309" s="1990"/>
      <c r="E309" s="1990"/>
      <c r="F309" s="1990"/>
      <c r="G309" s="1990"/>
      <c r="H309" s="1990"/>
      <c r="I309" s="945"/>
      <c r="J309" s="1615"/>
      <c r="K309" s="1615"/>
      <c r="L309" s="1615"/>
      <c r="M309" s="1615"/>
      <c r="N309" s="1134"/>
    </row>
    <row r="310" spans="1:18">
      <c r="A310" s="768">
        <f t="shared" si="136"/>
        <v>38</v>
      </c>
      <c r="B310" s="1420"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310" s="1420"/>
      <c r="D310" s="1603"/>
      <c r="E310" s="1603"/>
      <c r="F310" s="1603"/>
      <c r="G310" s="1603"/>
      <c r="H310" s="1603"/>
      <c r="I310" s="1603"/>
      <c r="J310" s="1616"/>
      <c r="K310" s="1616"/>
      <c r="L310" s="1616"/>
      <c r="M310" s="1616"/>
      <c r="N310" s="1419"/>
    </row>
    <row r="311" spans="1:18">
      <c r="A311" s="768">
        <f t="shared" si="136"/>
        <v>39</v>
      </c>
      <c r="B311" s="1420"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311" s="1420"/>
      <c r="D311" s="1603"/>
      <c r="E311" s="1603"/>
      <c r="F311" s="1603"/>
      <c r="G311" s="1603"/>
      <c r="H311" s="1603"/>
      <c r="I311" s="1603"/>
      <c r="J311" s="1616"/>
      <c r="K311" s="1616"/>
      <c r="L311" s="1616"/>
      <c r="M311" s="1616"/>
      <c r="N311" s="1134"/>
    </row>
    <row r="312" spans="1:18" ht="12.75" customHeight="1">
      <c r="A312" s="768">
        <f t="shared" si="136"/>
        <v>40</v>
      </c>
      <c r="B312" s="1985" t="s">
        <v>1066</v>
      </c>
      <c r="C312" s="1985"/>
      <c r="D312" s="1985"/>
      <c r="E312" s="1985"/>
      <c r="F312" s="1985"/>
      <c r="G312" s="1985"/>
      <c r="H312" s="1985"/>
      <c r="I312" s="1985"/>
      <c r="J312" s="1985"/>
      <c r="K312" s="1985"/>
      <c r="L312" s="1985"/>
      <c r="M312" s="1985"/>
      <c r="N312" s="1985"/>
    </row>
    <row r="313" spans="1:18" ht="13.2" customHeight="1">
      <c r="A313" s="768">
        <f t="shared" si="136"/>
        <v>41</v>
      </c>
      <c r="B313" s="1985" t="s">
        <v>1067</v>
      </c>
      <c r="C313" s="1985"/>
      <c r="D313" s="1985"/>
      <c r="E313" s="1985"/>
      <c r="F313" s="1985"/>
      <c r="G313" s="1985"/>
      <c r="H313" s="1985"/>
      <c r="I313" s="1985"/>
      <c r="J313" s="1985"/>
      <c r="K313" s="1985"/>
      <c r="L313" s="1985"/>
      <c r="M313" s="1985"/>
      <c r="N313" s="1985"/>
    </row>
    <row r="314" spans="1:18" s="42" customFormat="1">
      <c r="A314" s="768">
        <f t="shared" si="136"/>
        <v>42</v>
      </c>
      <c r="B314" s="1697" t="s">
        <v>1753</v>
      </c>
      <c r="C314" s="185"/>
      <c r="D314" s="185"/>
      <c r="E314" s="185"/>
      <c r="F314" s="185"/>
      <c r="G314" s="43"/>
      <c r="H314" s="43"/>
      <c r="I314" s="43"/>
      <c r="J314" s="43"/>
      <c r="K314" s="43"/>
      <c r="L314" s="43"/>
      <c r="M314" s="43"/>
      <c r="N314" s="43"/>
      <c r="O314" s="41"/>
      <c r="P314" s="41"/>
      <c r="Q314" s="41"/>
      <c r="R314" s="41"/>
    </row>
    <row r="315" spans="1:18">
      <c r="A315" s="769"/>
      <c r="B315" s="678"/>
      <c r="C315" s="678"/>
      <c r="D315" s="927"/>
      <c r="E315" s="927"/>
      <c r="F315" s="927"/>
      <c r="G315" s="945"/>
      <c r="H315" s="945"/>
      <c r="I315" s="945"/>
      <c r="J315" s="945"/>
      <c r="K315" s="945"/>
      <c r="L315" s="945"/>
      <c r="M315" s="945"/>
      <c r="N315" s="820"/>
    </row>
    <row r="323" spans="2:5">
      <c r="B323" s="723" t="s">
        <v>1782</v>
      </c>
    </row>
    <row r="324" spans="2:5">
      <c r="C324" s="1642"/>
    </row>
    <row r="325" spans="2:5" ht="33.6">
      <c r="D325" s="1577" t="s">
        <v>163</v>
      </c>
      <c r="E325" s="1580" t="s">
        <v>158</v>
      </c>
    </row>
    <row r="326" spans="2:5">
      <c r="B326" s="723" t="s">
        <v>1777</v>
      </c>
    </row>
    <row r="327" spans="2:5">
      <c r="B327" s="723" t="s">
        <v>1774</v>
      </c>
      <c r="D327" s="1617">
        <v>2954261212</v>
      </c>
      <c r="E327" s="1574">
        <v>3421434521</v>
      </c>
    </row>
    <row r="328" spans="2:5">
      <c r="B328" s="723" t="s">
        <v>1775</v>
      </c>
      <c r="D328" s="1617">
        <v>-186667</v>
      </c>
      <c r="E328" s="1574">
        <v>-1278008</v>
      </c>
    </row>
    <row r="329" spans="2:5">
      <c r="B329" s="723" t="s">
        <v>1776</v>
      </c>
      <c r="D329" s="1617">
        <v>2954447879</v>
      </c>
      <c r="E329" s="1574">
        <v>3422712529</v>
      </c>
    </row>
    <row r="331" spans="2:5">
      <c r="B331" s="723" t="s">
        <v>1778</v>
      </c>
    </row>
    <row r="332" spans="2:5">
      <c r="B332" s="723" t="s">
        <v>528</v>
      </c>
      <c r="D332" s="1617">
        <v>-3254249330</v>
      </c>
      <c r="E332" s="1574">
        <v>-3370293030</v>
      </c>
    </row>
    <row r="333" spans="2:5">
      <c r="B333" s="723" t="s">
        <v>1775</v>
      </c>
      <c r="D333" s="1617">
        <v>-195018</v>
      </c>
      <c r="E333" s="1574">
        <v>-3711781</v>
      </c>
    </row>
    <row r="334" spans="2:5">
      <c r="B334" s="723" t="s">
        <v>1779</v>
      </c>
      <c r="D334" s="1617">
        <v>-3254054312</v>
      </c>
      <c r="E334" s="1574">
        <v>-3366581249</v>
      </c>
    </row>
    <row r="336" spans="2:5">
      <c r="B336" s="723" t="s">
        <v>1780</v>
      </c>
    </row>
    <row r="337" spans="2:5">
      <c r="B337" s="723" t="s">
        <v>529</v>
      </c>
      <c r="D337" s="1617">
        <v>-1527483830</v>
      </c>
      <c r="E337" s="1574">
        <v>-2306033370</v>
      </c>
    </row>
    <row r="338" spans="2:5">
      <c r="B338" s="723" t="s">
        <v>1775</v>
      </c>
      <c r="D338" s="1617">
        <v>-209764</v>
      </c>
      <c r="E338" s="1574">
        <v>-57628</v>
      </c>
    </row>
    <row r="339" spans="2:5">
      <c r="B339" s="723" t="s">
        <v>1781</v>
      </c>
      <c r="D339" s="1617">
        <v>-1527274066</v>
      </c>
      <c r="E339" s="1574">
        <v>-2305975742</v>
      </c>
    </row>
  </sheetData>
  <customSheetViews>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1"/>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2"/>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4"/>
      <headerFooter alignWithMargins="0">
        <oddHeader>&amp;R&amp;12Page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6"/>
      <headerFooter alignWithMargins="0">
        <oddHeader>&amp;R&amp;14Page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8"/>
      <headerFooter alignWithMargins="0">
        <oddHeader>&amp;R&amp;12Page &amp;P of &amp;N</oddHeader>
      </headerFooter>
    </customSheetView>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9"/>
      <headerFooter alignWithMargins="0">
        <oddHeader>&amp;R&amp;12Page &amp;P of &amp;N</oddHeader>
      </headerFooter>
    </customSheetView>
  </customSheetViews>
  <mergeCells count="27">
    <mergeCell ref="A1:N1"/>
    <mergeCell ref="A2:N2"/>
    <mergeCell ref="F155:I155"/>
    <mergeCell ref="J155:M155"/>
    <mergeCell ref="A3:N3"/>
    <mergeCell ref="B139:C139"/>
    <mergeCell ref="A4:A5"/>
    <mergeCell ref="F17:I17"/>
    <mergeCell ref="J17:M17"/>
    <mergeCell ref="F6:I6"/>
    <mergeCell ref="J6:M6"/>
    <mergeCell ref="F142:I142"/>
    <mergeCell ref="J142:M142"/>
    <mergeCell ref="B313:N313"/>
    <mergeCell ref="B312:N312"/>
    <mergeCell ref="B305:C305"/>
    <mergeCell ref="F8:I8"/>
    <mergeCell ref="J8:M8"/>
    <mergeCell ref="J15:M15"/>
    <mergeCell ref="F15:I15"/>
    <mergeCell ref="B229:C229"/>
    <mergeCell ref="B309:H309"/>
    <mergeCell ref="B308:M308"/>
    <mergeCell ref="F232:I232"/>
    <mergeCell ref="J232:M232"/>
    <mergeCell ref="B307:H307"/>
    <mergeCell ref="B304:C304"/>
  </mergeCells>
  <phoneticPr fontId="0" type="noConversion"/>
  <printOptions horizontalCentered="1"/>
  <pageMargins left="0.5" right="0.5" top="0.5" bottom="0.5" header="0.3" footer="0.5"/>
  <pageSetup scale="47" fitToHeight="6" orientation="landscape" r:id="rId10"/>
  <headerFooter>
    <oddFooter>&amp;R&amp;14&amp;A</oddFooter>
  </headerFooter>
  <rowBreaks count="3" manualBreakCount="3">
    <brk id="230" max="13" man="1"/>
    <brk id="305" max="13" man="1"/>
    <brk id="376" max="16383" man="1"/>
  </rowBreaks>
  <ignoredErrors>
    <ignoredError sqref="A57 A110 A140" formula="1"/>
    <ignoredError sqref="D304:E30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election activeCell="A21" sqref="A21"/>
    </sheetView>
  </sheetViews>
  <sheetFormatPr defaultRowHeight="13.2"/>
  <cols>
    <col min="1" max="1" width="4.5546875" customWidth="1"/>
    <col min="2" max="2" width="21.33203125" customWidth="1"/>
    <col min="3" max="3" width="13" customWidth="1"/>
    <col min="4" max="5" width="14.109375" bestFit="1" customWidth="1"/>
    <col min="6" max="6" width="21.33203125" style="1802" customWidth="1"/>
  </cols>
  <sheetData>
    <row r="1" spans="1:16">
      <c r="A1" s="2000" t="str">
        <f>+'MISO Cover'!C6</f>
        <v>Entergy Louisiana, LLC</v>
      </c>
      <c r="B1" s="2000"/>
      <c r="C1" s="2000"/>
      <c r="D1" s="2000"/>
      <c r="E1" s="2000"/>
      <c r="F1" s="2000"/>
    </row>
    <row r="2" spans="1:16" ht="13.2" customHeight="1">
      <c r="A2" s="2001" t="s">
        <v>1836</v>
      </c>
      <c r="B2" s="2001"/>
      <c r="C2" s="2001"/>
      <c r="D2" s="2001"/>
      <c r="E2" s="2001"/>
      <c r="F2" s="2001"/>
      <c r="H2" s="1782"/>
      <c r="I2" s="1782"/>
      <c r="J2" s="1782"/>
      <c r="K2" s="1782"/>
      <c r="L2" s="1782"/>
      <c r="M2" s="1782"/>
      <c r="N2" s="1782"/>
      <c r="O2" s="1782"/>
      <c r="P2" s="1782"/>
    </row>
    <row r="3" spans="1:16">
      <c r="A3" s="2000" t="str">
        <f>+'MISO Cover'!K4</f>
        <v>For  the 12 Months Ended 12/31/2016</v>
      </c>
      <c r="B3" s="2000"/>
      <c r="C3" s="2000"/>
      <c r="D3" s="2000"/>
      <c r="E3" s="2000"/>
      <c r="F3" s="2000"/>
      <c r="H3" s="1782"/>
      <c r="I3" s="1782"/>
      <c r="J3" s="1782"/>
      <c r="K3" s="1782"/>
      <c r="L3" s="1782"/>
      <c r="M3" s="1782"/>
      <c r="N3" s="1782"/>
      <c r="O3" s="1782"/>
      <c r="P3" s="1782"/>
    </row>
    <row r="4" spans="1:16">
      <c r="H4" s="1782"/>
      <c r="I4" s="1782"/>
      <c r="J4" s="1782"/>
      <c r="K4" s="1782"/>
      <c r="L4" s="1782"/>
      <c r="M4" s="1782"/>
      <c r="N4" s="1782"/>
      <c r="O4" s="1782"/>
      <c r="P4" s="1782"/>
    </row>
    <row r="5" spans="1:16">
      <c r="A5" t="s">
        <v>279</v>
      </c>
      <c r="B5" s="193" t="s">
        <v>67</v>
      </c>
      <c r="C5" s="193" t="s">
        <v>114</v>
      </c>
      <c r="D5" s="193" t="s">
        <v>55</v>
      </c>
      <c r="E5" s="193" t="s">
        <v>68</v>
      </c>
      <c r="F5" s="1802" t="s">
        <v>66</v>
      </c>
      <c r="H5" s="1782"/>
      <c r="I5" s="1782"/>
      <c r="J5" s="1782"/>
      <c r="K5" s="1782"/>
      <c r="L5" s="1782"/>
      <c r="M5" s="1782"/>
      <c r="N5" s="1782"/>
      <c r="O5" s="1782"/>
    </row>
    <row r="6" spans="1:16">
      <c r="B6" s="193"/>
      <c r="C6" s="193"/>
      <c r="D6" s="193"/>
      <c r="E6" s="193"/>
    </row>
    <row r="7" spans="1:16" ht="15">
      <c r="A7" s="193">
        <v>1</v>
      </c>
      <c r="B7" s="1691" t="s">
        <v>1822</v>
      </c>
      <c r="C7" s="1691" t="s">
        <v>1823</v>
      </c>
      <c r="D7" s="1692" t="s">
        <v>1824</v>
      </c>
      <c r="E7" s="1692" t="s">
        <v>1825</v>
      </c>
      <c r="F7" s="1803" t="s">
        <v>139</v>
      </c>
    </row>
    <row r="8" spans="1:16">
      <c r="A8" s="193">
        <f>+A7+1</f>
        <v>2</v>
      </c>
      <c r="B8" t="s">
        <v>413</v>
      </c>
      <c r="C8" t="s">
        <v>1826</v>
      </c>
      <c r="D8" s="1693">
        <v>423964785</v>
      </c>
      <c r="E8" s="1693">
        <v>448770512</v>
      </c>
      <c r="F8" s="1802" t="s">
        <v>2044</v>
      </c>
    </row>
    <row r="9" spans="1:16">
      <c r="A9" s="193">
        <f t="shared" ref="A9:A31" si="0">+A8+1</f>
        <v>3</v>
      </c>
      <c r="C9" t="s">
        <v>1827</v>
      </c>
      <c r="D9" s="1694">
        <f>+'WP04 PIS'!C28</f>
        <v>428582074</v>
      </c>
      <c r="E9" s="1694">
        <f>+'WP04 PIS'!C40</f>
        <v>448770512</v>
      </c>
      <c r="F9" s="1802" t="s">
        <v>1828</v>
      </c>
    </row>
    <row r="10" spans="1:16">
      <c r="A10" s="193">
        <f t="shared" si="0"/>
        <v>4</v>
      </c>
      <c r="C10" t="s">
        <v>1829</v>
      </c>
      <c r="D10" s="1626">
        <f>+D8-D9</f>
        <v>-4617289</v>
      </c>
      <c r="E10" s="1626">
        <f>+E8-E9</f>
        <v>0</v>
      </c>
      <c r="F10" s="1802" t="str">
        <f>+"Ln "&amp;A8&amp;" - Ln "&amp;A9</f>
        <v>Ln 2 - Ln 3</v>
      </c>
    </row>
    <row r="11" spans="1:16">
      <c r="A11" s="193">
        <f t="shared" si="0"/>
        <v>5</v>
      </c>
      <c r="D11" s="1626"/>
      <c r="E11" s="1626"/>
    </row>
    <row r="12" spans="1:16">
      <c r="A12" s="193">
        <f t="shared" si="0"/>
        <v>6</v>
      </c>
      <c r="B12" t="s">
        <v>602</v>
      </c>
      <c r="C12" t="s">
        <v>1826</v>
      </c>
      <c r="D12" s="1693">
        <v>1016320220</v>
      </c>
      <c r="E12" s="1693">
        <v>1065138211</v>
      </c>
      <c r="F12" s="1802" t="s">
        <v>2043</v>
      </c>
    </row>
    <row r="13" spans="1:16">
      <c r="A13" s="193">
        <f t="shared" si="0"/>
        <v>7</v>
      </c>
      <c r="C13" t="s">
        <v>1827</v>
      </c>
      <c r="D13" s="1694">
        <f>+'WP04 PIS'!G28</f>
        <v>1016320221</v>
      </c>
      <c r="E13" s="1694">
        <f>+'WP04 PIS'!G40</f>
        <v>1045526805</v>
      </c>
      <c r="F13" s="1802" t="str">
        <f>+F9</f>
        <v>WP04 Ln 23 &amp; 35 (3)</v>
      </c>
    </row>
    <row r="14" spans="1:16">
      <c r="A14" s="193">
        <f t="shared" si="0"/>
        <v>8</v>
      </c>
      <c r="C14" t="s">
        <v>1829</v>
      </c>
      <c r="D14" s="1626">
        <f>+D12-D13</f>
        <v>-1</v>
      </c>
      <c r="E14" s="1626">
        <f>+E12-E13</f>
        <v>19611406</v>
      </c>
      <c r="F14" s="1802" t="str">
        <f>+"Ln "&amp;A12&amp;" - Ln "&amp;A13</f>
        <v>Ln 6 - Ln 7</v>
      </c>
    </row>
    <row r="15" spans="1:16">
      <c r="A15" s="193">
        <f t="shared" si="0"/>
        <v>9</v>
      </c>
      <c r="D15" s="1626"/>
      <c r="E15" s="1626"/>
    </row>
    <row r="16" spans="1:16">
      <c r="A16" s="193">
        <f t="shared" si="0"/>
        <v>10</v>
      </c>
      <c r="B16" t="s">
        <v>189</v>
      </c>
      <c r="C16" t="s">
        <v>1826</v>
      </c>
      <c r="D16" s="1693">
        <v>-52278591</v>
      </c>
      <c r="E16" s="1693">
        <v>-49709607</v>
      </c>
      <c r="F16" s="1802" t="s">
        <v>2042</v>
      </c>
    </row>
    <row r="17" spans="1:6">
      <c r="A17" s="193">
        <f t="shared" si="0"/>
        <v>11</v>
      </c>
      <c r="C17" t="s">
        <v>1827</v>
      </c>
      <c r="D17" s="1694">
        <f>+'WP04 PIS'!K28</f>
        <v>-52278591</v>
      </c>
      <c r="E17" s="1694">
        <f>+'WP04 PIS'!K40</f>
        <v>87147621.000000015</v>
      </c>
      <c r="F17" s="1802" t="str">
        <f>+F9</f>
        <v>WP04 Ln 23 &amp; 35 (3)</v>
      </c>
    </row>
    <row r="18" spans="1:6">
      <c r="A18" s="193">
        <f t="shared" si="0"/>
        <v>12</v>
      </c>
      <c r="C18" t="s">
        <v>1829</v>
      </c>
      <c r="D18" s="1626">
        <f>+D16-D17</f>
        <v>0</v>
      </c>
      <c r="E18" s="1626">
        <f>+E16-E17</f>
        <v>-136857228</v>
      </c>
      <c r="F18" s="1802" t="str">
        <f>+"Ln "&amp;A16&amp;" - Ln "&amp;A17</f>
        <v>Ln 10 - Ln 11</v>
      </c>
    </row>
    <row r="19" spans="1:6">
      <c r="A19" s="193">
        <f t="shared" si="0"/>
        <v>13</v>
      </c>
      <c r="D19" s="1626"/>
      <c r="E19" s="1626"/>
    </row>
    <row r="20" spans="1:6">
      <c r="A20" s="193">
        <f t="shared" si="0"/>
        <v>14</v>
      </c>
      <c r="B20" t="s">
        <v>412</v>
      </c>
      <c r="C20" t="s">
        <v>1826</v>
      </c>
      <c r="D20" s="1693">
        <v>5579485263</v>
      </c>
      <c r="E20" s="1693">
        <v>5759620513</v>
      </c>
      <c r="F20" s="1802" t="s">
        <v>2040</v>
      </c>
    </row>
    <row r="21" spans="1:6">
      <c r="A21" s="193">
        <f t="shared" si="0"/>
        <v>15</v>
      </c>
      <c r="C21" t="s">
        <v>1827</v>
      </c>
      <c r="D21" s="1626">
        <f>+'WP04 PIS'!F28</f>
        <v>5579485262</v>
      </c>
      <c r="E21" s="1626">
        <f>+'WP04 PIS'!F40</f>
        <v>5758541385</v>
      </c>
      <c r="F21" s="1802" t="str">
        <f>+F17</f>
        <v>WP04 Ln 23 &amp; 35 (3)</v>
      </c>
    </row>
    <row r="22" spans="1:6">
      <c r="A22" s="193">
        <f t="shared" si="0"/>
        <v>16</v>
      </c>
      <c r="C22" t="s">
        <v>1829</v>
      </c>
      <c r="D22" s="1671">
        <f>D20-D21</f>
        <v>1</v>
      </c>
      <c r="E22" s="1671">
        <f>E20-E21</f>
        <v>1079128</v>
      </c>
      <c r="F22" s="1802" t="str">
        <f>+"Ln "&amp;A20&amp;" - Ln "&amp;A21</f>
        <v>Ln 14 - Ln 15</v>
      </c>
    </row>
    <row r="23" spans="1:6">
      <c r="A23" s="193">
        <f t="shared" si="0"/>
        <v>17</v>
      </c>
      <c r="D23" s="1626"/>
      <c r="E23" s="1626"/>
    </row>
    <row r="24" spans="1:6">
      <c r="A24" s="193">
        <f t="shared" si="0"/>
        <v>18</v>
      </c>
      <c r="B24" t="s">
        <v>20</v>
      </c>
      <c r="C24" t="s">
        <v>1826</v>
      </c>
      <c r="D24" s="1693">
        <v>1336036954</v>
      </c>
      <c r="E24" s="1693">
        <v>1319724931</v>
      </c>
      <c r="F24" s="1802" t="s">
        <v>2041</v>
      </c>
    </row>
    <row r="25" spans="1:6">
      <c r="A25" s="193">
        <f t="shared" si="0"/>
        <v>19</v>
      </c>
      <c r="C25" t="s">
        <v>1827</v>
      </c>
      <c r="D25" s="1626">
        <f>+'WP04 PIS'!J28</f>
        <v>1336036954</v>
      </c>
      <c r="E25" s="1626">
        <f>+'WP04 PIS'!J40</f>
        <v>1325651776</v>
      </c>
      <c r="F25" s="1802" t="str">
        <f>+F21</f>
        <v>WP04 Ln 23 &amp; 35 (3)</v>
      </c>
    </row>
    <row r="26" spans="1:6">
      <c r="A26" s="193">
        <f t="shared" si="0"/>
        <v>20</v>
      </c>
      <c r="C26" t="s">
        <v>1829</v>
      </c>
      <c r="D26" s="1671">
        <f>D24-D25</f>
        <v>0</v>
      </c>
      <c r="E26" s="1671">
        <f>E24-E25</f>
        <v>-5926845</v>
      </c>
      <c r="F26" s="1802" t="str">
        <f>+"Ln "&amp;A24&amp;" - Ln "&amp;A25</f>
        <v>Ln 18 - Ln 19</v>
      </c>
    </row>
    <row r="27" spans="1:6">
      <c r="A27" s="193">
        <f t="shared" si="0"/>
        <v>21</v>
      </c>
      <c r="D27" s="1626"/>
      <c r="E27" s="1626"/>
    </row>
    <row r="28" spans="1:6" s="672" customFormat="1" ht="26.4" customHeight="1">
      <c r="A28" s="1799">
        <f t="shared" si="0"/>
        <v>22</v>
      </c>
      <c r="B28" s="672" t="s">
        <v>113</v>
      </c>
      <c r="D28" s="1800">
        <f>+D10+D14+D18+D22+D26</f>
        <v>-4617289</v>
      </c>
      <c r="E28" s="1800">
        <f>+E10+E14+E18+E22+E26</f>
        <v>-122093539</v>
      </c>
      <c r="F28" s="1804" t="str">
        <f>+"Ln "&amp;A10&amp;" + Ln "&amp;A14&amp;" + Ln "&amp;A18&amp;" + Ln "&amp;A22&amp;" + Ln "&amp;A26</f>
        <v>Ln 4 + Ln 8 + Ln 12 + Ln 16 + Ln 20</v>
      </c>
    </row>
    <row r="29" spans="1:6" s="672" customFormat="1">
      <c r="A29" s="1799">
        <f t="shared" si="0"/>
        <v>23</v>
      </c>
      <c r="B29" s="672" t="s">
        <v>1830</v>
      </c>
      <c r="D29" s="1816">
        <f>'Appendix A'!G225</f>
        <v>0.38477366255144019</v>
      </c>
      <c r="E29" s="1816">
        <f>D29</f>
        <v>0.38477366255144019</v>
      </c>
      <c r="F29" s="1805" t="s">
        <v>1831</v>
      </c>
    </row>
    <row r="30" spans="1:6" s="672" customFormat="1">
      <c r="A30" s="1799">
        <f t="shared" si="0"/>
        <v>24</v>
      </c>
      <c r="D30" s="1801"/>
      <c r="E30" s="1801"/>
      <c r="F30" s="1805"/>
    </row>
    <row r="31" spans="1:6" s="672" customFormat="1" ht="27" customHeight="1">
      <c r="A31" s="1799">
        <f t="shared" si="0"/>
        <v>25</v>
      </c>
      <c r="B31" s="672" t="s">
        <v>1834</v>
      </c>
      <c r="D31" s="1800">
        <f>+D28*D29</f>
        <v>-1776611.1995884767</v>
      </c>
      <c r="E31" s="1800">
        <f>+E28*E29</f>
        <v>-46978378.174897105</v>
      </c>
      <c r="F31" s="1805" t="str">
        <f>+"Ln "&amp;A28&amp;" * Ln "&amp;A29</f>
        <v>Ln 22 * Ln 23</v>
      </c>
    </row>
    <row r="33" spans="1:6">
      <c r="A33" t="s">
        <v>124</v>
      </c>
    </row>
    <row r="34" spans="1:6">
      <c r="A34" s="1695" t="s">
        <v>167</v>
      </c>
      <c r="B34" s="1999" t="s">
        <v>1832</v>
      </c>
      <c r="C34" s="1999"/>
      <c r="D34" s="1999"/>
      <c r="E34" s="1999"/>
      <c r="F34" s="1999"/>
    </row>
    <row r="35" spans="1:6">
      <c r="A35" s="1696" t="s">
        <v>319</v>
      </c>
      <c r="B35" t="s">
        <v>1833</v>
      </c>
    </row>
    <row r="36" spans="1:6">
      <c r="A36" s="1696" t="s">
        <v>320</v>
      </c>
      <c r="B36" t="s">
        <v>1835</v>
      </c>
    </row>
  </sheetData>
  <mergeCells count="4">
    <mergeCell ref="B34:F34"/>
    <mergeCell ref="A1:F1"/>
    <mergeCell ref="A2:F2"/>
    <mergeCell ref="A3:F3"/>
  </mergeCells>
  <printOptions horizontalCentered="1"/>
  <pageMargins left="0.7" right="0.7" top="0.75" bottom="0.75" header="0.3" footer="0.5"/>
  <pageSetup orientation="portrait" r:id="rId1"/>
  <headerFooter>
    <oddFooter>&amp;R&amp;A</oddFooter>
  </headerFooter>
  <ignoredErrors>
    <ignoredError sqref="A34:A36"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15"/>
  <sheetViews>
    <sheetView zoomScaleNormal="100" workbookViewId="0">
      <selection activeCell="A21" sqref="A21"/>
    </sheetView>
  </sheetViews>
  <sheetFormatPr defaultColWidth="9.109375" defaultRowHeight="13.2"/>
  <cols>
    <col min="1" max="1" width="3.109375" style="749" bestFit="1" customWidth="1"/>
    <col min="2" max="2" width="5.33203125" style="42" customWidth="1"/>
    <col min="3" max="3" width="19.6640625" style="42" bestFit="1" customWidth="1"/>
    <col min="4" max="15" width="11.33203125" style="42" bestFit="1" customWidth="1"/>
    <col min="16" max="17" width="11.44140625" style="42" bestFit="1" customWidth="1"/>
    <col min="18" max="18" width="9.109375" style="42"/>
    <col min="19" max="22" width="9.109375" style="41"/>
    <col min="23" max="16384" width="9.109375" style="42"/>
  </cols>
  <sheetData>
    <row r="1" spans="1:22" s="63" customFormat="1">
      <c r="A1" s="1964" t="str">
        <f>+'MISO Cover'!C6</f>
        <v>Entergy Louisiana, LLC</v>
      </c>
      <c r="B1" s="1964"/>
      <c r="C1" s="1964"/>
      <c r="D1" s="1964"/>
      <c r="E1" s="1964"/>
      <c r="F1" s="1964"/>
      <c r="G1" s="1964"/>
      <c r="H1" s="1964"/>
      <c r="I1" s="1964"/>
      <c r="J1" s="1964"/>
      <c r="K1" s="1964"/>
      <c r="L1" s="1964"/>
      <c r="M1" s="1964"/>
      <c r="N1" s="1964"/>
      <c r="O1" s="1964"/>
      <c r="P1" s="1964"/>
      <c r="Q1" s="1964"/>
      <c r="S1" s="78"/>
      <c r="T1" s="78"/>
      <c r="U1" s="78"/>
      <c r="V1" s="78"/>
    </row>
    <row r="2" spans="1:22" s="63" customFormat="1">
      <c r="A2" s="1957" t="s">
        <v>898</v>
      </c>
      <c r="B2" s="1957"/>
      <c r="C2" s="1957"/>
      <c r="D2" s="1957"/>
      <c r="E2" s="1957"/>
      <c r="F2" s="1957"/>
      <c r="G2" s="1957"/>
      <c r="H2" s="1957"/>
      <c r="I2" s="1957"/>
      <c r="J2" s="1957"/>
      <c r="K2" s="1957"/>
      <c r="L2" s="1957"/>
      <c r="M2" s="1957"/>
      <c r="N2" s="1957"/>
      <c r="O2" s="1957"/>
      <c r="P2" s="1957"/>
      <c r="Q2" s="1957"/>
      <c r="S2" s="78"/>
      <c r="T2" s="78"/>
      <c r="U2" s="78"/>
      <c r="V2" s="78"/>
    </row>
    <row r="3" spans="1:22" s="63" customFormat="1">
      <c r="A3" s="1964" t="str">
        <f>+'MISO Cover'!K4</f>
        <v>For  the 12 Months Ended 12/31/2016</v>
      </c>
      <c r="B3" s="1964"/>
      <c r="C3" s="1964"/>
      <c r="D3" s="1964"/>
      <c r="E3" s="1964"/>
      <c r="F3" s="1964"/>
      <c r="G3" s="1964"/>
      <c r="H3" s="1964"/>
      <c r="I3" s="1964"/>
      <c r="J3" s="1964"/>
      <c r="K3" s="1964"/>
      <c r="L3" s="1964"/>
      <c r="M3" s="1964"/>
      <c r="N3" s="1964"/>
      <c r="O3" s="1964"/>
      <c r="P3" s="1964"/>
      <c r="Q3" s="1964"/>
      <c r="S3" s="78"/>
      <c r="T3" s="78"/>
      <c r="U3" s="78"/>
      <c r="V3" s="78"/>
    </row>
    <row r="4" spans="1:22" s="63" customFormat="1">
      <c r="A4" s="226"/>
      <c r="B4" s="782"/>
      <c r="C4" s="42"/>
      <c r="D4" s="42"/>
      <c r="E4" s="224"/>
      <c r="F4" s="78"/>
      <c r="G4" s="78"/>
      <c r="H4" s="78"/>
      <c r="I4" s="78"/>
      <c r="S4" s="78"/>
      <c r="T4" s="78"/>
      <c r="U4" s="78"/>
      <c r="V4" s="78"/>
    </row>
    <row r="5" spans="1:22" s="63" customFormat="1">
      <c r="A5" s="226"/>
      <c r="B5" s="745"/>
      <c r="C5" s="745"/>
      <c r="D5" s="745"/>
      <c r="E5" s="745"/>
      <c r="F5" s="745"/>
      <c r="G5" s="745"/>
      <c r="H5" s="745"/>
      <c r="I5" s="745"/>
      <c r="J5" s="745"/>
      <c r="K5" s="745"/>
      <c r="L5" s="745"/>
      <c r="M5" s="745"/>
      <c r="N5" s="745"/>
      <c r="O5" s="745"/>
      <c r="P5" s="745"/>
      <c r="Q5" s="745"/>
      <c r="S5" s="78"/>
      <c r="T5" s="78"/>
      <c r="U5" s="78"/>
      <c r="V5" s="78"/>
    </row>
    <row r="6" spans="1:22" s="749" customFormat="1">
      <c r="A6" s="749" t="s">
        <v>279</v>
      </c>
      <c r="B6" s="749" t="s">
        <v>67</v>
      </c>
      <c r="C6" s="749" t="s">
        <v>114</v>
      </c>
      <c r="D6" s="749" t="s">
        <v>55</v>
      </c>
      <c r="E6" s="749" t="s">
        <v>68</v>
      </c>
      <c r="F6" s="749" t="s">
        <v>66</v>
      </c>
      <c r="G6" s="749" t="s">
        <v>154</v>
      </c>
      <c r="H6" s="749" t="s">
        <v>69</v>
      </c>
      <c r="I6" s="749" t="s">
        <v>166</v>
      </c>
      <c r="J6" s="749" t="s">
        <v>59</v>
      </c>
      <c r="K6" s="749" t="s">
        <v>60</v>
      </c>
      <c r="L6" s="749" t="s">
        <v>71</v>
      </c>
      <c r="M6" s="749" t="s">
        <v>98</v>
      </c>
      <c r="N6" s="749" t="s">
        <v>99</v>
      </c>
      <c r="O6" s="749" t="s">
        <v>155</v>
      </c>
      <c r="P6" s="749" t="s">
        <v>221</v>
      </c>
      <c r="Q6" s="749" t="s">
        <v>222</v>
      </c>
      <c r="S6" s="1851"/>
      <c r="T6" s="1851"/>
      <c r="U6" s="1851"/>
      <c r="V6" s="1851"/>
    </row>
    <row r="7" spans="1:22" s="63" customFormat="1">
      <c r="A7" s="226"/>
      <c r="B7" s="268"/>
      <c r="C7" s="265"/>
      <c r="D7" s="43"/>
      <c r="E7" s="43"/>
      <c r="F7" s="43"/>
      <c r="G7" s="43"/>
      <c r="H7" s="43"/>
      <c r="I7" s="43"/>
      <c r="J7" s="43"/>
      <c r="K7" s="43"/>
      <c r="L7" s="43"/>
      <c r="M7" s="43"/>
      <c r="N7" s="43"/>
      <c r="O7" s="43"/>
      <c r="P7" s="43"/>
      <c r="Q7" s="478" t="s">
        <v>48</v>
      </c>
      <c r="R7" s="79"/>
      <c r="S7" s="78"/>
      <c r="T7" s="78"/>
      <c r="U7" s="78"/>
      <c r="V7" s="78"/>
    </row>
    <row r="8" spans="1:22" s="226" customFormat="1">
      <c r="A8" s="226">
        <v>1</v>
      </c>
      <c r="B8" s="1146" t="s">
        <v>458</v>
      </c>
      <c r="C8" s="1146" t="s">
        <v>112</v>
      </c>
      <c r="D8" s="1463" t="s">
        <v>37</v>
      </c>
      <c r="E8" s="1463" t="s">
        <v>27</v>
      </c>
      <c r="F8" s="1463" t="s">
        <v>28</v>
      </c>
      <c r="G8" s="1463" t="s">
        <v>29</v>
      </c>
      <c r="H8" s="1463" t="s">
        <v>30</v>
      </c>
      <c r="I8" s="1463" t="s">
        <v>26</v>
      </c>
      <c r="J8" s="1463" t="s">
        <v>31</v>
      </c>
      <c r="K8" s="1463" t="s">
        <v>32</v>
      </c>
      <c r="L8" s="1463" t="s">
        <v>33</v>
      </c>
      <c r="M8" s="1463" t="s">
        <v>34</v>
      </c>
      <c r="N8" s="1463" t="s">
        <v>35</v>
      </c>
      <c r="O8" s="1463" t="s">
        <v>36</v>
      </c>
      <c r="P8" s="1463" t="s">
        <v>37</v>
      </c>
      <c r="Q8" s="1146" t="s">
        <v>140</v>
      </c>
      <c r="R8" s="234"/>
      <c r="S8" s="1869"/>
      <c r="T8" s="1869"/>
      <c r="U8" s="1869"/>
      <c r="V8" s="1869"/>
    </row>
    <row r="9" spans="1:22" s="63" customFormat="1">
      <c r="A9" s="226">
        <f>+A8+1</f>
        <v>2</v>
      </c>
      <c r="B9" s="534">
        <v>154</v>
      </c>
      <c r="C9" s="266" t="s">
        <v>510</v>
      </c>
      <c r="D9" s="191">
        <v>14631133.9580507</v>
      </c>
      <c r="E9" s="191">
        <v>14764513.73</v>
      </c>
      <c r="F9" s="191">
        <v>15568440.039999999</v>
      </c>
      <c r="G9" s="191">
        <v>15164915.32</v>
      </c>
      <c r="H9" s="191">
        <v>16252849.17</v>
      </c>
      <c r="I9" s="191">
        <v>17463161.239999998</v>
      </c>
      <c r="J9" s="191">
        <v>19323460.420000002</v>
      </c>
      <c r="K9" s="191">
        <v>18797200.870000001</v>
      </c>
      <c r="L9" s="191">
        <v>18689342.57</v>
      </c>
      <c r="M9" s="191">
        <v>18099122.300000001</v>
      </c>
      <c r="N9" s="191">
        <v>17631375.510000002</v>
      </c>
      <c r="O9" s="191">
        <v>17850006.02</v>
      </c>
      <c r="P9" s="191">
        <v>18117638.309999999</v>
      </c>
      <c r="Q9" s="262">
        <f>+SUM(D9:P9)/13</f>
        <v>17104089.189080827</v>
      </c>
      <c r="R9" s="79"/>
      <c r="S9" s="1869"/>
      <c r="T9" s="78"/>
      <c r="U9" s="78"/>
      <c r="V9" s="78"/>
    </row>
    <row r="10" spans="1:22" s="63" customFormat="1">
      <c r="A10" s="226">
        <f>+A9+1</f>
        <v>3</v>
      </c>
      <c r="B10" s="262">
        <v>163</v>
      </c>
      <c r="C10" s="261" t="s">
        <v>511</v>
      </c>
      <c r="D10" s="191">
        <v>35015029</v>
      </c>
      <c r="E10" s="191">
        <v>34233864</v>
      </c>
      <c r="F10" s="191">
        <v>33971938.509999998</v>
      </c>
      <c r="G10" s="191">
        <v>34266752.049999997</v>
      </c>
      <c r="H10" s="191">
        <v>35412471.520000003</v>
      </c>
      <c r="I10" s="191">
        <v>34450988.240000002</v>
      </c>
      <c r="J10" s="191">
        <v>34568912.259999998</v>
      </c>
      <c r="K10" s="191">
        <v>34299872.939999998</v>
      </c>
      <c r="L10" s="191">
        <v>33535892.120000001</v>
      </c>
      <c r="M10" s="191">
        <v>34913807.350000001</v>
      </c>
      <c r="N10" s="191">
        <v>33168474.68</v>
      </c>
      <c r="O10" s="191">
        <v>32546507.359999999</v>
      </c>
      <c r="P10" s="191">
        <v>30452704</v>
      </c>
      <c r="Q10" s="262">
        <f>+SUM(D10:P10)/13</f>
        <v>33910554.925384618</v>
      </c>
      <c r="R10" s="79"/>
      <c r="S10" s="78" t="s">
        <v>2067</v>
      </c>
      <c r="T10" s="78"/>
      <c r="U10" s="78"/>
      <c r="V10" s="78"/>
    </row>
    <row r="11" spans="1:22" s="63" customFormat="1">
      <c r="A11" s="226"/>
      <c r="B11" s="267"/>
      <c r="C11" s="267"/>
      <c r="D11" s="666"/>
      <c r="E11" s="261"/>
      <c r="F11" s="261"/>
      <c r="G11" s="261"/>
      <c r="H11" s="221"/>
      <c r="I11" s="221"/>
      <c r="J11" s="199"/>
      <c r="K11" s="221"/>
      <c r="L11" s="221"/>
      <c r="M11" s="539"/>
      <c r="N11" s="539"/>
      <c r="O11" s="261"/>
      <c r="P11" s="666"/>
      <c r="Q11" s="261"/>
      <c r="R11" s="79"/>
      <c r="S11" s="78"/>
      <c r="T11" s="78"/>
      <c r="U11" s="78"/>
      <c r="V11" s="78"/>
    </row>
    <row r="12" spans="1:22">
      <c r="A12" s="185" t="s">
        <v>298</v>
      </c>
      <c r="C12" s="185"/>
      <c r="D12" s="185"/>
      <c r="E12" s="185"/>
      <c r="F12" s="185"/>
      <c r="G12" s="185"/>
      <c r="H12" s="185"/>
      <c r="I12" s="185"/>
      <c r="J12" s="185"/>
      <c r="K12" s="185"/>
      <c r="L12" s="185"/>
      <c r="M12" s="185"/>
      <c r="N12" s="185"/>
      <c r="O12" s="185"/>
      <c r="P12" s="185"/>
      <c r="Q12" s="185"/>
      <c r="R12" s="185"/>
    </row>
    <row r="13" spans="1:22">
      <c r="A13" s="770" t="s">
        <v>167</v>
      </c>
      <c r="B13" s="41" t="s">
        <v>584</v>
      </c>
      <c r="C13" s="41"/>
    </row>
    <row r="14" spans="1:22">
      <c r="A14" s="698" t="s">
        <v>319</v>
      </c>
      <c r="B14" s="41" t="s">
        <v>585</v>
      </c>
      <c r="C14" s="41"/>
    </row>
    <row r="15" spans="1:22">
      <c r="A15" s="226"/>
      <c r="B15" s="41"/>
      <c r="C15" s="41"/>
    </row>
  </sheetData>
  <mergeCells count="3">
    <mergeCell ref="A2:Q2"/>
    <mergeCell ref="A1:Q1"/>
    <mergeCell ref="A3:Q3"/>
  </mergeCells>
  <pageMargins left="0.7" right="0.7" top="0.7" bottom="0.7" header="0.3" footer="0.5"/>
  <pageSetup scale="66" orientation="landscape" r:id="rId1"/>
  <headerFooter>
    <oddFooter>&amp;R&amp;12&amp;A</oddFooter>
  </headerFooter>
  <ignoredErrors>
    <ignoredError sqref="A13:A1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82"/>
  <sheetViews>
    <sheetView zoomScale="90" zoomScaleNormal="90" workbookViewId="0">
      <selection activeCell="A21" sqref="A21"/>
    </sheetView>
  </sheetViews>
  <sheetFormatPr defaultColWidth="8.88671875" defaultRowHeight="13.2"/>
  <cols>
    <col min="1" max="1" width="4.88671875" style="1225" customWidth="1"/>
    <col min="2" max="2" width="8.5546875" style="1211" bestFit="1" customWidth="1"/>
    <col min="3" max="3" width="34.5546875" style="1211" bestFit="1" customWidth="1"/>
    <col min="4" max="4" width="11.6640625" style="1211" customWidth="1"/>
    <col min="5" max="5" width="11.44140625" style="1211" customWidth="1"/>
    <col min="6" max="6" width="12.33203125" style="1211" customWidth="1"/>
    <col min="7" max="15" width="11.44140625" style="1211" customWidth="1"/>
    <col min="16" max="17" width="11.44140625" style="1211" bestFit="1" customWidth="1"/>
    <col min="18" max="18" width="8.88671875" style="1557"/>
    <col min="19" max="24" width="8.88671875" style="1885"/>
    <col min="25" max="16384" width="8.88671875" style="1211"/>
  </cols>
  <sheetData>
    <row r="1" spans="1:24" s="42" customFormat="1">
      <c r="A1" s="1964" t="str">
        <f>+'MISO Cover'!C6</f>
        <v>Entergy Louisiana, LLC</v>
      </c>
      <c r="B1" s="1964"/>
      <c r="C1" s="1964"/>
      <c r="D1" s="1964"/>
      <c r="E1" s="1964"/>
      <c r="F1" s="1964"/>
      <c r="G1" s="1964"/>
      <c r="H1" s="1964"/>
      <c r="I1" s="1964"/>
      <c r="J1" s="1964"/>
      <c r="K1" s="1964"/>
      <c r="L1" s="1964"/>
      <c r="M1" s="1964"/>
      <c r="N1" s="1964"/>
      <c r="O1" s="1964"/>
      <c r="P1" s="1964"/>
      <c r="Q1" s="1964"/>
      <c r="R1" s="41"/>
    </row>
    <row r="2" spans="1:24" s="42" customFormat="1">
      <c r="A2" s="1957" t="s">
        <v>899</v>
      </c>
      <c r="B2" s="1957"/>
      <c r="C2" s="1957"/>
      <c r="D2" s="1957"/>
      <c r="E2" s="1957"/>
      <c r="F2" s="1957"/>
      <c r="G2" s="1957"/>
      <c r="H2" s="1957"/>
      <c r="I2" s="1957"/>
      <c r="J2" s="1957"/>
      <c r="K2" s="1957"/>
      <c r="L2" s="1957"/>
      <c r="M2" s="1957"/>
      <c r="N2" s="1957"/>
      <c r="O2" s="1957"/>
      <c r="P2" s="1957"/>
      <c r="Q2" s="1957"/>
      <c r="R2" s="41"/>
    </row>
    <row r="3" spans="1:24" s="42" customFormat="1">
      <c r="A3" s="1964" t="str">
        <f>+'MISO Cover'!K4</f>
        <v>For  the 12 Months Ended 12/31/2016</v>
      </c>
      <c r="B3" s="1964"/>
      <c r="C3" s="1964"/>
      <c r="D3" s="1964"/>
      <c r="E3" s="1964"/>
      <c r="F3" s="1964"/>
      <c r="G3" s="1964"/>
      <c r="H3" s="1964"/>
      <c r="I3" s="1964"/>
      <c r="J3" s="1964"/>
      <c r="K3" s="1964"/>
      <c r="L3" s="1964"/>
      <c r="M3" s="1964"/>
      <c r="N3" s="1964"/>
      <c r="O3" s="1964"/>
      <c r="P3" s="1964"/>
      <c r="Q3" s="1964"/>
      <c r="R3" s="41"/>
    </row>
    <row r="4" spans="1:24" s="42" customFormat="1">
      <c r="A4" s="1205"/>
      <c r="B4" s="216"/>
      <c r="C4" s="216"/>
      <c r="D4" s="216"/>
      <c r="E4" s="1206"/>
      <c r="F4" s="1206"/>
      <c r="G4" s="1206"/>
      <c r="H4" s="1206"/>
      <c r="I4" s="1206"/>
      <c r="J4" s="1206"/>
      <c r="K4" s="1206"/>
      <c r="L4" s="1206"/>
      <c r="M4" s="1206"/>
      <c r="R4" s="41"/>
      <c r="V4" s="1885"/>
      <c r="W4" s="1885"/>
    </row>
    <row r="5" spans="1:24" s="1205" customFormat="1">
      <c r="A5" s="1205" t="s">
        <v>279</v>
      </c>
      <c r="B5" s="1205" t="s">
        <v>67</v>
      </c>
      <c r="C5" s="1205" t="s">
        <v>114</v>
      </c>
      <c r="D5" s="1205" t="s">
        <v>55</v>
      </c>
      <c r="E5" s="1205" t="s">
        <v>68</v>
      </c>
      <c r="F5" s="1205" t="s">
        <v>66</v>
      </c>
      <c r="G5" s="1205" t="s">
        <v>154</v>
      </c>
      <c r="H5" s="1205" t="s">
        <v>69</v>
      </c>
      <c r="I5" s="1205" t="s">
        <v>166</v>
      </c>
      <c r="J5" s="1205" t="s">
        <v>59</v>
      </c>
      <c r="K5" s="1205" t="s">
        <v>60</v>
      </c>
      <c r="L5" s="1205" t="s">
        <v>71</v>
      </c>
      <c r="M5" s="1205" t="s">
        <v>98</v>
      </c>
      <c r="N5" s="1205" t="s">
        <v>99</v>
      </c>
      <c r="O5" s="1205" t="s">
        <v>155</v>
      </c>
      <c r="P5" s="1205" t="s">
        <v>221</v>
      </c>
      <c r="Q5" s="1205" t="s">
        <v>222</v>
      </c>
      <c r="R5" s="1851"/>
      <c r="S5" s="1854"/>
      <c r="T5" s="1854"/>
      <c r="U5" s="1854"/>
      <c r="V5" s="1854"/>
      <c r="W5" s="1854"/>
      <c r="X5" s="1854"/>
    </row>
    <row r="6" spans="1:24" s="42" customFormat="1" ht="13.2" customHeight="1">
      <c r="B6" s="216"/>
      <c r="C6" s="216"/>
      <c r="D6" s="216"/>
      <c r="E6" s="216"/>
      <c r="F6" s="216"/>
      <c r="G6" s="216"/>
      <c r="H6" s="216"/>
      <c r="I6" s="216"/>
      <c r="J6" s="216"/>
      <c r="Q6" s="2004" t="s">
        <v>267</v>
      </c>
      <c r="R6" s="41"/>
    </row>
    <row r="7" spans="1:24" s="1209" customFormat="1">
      <c r="A7" s="1207">
        <v>1</v>
      </c>
      <c r="B7" s="1464" t="s">
        <v>171</v>
      </c>
      <c r="C7" s="1464" t="s">
        <v>269</v>
      </c>
      <c r="D7" s="1463" t="s">
        <v>37</v>
      </c>
      <c r="E7" s="1463" t="s">
        <v>27</v>
      </c>
      <c r="F7" s="1463" t="s">
        <v>28</v>
      </c>
      <c r="G7" s="1463" t="s">
        <v>29</v>
      </c>
      <c r="H7" s="1463" t="s">
        <v>30</v>
      </c>
      <c r="I7" s="1463" t="s">
        <v>26</v>
      </c>
      <c r="J7" s="1463" t="s">
        <v>31</v>
      </c>
      <c r="K7" s="1463" t="s">
        <v>32</v>
      </c>
      <c r="L7" s="1463" t="s">
        <v>33</v>
      </c>
      <c r="M7" s="1463" t="s">
        <v>34</v>
      </c>
      <c r="N7" s="1463" t="s">
        <v>35</v>
      </c>
      <c r="O7" s="1463" t="s">
        <v>36</v>
      </c>
      <c r="P7" s="1463" t="s">
        <v>37</v>
      </c>
      <c r="Q7" s="2005"/>
      <c r="R7" s="1557"/>
      <c r="S7" s="1557"/>
      <c r="T7" s="1557"/>
      <c r="U7" s="1557"/>
      <c r="V7" s="1557"/>
      <c r="W7" s="1557"/>
      <c r="X7" s="1557"/>
    </row>
    <row r="8" spans="1:24">
      <c r="A8" s="1210">
        <f>+A7+1</f>
        <v>2</v>
      </c>
    </row>
    <row r="9" spans="1:24">
      <c r="A9" s="1212">
        <f>+A8+0.01</f>
        <v>2.0099999999999998</v>
      </c>
      <c r="B9" s="1571" t="s">
        <v>1585</v>
      </c>
      <c r="C9" s="1209"/>
      <c r="D9" s="1618">
        <v>457826.83999999985</v>
      </c>
      <c r="E9" s="204">
        <v>489906.70999999996</v>
      </c>
      <c r="F9" s="204">
        <v>121604.32999999984</v>
      </c>
      <c r="G9" s="204">
        <v>502121.5299999998</v>
      </c>
      <c r="H9" s="204">
        <v>532084.15999999992</v>
      </c>
      <c r="I9" s="204">
        <v>553800.31999999983</v>
      </c>
      <c r="J9" s="204">
        <v>573824.21</v>
      </c>
      <c r="K9" s="204">
        <v>616605.06999999983</v>
      </c>
      <c r="L9" s="204">
        <v>627668.56999999983</v>
      </c>
      <c r="M9" s="204">
        <v>263443.23</v>
      </c>
      <c r="N9" s="204">
        <v>289664.0299999998</v>
      </c>
      <c r="O9" s="204">
        <v>317275.99</v>
      </c>
      <c r="P9" s="204">
        <v>363391.16999999993</v>
      </c>
      <c r="Q9" s="77">
        <f>SUM(D9:P9)/13</f>
        <v>439170.47384615371</v>
      </c>
      <c r="R9" s="517"/>
      <c r="U9" s="277" t="s">
        <v>1585</v>
      </c>
    </row>
    <row r="10" spans="1:24">
      <c r="A10" s="1474">
        <f>+A9+0.01</f>
        <v>2.0199999999999996</v>
      </c>
      <c r="B10" s="1571" t="s">
        <v>1586</v>
      </c>
      <c r="C10" s="1209"/>
      <c r="D10" s="1618">
        <v>9346621.1799999941</v>
      </c>
      <c r="E10" s="204">
        <v>9124404.3300000206</v>
      </c>
      <c r="F10" s="204">
        <v>7295352.3500000164</v>
      </c>
      <c r="G10" s="204">
        <v>5466300.3900000304</v>
      </c>
      <c r="H10" s="204">
        <v>8990708.9500000253</v>
      </c>
      <c r="I10" s="204">
        <v>7156277.9100000113</v>
      </c>
      <c r="J10" s="204">
        <v>15097853.600000016</v>
      </c>
      <c r="K10" s="204">
        <v>13373481.720000014</v>
      </c>
      <c r="L10" s="204">
        <v>11649109.840000033</v>
      </c>
      <c r="M10" s="204">
        <v>9877026.3800000176</v>
      </c>
      <c r="N10" s="204">
        <v>8158618.5000000149</v>
      </c>
      <c r="O10" s="204">
        <v>9334755.2600000128</v>
      </c>
      <c r="P10" s="204">
        <v>7754779.2600000128</v>
      </c>
      <c r="Q10" s="77">
        <f t="shared" ref="Q10:Q37" si="0">SUM(D10:P10)/13</f>
        <v>9432714.5900000166</v>
      </c>
      <c r="R10" s="517"/>
      <c r="U10" s="277" t="s">
        <v>1586</v>
      </c>
    </row>
    <row r="11" spans="1:24">
      <c r="A11" s="1474">
        <f>+A10+0.01</f>
        <v>2.0299999999999994</v>
      </c>
      <c r="B11" s="1571" t="s">
        <v>1587</v>
      </c>
      <c r="C11" s="1209"/>
      <c r="D11" s="1618">
        <v>136212.83800000069</v>
      </c>
      <c r="E11" s="204">
        <v>113510.70000000004</v>
      </c>
      <c r="F11" s="204">
        <v>90808.560000000376</v>
      </c>
      <c r="G11" s="204">
        <v>68106.420000000246</v>
      </c>
      <c r="H11" s="204">
        <v>45404.280000000123</v>
      </c>
      <c r="I11" s="204">
        <v>22702.139999999992</v>
      </c>
      <c r="J11" s="204">
        <v>0</v>
      </c>
      <c r="K11" s="204">
        <v>235496.45999999982</v>
      </c>
      <c r="L11" s="204">
        <v>214087.6899999998</v>
      </c>
      <c r="M11" s="204">
        <v>192678.91999999978</v>
      </c>
      <c r="N11" s="204">
        <v>171270.14999999976</v>
      </c>
      <c r="O11" s="204">
        <v>149861.37999999974</v>
      </c>
      <c r="P11" s="204">
        <v>128452.60999999972</v>
      </c>
      <c r="Q11" s="77">
        <f t="shared" si="0"/>
        <v>120660.93446153845</v>
      </c>
      <c r="R11" s="517"/>
      <c r="U11" s="277" t="s">
        <v>1587</v>
      </c>
    </row>
    <row r="12" spans="1:24">
      <c r="A12" s="1474">
        <f t="shared" ref="A12" si="1">+A11+0.01</f>
        <v>2.0399999999999991</v>
      </c>
      <c r="B12" s="1571" t="s">
        <v>1588</v>
      </c>
      <c r="C12" s="1209"/>
      <c r="D12" s="1618">
        <v>128768.76999999976</v>
      </c>
      <c r="E12" s="204">
        <v>107307.25999999972</v>
      </c>
      <c r="F12" s="204">
        <v>85845.749999999651</v>
      </c>
      <c r="G12" s="204">
        <v>64384.239999999641</v>
      </c>
      <c r="H12" s="204">
        <v>42922.729999999865</v>
      </c>
      <c r="I12" s="204">
        <v>21461.219999999565</v>
      </c>
      <c r="J12" s="204">
        <v>-0.18000000034226105</v>
      </c>
      <c r="K12" s="204">
        <v>123321.75999999969</v>
      </c>
      <c r="L12" s="204">
        <v>112110.66999999968</v>
      </c>
      <c r="M12" s="204">
        <v>100899.57999999967</v>
      </c>
      <c r="N12" s="204">
        <v>89688.489999999656</v>
      </c>
      <c r="O12" s="204">
        <v>78477.399999999645</v>
      </c>
      <c r="P12" s="204">
        <v>67266.309999999634</v>
      </c>
      <c r="Q12" s="77">
        <f t="shared" si="0"/>
        <v>78650.307692307368</v>
      </c>
      <c r="R12" s="517"/>
      <c r="U12" s="277" t="s">
        <v>1588</v>
      </c>
    </row>
    <row r="13" spans="1:24" s="1521" customFormat="1">
      <c r="A13" s="1556">
        <f t="shared" ref="A13:A23" si="2">+A12+0.01</f>
        <v>2.0499999999999989</v>
      </c>
      <c r="B13" s="1571" t="s">
        <v>1589</v>
      </c>
      <c r="C13" s="1557"/>
      <c r="D13" s="1618">
        <v>0</v>
      </c>
      <c r="E13" s="204">
        <v>0</v>
      </c>
      <c r="F13" s="204">
        <v>0</v>
      </c>
      <c r="G13" s="204">
        <v>0</v>
      </c>
      <c r="H13" s="204">
        <v>0</v>
      </c>
      <c r="I13" s="204">
        <v>0</v>
      </c>
      <c r="J13" s="204">
        <v>0</v>
      </c>
      <c r="K13" s="204">
        <v>0</v>
      </c>
      <c r="L13" s="204">
        <v>0</v>
      </c>
      <c r="M13" s="204">
        <v>0</v>
      </c>
      <c r="N13" s="204">
        <v>0</v>
      </c>
      <c r="O13" s="204">
        <v>0</v>
      </c>
      <c r="P13" s="204">
        <v>0</v>
      </c>
      <c r="Q13" s="77">
        <f t="shared" ref="Q13" si="3">SUM(D13:P13)/13</f>
        <v>0</v>
      </c>
      <c r="R13" s="78" t="s">
        <v>1302</v>
      </c>
      <c r="S13" s="1885"/>
      <c r="T13" s="1885"/>
      <c r="U13" s="277" t="s">
        <v>1589</v>
      </c>
      <c r="V13" s="1885"/>
      <c r="W13" s="1885"/>
      <c r="X13" s="1885"/>
    </row>
    <row r="14" spans="1:24">
      <c r="A14" s="1474">
        <f t="shared" si="2"/>
        <v>2.0599999999999987</v>
      </c>
      <c r="B14" s="1571" t="s">
        <v>1590</v>
      </c>
      <c r="C14" s="1209"/>
      <c r="D14" s="1618">
        <v>0</v>
      </c>
      <c r="E14" s="204">
        <v>2706472.94</v>
      </c>
      <c r="F14" s="204">
        <v>2706472.94</v>
      </c>
      <c r="G14" s="204">
        <v>2029854.6800000002</v>
      </c>
      <c r="H14" s="204">
        <v>1804315.2599999998</v>
      </c>
      <c r="I14" s="204">
        <v>1578775.8399999999</v>
      </c>
      <c r="J14" s="204">
        <v>1353236.42</v>
      </c>
      <c r="K14" s="204">
        <v>1127697</v>
      </c>
      <c r="L14" s="204">
        <v>902157.58000000007</v>
      </c>
      <c r="M14" s="204">
        <v>676618.16000000015</v>
      </c>
      <c r="N14" s="204">
        <v>451078.74000000022</v>
      </c>
      <c r="O14" s="204">
        <v>225539.31999999983</v>
      </c>
      <c r="P14" s="204">
        <v>0</v>
      </c>
      <c r="Q14" s="77">
        <f t="shared" si="0"/>
        <v>1197093.76</v>
      </c>
      <c r="R14" s="517"/>
      <c r="U14" s="277" t="s">
        <v>1590</v>
      </c>
    </row>
    <row r="15" spans="1:24">
      <c r="A15" s="1474">
        <f t="shared" si="2"/>
        <v>2.0699999999999985</v>
      </c>
      <c r="B15" s="1571" t="s">
        <v>1591</v>
      </c>
      <c r="C15" s="1209"/>
      <c r="D15" s="1618">
        <v>-0.01</v>
      </c>
      <c r="E15" s="204">
        <v>-0.01</v>
      </c>
      <c r="F15" s="204">
        <v>871058.03</v>
      </c>
      <c r="G15" s="204">
        <v>653293.49</v>
      </c>
      <c r="H15" s="204">
        <v>580705.31000000006</v>
      </c>
      <c r="I15" s="204">
        <v>508117.13</v>
      </c>
      <c r="J15" s="204">
        <v>435528.95</v>
      </c>
      <c r="K15" s="204">
        <v>362940.77</v>
      </c>
      <c r="L15" s="204">
        <v>290352.58999999997</v>
      </c>
      <c r="M15" s="204">
        <v>217764.41</v>
      </c>
      <c r="N15" s="204">
        <v>145176.22999999998</v>
      </c>
      <c r="O15" s="204">
        <v>72588.05</v>
      </c>
      <c r="P15" s="204">
        <v>-0.01</v>
      </c>
      <c r="Q15" s="77">
        <f t="shared" si="0"/>
        <v>318271.14846153848</v>
      </c>
      <c r="R15" s="517"/>
      <c r="U15" s="277" t="s">
        <v>1591</v>
      </c>
    </row>
    <row r="16" spans="1:24" s="1521" customFormat="1">
      <c r="A16" s="1556">
        <f t="shared" si="2"/>
        <v>2.0799999999999983</v>
      </c>
      <c r="B16" s="1571" t="s">
        <v>1592</v>
      </c>
      <c r="C16" s="1557"/>
      <c r="D16" s="1618">
        <v>448234.55</v>
      </c>
      <c r="E16" s="204">
        <v>0</v>
      </c>
      <c r="F16" s="204">
        <v>0</v>
      </c>
      <c r="G16" s="204">
        <v>0</v>
      </c>
      <c r="H16" s="204">
        <v>0</v>
      </c>
      <c r="I16" s="204">
        <v>0</v>
      </c>
      <c r="J16" s="204">
        <v>0</v>
      </c>
      <c r="K16" s="204">
        <v>0</v>
      </c>
      <c r="L16" s="204">
        <v>0</v>
      </c>
      <c r="M16" s="204">
        <v>0</v>
      </c>
      <c r="N16" s="204">
        <v>0</v>
      </c>
      <c r="O16" s="204">
        <v>0</v>
      </c>
      <c r="P16" s="204">
        <v>798986.77</v>
      </c>
      <c r="Q16" s="77">
        <f t="shared" ref="Q16" si="4">SUM(D16:P16)/13</f>
        <v>95940.101538461546</v>
      </c>
      <c r="R16" s="78" t="s">
        <v>1302</v>
      </c>
      <c r="S16" s="1885"/>
      <c r="T16" s="1885"/>
      <c r="U16" s="277" t="s">
        <v>2011</v>
      </c>
      <c r="V16" s="1885"/>
      <c r="W16" s="1885"/>
      <c r="X16" s="1885"/>
    </row>
    <row r="17" spans="1:24">
      <c r="A17" s="1474">
        <f t="shared" si="2"/>
        <v>2.0899999999999981</v>
      </c>
      <c r="B17" s="1571" t="s">
        <v>1593</v>
      </c>
      <c r="C17" s="1209"/>
      <c r="D17" s="1618">
        <v>0</v>
      </c>
      <c r="E17" s="204">
        <v>571533.39</v>
      </c>
      <c r="F17" s="204">
        <v>519575.79999999993</v>
      </c>
      <c r="G17" s="204">
        <v>467618.20999999996</v>
      </c>
      <c r="H17" s="204">
        <v>415660.62</v>
      </c>
      <c r="I17" s="204">
        <v>363703.03</v>
      </c>
      <c r="J17" s="204">
        <v>311745.43999999994</v>
      </c>
      <c r="K17" s="204">
        <v>259787.84999999998</v>
      </c>
      <c r="L17" s="204">
        <v>207830.26</v>
      </c>
      <c r="M17" s="204">
        <v>155872.67000000004</v>
      </c>
      <c r="N17" s="204">
        <v>103915.08000000007</v>
      </c>
      <c r="O17" s="204">
        <v>51957.489999999991</v>
      </c>
      <c r="P17" s="204">
        <v>0</v>
      </c>
      <c r="Q17" s="77">
        <f t="shared" si="0"/>
        <v>263784.60307692306</v>
      </c>
      <c r="U17" s="277" t="s">
        <v>1593</v>
      </c>
    </row>
    <row r="18" spans="1:24">
      <c r="A18" s="1474">
        <f t="shared" si="2"/>
        <v>2.0999999999999979</v>
      </c>
      <c r="B18" s="1571" t="s">
        <v>1594</v>
      </c>
      <c r="C18" s="1209"/>
      <c r="D18" s="1618">
        <v>0</v>
      </c>
      <c r="E18" s="204">
        <v>1039695.93</v>
      </c>
      <c r="F18" s="204">
        <v>265676.92</v>
      </c>
      <c r="G18" s="204">
        <v>239108.92</v>
      </c>
      <c r="H18" s="204">
        <v>212540.92</v>
      </c>
      <c r="I18" s="204">
        <v>193754.52</v>
      </c>
      <c r="J18" s="204">
        <v>166074.51999999999</v>
      </c>
      <c r="K18" s="204">
        <v>138394.51999999999</v>
      </c>
      <c r="L18" s="204">
        <v>110714.52</v>
      </c>
      <c r="M18" s="204">
        <v>83034.52</v>
      </c>
      <c r="N18" s="204">
        <v>55354.52</v>
      </c>
      <c r="O18" s="204">
        <v>27674.52</v>
      </c>
      <c r="P18" s="204">
        <v>0</v>
      </c>
      <c r="Q18" s="77">
        <f t="shared" si="0"/>
        <v>194771.10230769232</v>
      </c>
      <c r="R18" s="517"/>
      <c r="U18" s="277" t="s">
        <v>1594</v>
      </c>
    </row>
    <row r="19" spans="1:24">
      <c r="A19" s="1474">
        <f t="shared" si="2"/>
        <v>2.1099999999999977</v>
      </c>
      <c r="B19" s="178" t="s">
        <v>1595</v>
      </c>
      <c r="C19" s="1209"/>
      <c r="D19" s="1618">
        <v>11396.7</v>
      </c>
      <c r="E19" s="204">
        <v>10763.55</v>
      </c>
      <c r="F19" s="204">
        <v>11209.5</v>
      </c>
      <c r="G19" s="204">
        <v>9497.25</v>
      </c>
      <c r="H19" s="204">
        <v>8864.0999999999985</v>
      </c>
      <c r="I19" s="204">
        <v>8230.9500000000007</v>
      </c>
      <c r="J19" s="204">
        <v>7597.8</v>
      </c>
      <c r="K19" s="204">
        <v>6964.65</v>
      </c>
      <c r="L19" s="204">
        <v>6331.5</v>
      </c>
      <c r="M19" s="204">
        <v>5698.3499999999995</v>
      </c>
      <c r="N19" s="204">
        <v>5065.2000000000007</v>
      </c>
      <c r="O19" s="204">
        <v>4432.0499999999993</v>
      </c>
      <c r="P19" s="204">
        <v>3798.8999999999996</v>
      </c>
      <c r="Q19" s="77">
        <f t="shared" si="0"/>
        <v>7680.8076923076924</v>
      </c>
      <c r="R19" s="517"/>
      <c r="U19" s="277" t="s">
        <v>1595</v>
      </c>
    </row>
    <row r="20" spans="1:24">
      <c r="A20" s="1474">
        <f t="shared" si="2"/>
        <v>2.1199999999999974</v>
      </c>
      <c r="B20" s="1571" t="s">
        <v>1596</v>
      </c>
      <c r="C20" s="1209"/>
      <c r="D20" s="1618">
        <v>0</v>
      </c>
      <c r="E20" s="204">
        <v>-54000</v>
      </c>
      <c r="F20" s="204">
        <v>489960</v>
      </c>
      <c r="G20" s="204">
        <v>440964</v>
      </c>
      <c r="H20" s="204">
        <v>391968</v>
      </c>
      <c r="I20" s="204">
        <v>342972</v>
      </c>
      <c r="J20" s="204">
        <v>293976</v>
      </c>
      <c r="K20" s="204">
        <v>244980</v>
      </c>
      <c r="L20" s="204">
        <v>195984</v>
      </c>
      <c r="M20" s="204">
        <v>146988</v>
      </c>
      <c r="N20" s="204">
        <v>97992</v>
      </c>
      <c r="O20" s="204">
        <v>48996</v>
      </c>
      <c r="P20" s="204">
        <v>0</v>
      </c>
      <c r="Q20" s="77">
        <f t="shared" si="0"/>
        <v>203136.92307692306</v>
      </c>
      <c r="R20" s="517"/>
      <c r="U20" s="277" t="s">
        <v>1596</v>
      </c>
    </row>
    <row r="21" spans="1:24">
      <c r="A21" s="1474">
        <f t="shared" si="2"/>
        <v>2.1299999999999972</v>
      </c>
      <c r="B21" s="1571" t="s">
        <v>1597</v>
      </c>
      <c r="C21" s="1209"/>
      <c r="D21" s="1618">
        <v>134596.52000000005</v>
      </c>
      <c r="E21" s="204">
        <v>168328.95</v>
      </c>
      <c r="F21" s="204">
        <v>134349.80000000002</v>
      </c>
      <c r="G21" s="204">
        <v>134344.15</v>
      </c>
      <c r="H21" s="204">
        <v>134335.21000000002</v>
      </c>
      <c r="I21" s="204">
        <v>134211.85</v>
      </c>
      <c r="J21" s="204">
        <v>134088.49000000002</v>
      </c>
      <c r="K21" s="204">
        <v>133965.13</v>
      </c>
      <c r="L21" s="204">
        <v>133841.77000000002</v>
      </c>
      <c r="M21" s="204">
        <v>132357.61000000002</v>
      </c>
      <c r="N21" s="204">
        <v>149352.77000000005</v>
      </c>
      <c r="O21" s="204">
        <v>149709.68000000005</v>
      </c>
      <c r="P21" s="204">
        <v>144832.63</v>
      </c>
      <c r="Q21" s="77">
        <f t="shared" si="0"/>
        <v>139870.35076923078</v>
      </c>
      <c r="R21" s="517"/>
      <c r="U21" s="277" t="s">
        <v>1597</v>
      </c>
    </row>
    <row r="22" spans="1:24" s="1214" customFormat="1">
      <c r="A22" s="1474">
        <f t="shared" si="2"/>
        <v>2.139999999999997</v>
      </c>
      <c r="B22" s="1571" t="s">
        <v>1598</v>
      </c>
      <c r="C22" s="1209"/>
      <c r="D22" s="1618">
        <v>-1285.869999999986</v>
      </c>
      <c r="E22" s="204">
        <v>-1285.8699999999972</v>
      </c>
      <c r="F22" s="204">
        <v>-1285.8699999999972</v>
      </c>
      <c r="G22" s="204">
        <v>0</v>
      </c>
      <c r="H22" s="204">
        <v>0</v>
      </c>
      <c r="I22" s="204">
        <v>0</v>
      </c>
      <c r="J22" s="204">
        <v>0</v>
      </c>
      <c r="K22" s="204">
        <v>0</v>
      </c>
      <c r="L22" s="204">
        <v>0</v>
      </c>
      <c r="M22" s="204">
        <v>0</v>
      </c>
      <c r="N22" s="204">
        <v>0</v>
      </c>
      <c r="O22" s="204">
        <v>0</v>
      </c>
      <c r="P22" s="204">
        <v>0</v>
      </c>
      <c r="Q22" s="77">
        <f t="shared" si="0"/>
        <v>-296.73923076922927</v>
      </c>
      <c r="R22" s="533"/>
      <c r="S22" s="1886"/>
      <c r="T22" s="1886"/>
      <c r="U22" s="277" t="s">
        <v>1598</v>
      </c>
      <c r="V22" s="1886"/>
      <c r="W22" s="1886"/>
      <c r="X22" s="1886"/>
    </row>
    <row r="23" spans="1:24" s="1522" customFormat="1">
      <c r="A23" s="1556">
        <f t="shared" si="2"/>
        <v>2.1499999999999968</v>
      </c>
      <c r="B23" s="1571" t="s">
        <v>1599</v>
      </c>
      <c r="C23" s="1557"/>
      <c r="D23" s="1618">
        <v>309586.52000000014</v>
      </c>
      <c r="E23" s="204">
        <v>309586.52000000014</v>
      </c>
      <c r="F23" s="204">
        <v>309586.52000000014</v>
      </c>
      <c r="G23" s="204">
        <v>0</v>
      </c>
      <c r="H23" s="204">
        <v>0</v>
      </c>
      <c r="I23" s="204">
        <v>0</v>
      </c>
      <c r="J23" s="204">
        <v>0</v>
      </c>
      <c r="K23" s="204">
        <v>0</v>
      </c>
      <c r="L23" s="204">
        <v>0</v>
      </c>
      <c r="M23" s="204">
        <v>0</v>
      </c>
      <c r="N23" s="204">
        <v>0</v>
      </c>
      <c r="O23" s="204">
        <v>0</v>
      </c>
      <c r="P23" s="204">
        <v>197112.50999999983</v>
      </c>
      <c r="Q23" s="77">
        <f t="shared" ref="Q23" si="5">SUM(D23:P23)/13</f>
        <v>86605.543846153872</v>
      </c>
      <c r="R23" s="78" t="s">
        <v>1302</v>
      </c>
      <c r="S23" s="1886"/>
      <c r="T23" s="1886"/>
      <c r="U23" s="277" t="s">
        <v>1599</v>
      </c>
      <c r="V23" s="1886"/>
      <c r="W23" s="1886"/>
      <c r="X23" s="1886"/>
    </row>
    <row r="24" spans="1:24" s="1522" customFormat="1">
      <c r="A24" s="1475">
        <f>+A23+0.01</f>
        <v>2.1599999999999966</v>
      </c>
      <c r="B24" s="1624" t="s">
        <v>1726</v>
      </c>
      <c r="C24" s="1624" t="s">
        <v>1726</v>
      </c>
      <c r="D24" s="1618">
        <v>0</v>
      </c>
      <c r="E24" s="204">
        <v>62678.02</v>
      </c>
      <c r="F24" s="204">
        <v>56978.02</v>
      </c>
      <c r="G24" s="204">
        <v>51278.02</v>
      </c>
      <c r="H24" s="204">
        <v>45578.02</v>
      </c>
      <c r="I24" s="204">
        <v>39878.019999999997</v>
      </c>
      <c r="J24" s="204">
        <v>34178.019999999997</v>
      </c>
      <c r="K24" s="204">
        <v>28478.02</v>
      </c>
      <c r="L24" s="204">
        <v>22778.02</v>
      </c>
      <c r="M24" s="204">
        <v>17078.02</v>
      </c>
      <c r="N24" s="204">
        <v>11378.02</v>
      </c>
      <c r="O24" s="204">
        <v>5678.02</v>
      </c>
      <c r="P24" s="204">
        <v>0</v>
      </c>
      <c r="Q24" s="77">
        <f t="shared" ref="Q24" si="6">SUM(D24:P24)/13</f>
        <v>28919.863076923084</v>
      </c>
      <c r="R24" s="78"/>
      <c r="S24" s="1886"/>
      <c r="T24" s="1886"/>
      <c r="U24" s="277" t="s">
        <v>1726</v>
      </c>
      <c r="V24" s="1886"/>
      <c r="W24" s="1886"/>
      <c r="X24" s="1886"/>
    </row>
    <row r="25" spans="1:24" s="1522" customFormat="1">
      <c r="A25" s="1475">
        <f t="shared" ref="A25:A35" si="7">+A24+0.01</f>
        <v>2.1699999999999964</v>
      </c>
      <c r="B25" s="1624" t="s">
        <v>1727</v>
      </c>
      <c r="C25" s="1625"/>
      <c r="D25" s="1618">
        <v>0</v>
      </c>
      <c r="E25" s="204">
        <v>0</v>
      </c>
      <c r="F25" s="204">
        <v>0</v>
      </c>
      <c r="G25" s="204">
        <v>0</v>
      </c>
      <c r="H25" s="204">
        <v>0</v>
      </c>
      <c r="I25" s="204">
        <v>0</v>
      </c>
      <c r="J25" s="204">
        <v>0</v>
      </c>
      <c r="K25" s="204">
        <v>0</v>
      </c>
      <c r="L25" s="204">
        <v>0</v>
      </c>
      <c r="M25" s="204">
        <v>0</v>
      </c>
      <c r="N25" s="204">
        <v>0</v>
      </c>
      <c r="O25" s="204">
        <v>0</v>
      </c>
      <c r="P25" s="204">
        <v>0</v>
      </c>
      <c r="Q25" s="77">
        <f t="shared" ref="Q25:Q30" si="8">SUM(D25:P25)/13</f>
        <v>0</v>
      </c>
      <c r="R25" s="78"/>
      <c r="S25" s="1886"/>
      <c r="T25" s="1886"/>
      <c r="U25" s="277" t="s">
        <v>1727</v>
      </c>
      <c r="V25" s="1886"/>
      <c r="W25" s="1886"/>
      <c r="X25" s="1886"/>
    </row>
    <row r="26" spans="1:24" s="1522" customFormat="1">
      <c r="A26" s="1475">
        <f t="shared" si="7"/>
        <v>2.1799999999999962</v>
      </c>
      <c r="B26" s="1624" t="s">
        <v>1728</v>
      </c>
      <c r="C26" s="1625"/>
      <c r="D26" s="1618">
        <v>0</v>
      </c>
      <c r="E26" s="204">
        <v>0</v>
      </c>
      <c r="F26" s="204">
        <v>0</v>
      </c>
      <c r="G26" s="204">
        <v>-6.0000000000000005E-2</v>
      </c>
      <c r="H26" s="204">
        <v>-6.0000000000000005E-2</v>
      </c>
      <c r="I26" s="204">
        <v>-6.0000000000000005E-2</v>
      </c>
      <c r="J26" s="204">
        <v>-6.0000000000000005E-2</v>
      </c>
      <c r="K26" s="204">
        <v>0</v>
      </c>
      <c r="L26" s="204">
        <v>0</v>
      </c>
      <c r="M26" s="204">
        <v>0</v>
      </c>
      <c r="N26" s="204">
        <v>0</v>
      </c>
      <c r="O26" s="204">
        <v>0</v>
      </c>
      <c r="P26" s="204">
        <v>0</v>
      </c>
      <c r="Q26" s="77">
        <f t="shared" si="8"/>
        <v>-1.8461538461538463E-2</v>
      </c>
      <c r="R26" s="78"/>
      <c r="S26" s="1886"/>
      <c r="T26" s="1886"/>
      <c r="U26" s="277" t="s">
        <v>1728</v>
      </c>
      <c r="V26" s="1886"/>
      <c r="W26" s="1886"/>
      <c r="X26" s="1886"/>
    </row>
    <row r="27" spans="1:24" s="1522" customFormat="1">
      <c r="A27" s="1475">
        <f t="shared" si="7"/>
        <v>2.1899999999999959</v>
      </c>
      <c r="B27" s="1624" t="s">
        <v>1725</v>
      </c>
      <c r="C27" s="1625"/>
      <c r="D27" s="1618">
        <v>15914.1</v>
      </c>
      <c r="E27" s="204">
        <v>10609.36</v>
      </c>
      <c r="F27" s="204">
        <v>5304.62</v>
      </c>
      <c r="G27" s="204">
        <v>0</v>
      </c>
      <c r="H27" s="204">
        <v>0</v>
      </c>
      <c r="I27" s="204">
        <v>0</v>
      </c>
      <c r="J27" s="204">
        <v>0</v>
      </c>
      <c r="K27" s="204">
        <v>0</v>
      </c>
      <c r="L27" s="204">
        <v>0</v>
      </c>
      <c r="M27" s="204">
        <v>0</v>
      </c>
      <c r="N27" s="204">
        <v>0</v>
      </c>
      <c r="O27" s="204">
        <v>0</v>
      </c>
      <c r="P27" s="204">
        <v>0</v>
      </c>
      <c r="Q27" s="77">
        <f t="shared" si="8"/>
        <v>2448.313846153846</v>
      </c>
      <c r="R27" s="78"/>
      <c r="S27" s="1886"/>
      <c r="T27" s="1886"/>
      <c r="U27" s="277" t="s">
        <v>1725</v>
      </c>
      <c r="V27" s="1886"/>
      <c r="W27" s="1886"/>
      <c r="X27" s="1886"/>
    </row>
    <row r="28" spans="1:24" s="1522" customFormat="1">
      <c r="A28" s="1475">
        <f t="shared" si="7"/>
        <v>2.1999999999999957</v>
      </c>
      <c r="B28" s="1624" t="s">
        <v>1729</v>
      </c>
      <c r="C28" s="1625"/>
      <c r="D28" s="1618">
        <v>0</v>
      </c>
      <c r="E28" s="204">
        <v>0</v>
      </c>
      <c r="F28" s="204">
        <v>0</v>
      </c>
      <c r="G28" s="204">
        <v>0</v>
      </c>
      <c r="H28" s="204">
        <v>0</v>
      </c>
      <c r="I28" s="204">
        <v>0</v>
      </c>
      <c r="J28" s="204">
        <v>0</v>
      </c>
      <c r="K28" s="204">
        <v>0</v>
      </c>
      <c r="L28" s="204">
        <v>0</v>
      </c>
      <c r="M28" s="204">
        <v>0</v>
      </c>
      <c r="N28" s="204">
        <v>0</v>
      </c>
      <c r="O28" s="204">
        <v>0</v>
      </c>
      <c r="P28" s="204">
        <v>0</v>
      </c>
      <c r="Q28" s="77">
        <f t="shared" si="8"/>
        <v>0</v>
      </c>
      <c r="R28" s="78"/>
      <c r="S28" s="1886"/>
      <c r="T28" s="1886"/>
      <c r="U28" s="566" t="s">
        <v>1729</v>
      </c>
      <c r="V28" s="1886"/>
      <c r="W28" s="1886"/>
      <c r="X28" s="1886"/>
    </row>
    <row r="29" spans="1:24" s="1522" customFormat="1">
      <c r="A29" s="1475">
        <f t="shared" si="7"/>
        <v>2.2099999999999955</v>
      </c>
      <c r="B29" s="1624" t="s">
        <v>1730</v>
      </c>
      <c r="C29" s="1625"/>
      <c r="D29" s="1618">
        <v>0</v>
      </c>
      <c r="E29" s="204">
        <v>0</v>
      </c>
      <c r="F29" s="204">
        <v>0</v>
      </c>
      <c r="G29" s="204">
        <v>0</v>
      </c>
      <c r="H29" s="204">
        <v>0</v>
      </c>
      <c r="I29" s="204">
        <v>0</v>
      </c>
      <c r="J29" s="204">
        <v>0</v>
      </c>
      <c r="K29" s="204">
        <v>0</v>
      </c>
      <c r="L29" s="204">
        <v>0</v>
      </c>
      <c r="M29" s="204">
        <v>0</v>
      </c>
      <c r="N29" s="204">
        <v>0</v>
      </c>
      <c r="O29" s="204">
        <v>0</v>
      </c>
      <c r="P29" s="204">
        <v>45105.55</v>
      </c>
      <c r="Q29" s="77">
        <f t="shared" si="8"/>
        <v>3469.6576923076927</v>
      </c>
      <c r="R29" s="78"/>
      <c r="S29" s="1886"/>
      <c r="T29" s="1886"/>
      <c r="U29" s="277" t="s">
        <v>1730</v>
      </c>
      <c r="V29" s="1886"/>
      <c r="W29" s="1886"/>
      <c r="X29" s="1886"/>
    </row>
    <row r="30" spans="1:24" s="1522" customFormat="1">
      <c r="A30" s="1475">
        <f t="shared" si="7"/>
        <v>2.2199999999999953</v>
      </c>
      <c r="B30" s="1624" t="s">
        <v>1731</v>
      </c>
      <c r="C30" s="1625"/>
      <c r="D30" s="1618">
        <v>0</v>
      </c>
      <c r="E30" s="204">
        <v>0</v>
      </c>
      <c r="F30" s="204">
        <v>0</v>
      </c>
      <c r="G30" s="204">
        <v>0</v>
      </c>
      <c r="H30" s="204">
        <v>0</v>
      </c>
      <c r="I30" s="204">
        <v>0</v>
      </c>
      <c r="J30" s="204">
        <v>0</v>
      </c>
      <c r="K30" s="204">
        <v>0</v>
      </c>
      <c r="L30" s="204">
        <v>0</v>
      </c>
      <c r="M30" s="204">
        <v>0</v>
      </c>
      <c r="N30" s="204">
        <v>0</v>
      </c>
      <c r="O30" s="204">
        <v>0</v>
      </c>
      <c r="P30" s="204">
        <v>0</v>
      </c>
      <c r="Q30" s="77">
        <f t="shared" si="8"/>
        <v>0</v>
      </c>
      <c r="R30" s="78"/>
      <c r="S30" s="1886"/>
      <c r="T30" s="1886"/>
      <c r="U30" s="566" t="s">
        <v>1731</v>
      </c>
      <c r="V30" s="1886"/>
      <c r="W30" s="1886"/>
      <c r="X30" s="1886"/>
    </row>
    <row r="31" spans="1:24">
      <c r="A31" s="1475">
        <f t="shared" si="7"/>
        <v>2.2299999999999951</v>
      </c>
      <c r="B31" s="1624" t="s">
        <v>2012</v>
      </c>
      <c r="C31" s="1280"/>
      <c r="D31" s="1618">
        <v>0</v>
      </c>
      <c r="E31" s="204">
        <v>0</v>
      </c>
      <c r="F31" s="204">
        <v>32.590000000000003</v>
      </c>
      <c r="G31" s="204">
        <v>67200</v>
      </c>
      <c r="H31" s="204">
        <v>0</v>
      </c>
      <c r="I31" s="204">
        <v>0</v>
      </c>
      <c r="J31" s="204">
        <v>0</v>
      </c>
      <c r="K31" s="204">
        <v>0</v>
      </c>
      <c r="L31" s="204">
        <v>0</v>
      </c>
      <c r="M31" s="204">
        <v>0</v>
      </c>
      <c r="N31" s="204">
        <v>0</v>
      </c>
      <c r="O31" s="204">
        <v>0</v>
      </c>
      <c r="P31" s="204">
        <v>0</v>
      </c>
      <c r="Q31" s="262">
        <f t="shared" si="0"/>
        <v>5171.7376923076918</v>
      </c>
      <c r="R31" s="517"/>
      <c r="U31" s="566" t="s">
        <v>2012</v>
      </c>
    </row>
    <row r="32" spans="1:24">
      <c r="A32" s="1475">
        <f t="shared" si="7"/>
        <v>2.2399999999999949</v>
      </c>
      <c r="B32" s="1624" t="s">
        <v>2013</v>
      </c>
      <c r="C32" s="1280"/>
      <c r="D32" s="1618">
        <v>0</v>
      </c>
      <c r="E32" s="204">
        <v>0</v>
      </c>
      <c r="F32" s="204">
        <v>0</v>
      </c>
      <c r="G32" s="204">
        <v>14745.26</v>
      </c>
      <c r="H32" s="204">
        <v>14745.26</v>
      </c>
      <c r="I32" s="204">
        <v>5898.08</v>
      </c>
      <c r="J32" s="204">
        <v>2949.02</v>
      </c>
      <c r="K32" s="204">
        <v>0</v>
      </c>
      <c r="L32" s="204">
        <v>0</v>
      </c>
      <c r="M32" s="204">
        <v>0</v>
      </c>
      <c r="N32" s="204">
        <v>0</v>
      </c>
      <c r="O32" s="204">
        <v>0</v>
      </c>
      <c r="P32" s="204">
        <v>0</v>
      </c>
      <c r="Q32" s="262">
        <f t="shared" ref="Q32" si="9">SUM(D32:P32)/13</f>
        <v>2949.0476923076922</v>
      </c>
      <c r="R32" s="517"/>
      <c r="U32" s="566" t="s">
        <v>2013</v>
      </c>
    </row>
    <row r="33" spans="1:24">
      <c r="A33" s="1475">
        <f t="shared" si="7"/>
        <v>2.2499999999999947</v>
      </c>
      <c r="B33" s="1624" t="s">
        <v>2014</v>
      </c>
      <c r="C33" s="1280"/>
      <c r="D33" s="1618">
        <v>0</v>
      </c>
      <c r="E33" s="204">
        <v>0</v>
      </c>
      <c r="F33" s="204">
        <v>0</v>
      </c>
      <c r="G33" s="204">
        <v>1490000</v>
      </c>
      <c r="H33" s="204">
        <v>1473444.44</v>
      </c>
      <c r="I33" s="204">
        <v>1465166.66</v>
      </c>
      <c r="J33" s="204">
        <v>1456888.88</v>
      </c>
      <c r="K33" s="204">
        <v>1448611.1</v>
      </c>
      <c r="L33" s="204">
        <v>1440333.32</v>
      </c>
      <c r="M33" s="204">
        <v>1432055.54</v>
      </c>
      <c r="N33" s="204">
        <v>1423777.76</v>
      </c>
      <c r="O33" s="204">
        <v>1415499.98</v>
      </c>
      <c r="P33" s="204">
        <v>1407222.2</v>
      </c>
      <c r="Q33" s="262">
        <f t="shared" ref="Q33" si="10">SUM(D33:P33)/13</f>
        <v>1111769.2215384615</v>
      </c>
      <c r="R33" s="517"/>
      <c r="U33" s="566" t="s">
        <v>2014</v>
      </c>
    </row>
    <row r="34" spans="1:24">
      <c r="A34" s="1475">
        <f t="shared" si="7"/>
        <v>2.2599999999999945</v>
      </c>
      <c r="B34" s="1624" t="s">
        <v>2015</v>
      </c>
      <c r="C34" s="1280"/>
      <c r="D34" s="1618">
        <v>0</v>
      </c>
      <c r="E34" s="204">
        <v>0</v>
      </c>
      <c r="F34" s="204">
        <v>0</v>
      </c>
      <c r="G34" s="204">
        <v>0</v>
      </c>
      <c r="H34" s="204">
        <v>0</v>
      </c>
      <c r="I34" s="204">
        <v>0</v>
      </c>
      <c r="J34" s="204">
        <v>0</v>
      </c>
      <c r="K34" s="204">
        <v>0</v>
      </c>
      <c r="L34" s="204">
        <v>0</v>
      </c>
      <c r="M34" s="204">
        <v>0</v>
      </c>
      <c r="N34" s="204">
        <v>0</v>
      </c>
      <c r="O34" s="204">
        <v>0</v>
      </c>
      <c r="P34" s="204">
        <v>376292.83</v>
      </c>
      <c r="Q34" s="262">
        <f t="shared" ref="Q34" si="11">SUM(D34:P34)/13</f>
        <v>28945.602307692308</v>
      </c>
      <c r="R34" s="517"/>
      <c r="U34" s="566" t="s">
        <v>2015</v>
      </c>
    </row>
    <row r="35" spans="1:24">
      <c r="A35" s="1475">
        <f t="shared" si="7"/>
        <v>2.2699999999999942</v>
      </c>
      <c r="B35" s="767"/>
      <c r="C35" s="1280" t="s">
        <v>936</v>
      </c>
      <c r="D35" s="1618">
        <v>0</v>
      </c>
      <c r="E35" s="204">
        <v>0</v>
      </c>
      <c r="F35" s="204">
        <v>0</v>
      </c>
      <c r="G35" s="204">
        <v>0</v>
      </c>
      <c r="H35" s="204">
        <v>0</v>
      </c>
      <c r="I35" s="204">
        <v>0</v>
      </c>
      <c r="J35" s="204">
        <v>0</v>
      </c>
      <c r="K35" s="204">
        <v>0</v>
      </c>
      <c r="L35" s="204">
        <v>0</v>
      </c>
      <c r="M35" s="204">
        <v>0</v>
      </c>
      <c r="N35" s="204">
        <v>0</v>
      </c>
      <c r="O35" s="204">
        <v>0</v>
      </c>
      <c r="P35" s="204">
        <v>0</v>
      </c>
      <c r="Q35" s="262">
        <f t="shared" ref="Q35" si="12">SUM(D35:P35)/13</f>
        <v>0</v>
      </c>
      <c r="R35" s="517"/>
      <c r="U35" s="277"/>
    </row>
    <row r="36" spans="1:24">
      <c r="A36" s="1335" t="s">
        <v>927</v>
      </c>
      <c r="B36" s="767"/>
      <c r="C36" s="1280" t="s">
        <v>936</v>
      </c>
      <c r="D36" s="1618">
        <v>0</v>
      </c>
      <c r="E36" s="204">
        <v>0</v>
      </c>
      <c r="F36" s="204">
        <v>0</v>
      </c>
      <c r="G36" s="204">
        <v>0</v>
      </c>
      <c r="H36" s="204">
        <v>0</v>
      </c>
      <c r="I36" s="204">
        <v>0</v>
      </c>
      <c r="J36" s="204">
        <v>0</v>
      </c>
      <c r="K36" s="204">
        <v>0</v>
      </c>
      <c r="L36" s="204">
        <v>0</v>
      </c>
      <c r="M36" s="204">
        <v>0</v>
      </c>
      <c r="N36" s="204">
        <v>0</v>
      </c>
      <c r="O36" s="204">
        <v>0</v>
      </c>
      <c r="P36" s="204">
        <v>0</v>
      </c>
      <c r="Q36" s="262">
        <f t="shared" si="0"/>
        <v>0</v>
      </c>
      <c r="R36" s="517"/>
    </row>
    <row r="37" spans="1:24" s="1214" customFormat="1">
      <c r="A37" s="1335" t="s">
        <v>929</v>
      </c>
      <c r="B37" s="767"/>
      <c r="C37" s="1280" t="s">
        <v>936</v>
      </c>
      <c r="D37" s="1765">
        <v>0</v>
      </c>
      <c r="E37" s="257">
        <v>0</v>
      </c>
      <c r="F37" s="257">
        <v>0</v>
      </c>
      <c r="G37" s="257">
        <v>0</v>
      </c>
      <c r="H37" s="257">
        <v>0</v>
      </c>
      <c r="I37" s="257">
        <v>0</v>
      </c>
      <c r="J37" s="257">
        <v>0</v>
      </c>
      <c r="K37" s="257">
        <v>0</v>
      </c>
      <c r="L37" s="257">
        <v>0</v>
      </c>
      <c r="M37" s="257">
        <v>0</v>
      </c>
      <c r="N37" s="257">
        <v>0</v>
      </c>
      <c r="O37" s="257">
        <v>0</v>
      </c>
      <c r="P37" s="257">
        <v>0</v>
      </c>
      <c r="Q37" s="558">
        <f t="shared" si="0"/>
        <v>0</v>
      </c>
      <c r="R37" s="533"/>
      <c r="S37" s="1886"/>
      <c r="T37" s="1886"/>
      <c r="U37" s="1886"/>
      <c r="V37" s="1886"/>
      <c r="W37" s="1886"/>
      <c r="X37" s="1886"/>
    </row>
    <row r="38" spans="1:24">
      <c r="A38" s="1210">
        <f>+A8+1</f>
        <v>3</v>
      </c>
      <c r="B38" s="1211" t="s">
        <v>113</v>
      </c>
      <c r="C38" s="1209" t="str">
        <f>+"Sum Line "&amp;A8&amp;" Subparts"</f>
        <v>Sum Line 2 Subparts</v>
      </c>
      <c r="D38" s="1215">
        <f t="shared" ref="D38:Q38" si="13">SUM(D9:D37)</f>
        <v>10987872.137999995</v>
      </c>
      <c r="E38" s="1215">
        <f t="shared" si="13"/>
        <v>14659511.78000002</v>
      </c>
      <c r="F38" s="1215">
        <f t="shared" si="13"/>
        <v>12962529.860000016</v>
      </c>
      <c r="G38" s="1215">
        <f t="shared" si="13"/>
        <v>11698816.50000003</v>
      </c>
      <c r="H38" s="1215">
        <f t="shared" si="13"/>
        <v>14693277.200000023</v>
      </c>
      <c r="I38" s="1215">
        <f t="shared" si="13"/>
        <v>12394949.610000009</v>
      </c>
      <c r="J38" s="1215">
        <f t="shared" si="13"/>
        <v>19867941.110000018</v>
      </c>
      <c r="K38" s="1215">
        <f t="shared" si="13"/>
        <v>18100724.050000012</v>
      </c>
      <c r="L38" s="1215">
        <f t="shared" si="13"/>
        <v>15913300.330000032</v>
      </c>
      <c r="M38" s="1215">
        <f t="shared" si="13"/>
        <v>13301515.390000015</v>
      </c>
      <c r="N38" s="1215">
        <f t="shared" si="13"/>
        <v>11152331.490000013</v>
      </c>
      <c r="O38" s="1215">
        <f t="shared" si="13"/>
        <v>11882445.140000014</v>
      </c>
      <c r="P38" s="1215">
        <f t="shared" si="13"/>
        <v>11287240.730000013</v>
      </c>
      <c r="Q38" s="1216">
        <f t="shared" si="13"/>
        <v>13761727.332923098</v>
      </c>
    </row>
    <row r="39" spans="1:24">
      <c r="A39" s="1210"/>
      <c r="C39" s="1209"/>
      <c r="D39" s="1215" t="s">
        <v>617</v>
      </c>
      <c r="E39" s="1209"/>
      <c r="F39" s="1209"/>
      <c r="G39" s="1209"/>
      <c r="H39" s="1209"/>
      <c r="I39" s="1209"/>
      <c r="J39" s="1209"/>
      <c r="K39" s="1209"/>
      <c r="L39" s="1209"/>
      <c r="M39" s="1209"/>
      <c r="N39" s="1209"/>
      <c r="O39" s="1209"/>
      <c r="P39" s="1215" t="s">
        <v>618</v>
      </c>
      <c r="Q39" s="1216"/>
    </row>
    <row r="40" spans="1:24" s="1214" customFormat="1">
      <c r="A40" s="1210">
        <f>+A38+1</f>
        <v>4</v>
      </c>
      <c r="B40" s="1217"/>
      <c r="D40" s="1211"/>
      <c r="E40" s="1211"/>
      <c r="F40" s="1211"/>
      <c r="G40" s="1211"/>
      <c r="H40" s="1211"/>
      <c r="I40" s="1211"/>
      <c r="J40" s="1211"/>
      <c r="K40" s="1211"/>
      <c r="L40" s="1211"/>
      <c r="M40" s="1211"/>
      <c r="N40" s="1211"/>
      <c r="O40" s="1211"/>
      <c r="P40" s="1211"/>
      <c r="Q40" s="262"/>
      <c r="R40" s="533"/>
      <c r="S40" s="1886"/>
      <c r="T40" s="1886"/>
      <c r="U40" s="1886"/>
      <c r="V40" s="1886"/>
      <c r="W40" s="1886"/>
      <c r="X40" s="1886"/>
    </row>
    <row r="41" spans="1:24" ht="15">
      <c r="A41" s="1210">
        <f>+A40+1</f>
        <v>5</v>
      </c>
      <c r="B41" s="909"/>
      <c r="C41" s="909"/>
      <c r="D41" s="2003" t="s">
        <v>267</v>
      </c>
      <c r="E41" s="1218" t="s">
        <v>730</v>
      </c>
      <c r="F41" s="1218" t="s">
        <v>320</v>
      </c>
      <c r="G41" s="1218" t="s">
        <v>321</v>
      </c>
      <c r="H41" s="1218" t="s">
        <v>731</v>
      </c>
      <c r="I41" s="1219"/>
      <c r="J41" s="1219"/>
      <c r="K41" s="1219"/>
      <c r="L41" s="1220"/>
      <c r="M41" s="1220"/>
      <c r="N41" s="1220"/>
      <c r="O41" s="1220"/>
      <c r="P41" s="1220"/>
      <c r="Q41" s="1220"/>
      <c r="R41" s="1887"/>
      <c r="S41" s="1887"/>
      <c r="T41" s="1887"/>
      <c r="U41" s="1887"/>
    </row>
    <row r="42" spans="1:24" ht="27.6" customHeight="1">
      <c r="A42" s="1210">
        <f>+A41+1</f>
        <v>6</v>
      </c>
      <c r="B42" s="909" t="str">
        <f>+B7</f>
        <v>Account</v>
      </c>
      <c r="C42" s="909" t="str">
        <f>+C7</f>
        <v>Account Name</v>
      </c>
      <c r="D42" s="2003"/>
      <c r="E42" s="1208" t="s">
        <v>153</v>
      </c>
      <c r="F42" s="506" t="s">
        <v>135</v>
      </c>
      <c r="G42" s="1208" t="s">
        <v>157</v>
      </c>
      <c r="H42" s="1208" t="s">
        <v>142</v>
      </c>
      <c r="I42" s="1219"/>
      <c r="O42" s="1220"/>
      <c r="P42" s="1220"/>
      <c r="Q42" s="1220"/>
      <c r="R42" s="1887"/>
      <c r="S42" s="1887"/>
      <c r="T42" s="1887"/>
      <c r="U42" s="1887"/>
    </row>
    <row r="43" spans="1:24">
      <c r="A43" s="1210">
        <f>+A42+1</f>
        <v>7</v>
      </c>
      <c r="B43" s="1209"/>
      <c r="C43" s="1209"/>
      <c r="D43" s="1209"/>
      <c r="E43" s="1209"/>
      <c r="F43" s="1209"/>
      <c r="G43" s="1209"/>
      <c r="H43" s="1209"/>
      <c r="O43" s="1220"/>
      <c r="P43" s="1220"/>
      <c r="Q43" s="1220"/>
      <c r="R43" s="1887"/>
      <c r="S43" s="1887"/>
      <c r="T43" s="1887"/>
      <c r="U43" s="1887"/>
    </row>
    <row r="44" spans="1:24">
      <c r="A44" s="1212">
        <f>+A43+0.01</f>
        <v>7.01</v>
      </c>
      <c r="B44" s="1213" t="str">
        <f t="shared" ref="B44" si="14">+B9</f>
        <v>165000: Prepayments</v>
      </c>
      <c r="C44" s="1209"/>
      <c r="D44" s="1222">
        <f t="shared" ref="D44:D69" si="15">+Q9</f>
        <v>439170.47384615371</v>
      </c>
      <c r="E44" s="1209"/>
      <c r="F44" s="840"/>
      <c r="G44" s="1221"/>
      <c r="H44" s="1222">
        <f>+D44</f>
        <v>439170.47384615371</v>
      </c>
      <c r="O44" s="1220"/>
      <c r="P44" s="1220"/>
      <c r="Q44" s="1220"/>
      <c r="R44" s="1887"/>
      <c r="S44" s="1887"/>
      <c r="T44" s="1887"/>
      <c r="U44" s="1887"/>
    </row>
    <row r="45" spans="1:24">
      <c r="A45" s="1474">
        <f>+A44+0.01</f>
        <v>7.02</v>
      </c>
      <c r="B45" s="1213" t="str">
        <f t="shared" ref="B45" si="16">+B10</f>
        <v>165100: Prepaid Insurance</v>
      </c>
      <c r="C45" s="1209"/>
      <c r="D45" s="1222">
        <f t="shared" si="15"/>
        <v>9432714.5900000166</v>
      </c>
      <c r="E45" s="1209"/>
      <c r="F45" s="1222"/>
      <c r="G45" s="1221">
        <f>+D45</f>
        <v>9432714.5900000166</v>
      </c>
      <c r="H45" s="1209"/>
      <c r="O45" s="1220"/>
      <c r="P45" s="1220"/>
      <c r="Q45" s="1220"/>
      <c r="R45" s="1887"/>
      <c r="S45" s="1887"/>
      <c r="T45" s="1887"/>
      <c r="U45" s="1887"/>
    </row>
    <row r="46" spans="1:24">
      <c r="A46" s="1474">
        <f>+A45+0.01</f>
        <v>7.0299999999999994</v>
      </c>
      <c r="B46" s="1213" t="str">
        <f t="shared" ref="B46" si="17">+B11</f>
        <v>165222: Toledo Bend Power Account</v>
      </c>
      <c r="C46" s="1209"/>
      <c r="D46" s="1222">
        <f t="shared" si="15"/>
        <v>120660.93446153845</v>
      </c>
      <c r="E46" s="1222">
        <f>D46</f>
        <v>120660.93446153845</v>
      </c>
      <c r="F46" s="1222"/>
      <c r="G46" s="1476"/>
      <c r="H46" s="1477"/>
      <c r="O46" s="1220"/>
      <c r="P46" s="1220"/>
      <c r="Q46" s="1220"/>
      <c r="R46" s="1887"/>
      <c r="S46" s="1887"/>
      <c r="T46" s="1887"/>
      <c r="U46" s="1887"/>
    </row>
    <row r="47" spans="1:24">
      <c r="A47" s="1474">
        <f t="shared" ref="A47" si="18">+A46+0.01</f>
        <v>7.0399999999999991</v>
      </c>
      <c r="B47" s="1213" t="str">
        <f t="shared" ref="B47" si="19">+B12</f>
        <v>165400: Prepaid Ins Directors&amp;Officers</v>
      </c>
      <c r="C47" s="1209"/>
      <c r="D47" s="1222">
        <f t="shared" si="15"/>
        <v>78650.307692307368</v>
      </c>
      <c r="F47" s="1209"/>
      <c r="G47" s="1221"/>
      <c r="H47" s="1222">
        <f>+D47</f>
        <v>78650.307692307368</v>
      </c>
      <c r="O47" s="1220"/>
      <c r="P47" s="1220"/>
      <c r="Q47" s="1220"/>
      <c r="R47" s="1887"/>
      <c r="S47" s="1887"/>
      <c r="T47" s="1887"/>
      <c r="U47" s="1887"/>
    </row>
    <row r="48" spans="1:24" s="1521" customFormat="1">
      <c r="A48" s="1556">
        <f>+A47+0.01</f>
        <v>7.0499999999999989</v>
      </c>
      <c r="B48" s="1213" t="str">
        <f t="shared" ref="B48" si="20">+B13</f>
        <v>165408: Pp Taxes - Gas Safety Fee</v>
      </c>
      <c r="C48" s="1557"/>
      <c r="D48" s="1558">
        <f t="shared" si="15"/>
        <v>0</v>
      </c>
      <c r="E48" s="1559">
        <f>+D48</f>
        <v>0</v>
      </c>
      <c r="F48" s="1519"/>
      <c r="G48" s="1520"/>
      <c r="H48" s="1523"/>
      <c r="O48" s="1220"/>
      <c r="P48" s="1220"/>
      <c r="Q48" s="1220"/>
      <c r="R48" s="1887"/>
      <c r="S48" s="1887"/>
      <c r="T48" s="1887"/>
      <c r="U48" s="1887"/>
      <c r="V48" s="1885"/>
      <c r="W48" s="1885"/>
      <c r="X48" s="1885"/>
    </row>
    <row r="49" spans="1:24">
      <c r="A49" s="1474">
        <f>+A48+0.01</f>
        <v>7.0599999999999987</v>
      </c>
      <c r="B49" s="1213" t="str">
        <f t="shared" ref="B49" si="21">+B14</f>
        <v>165506: Prepaid Dues - INPO</v>
      </c>
      <c r="C49" s="1209"/>
      <c r="D49" s="1222">
        <f t="shared" si="15"/>
        <v>1197093.76</v>
      </c>
      <c r="E49" s="1222">
        <f t="shared" ref="E49:E50" si="22">+D49</f>
        <v>1197093.76</v>
      </c>
      <c r="F49" s="1209"/>
      <c r="G49" s="1221"/>
      <c r="H49" s="1209"/>
      <c r="O49" s="1220"/>
      <c r="P49" s="1220"/>
      <c r="Q49" s="1220"/>
      <c r="R49" s="1887"/>
      <c r="S49" s="1887"/>
      <c r="T49" s="1887"/>
      <c r="U49" s="1887"/>
    </row>
    <row r="50" spans="1:24">
      <c r="A50" s="1474">
        <f>+A49+0.01</f>
        <v>7.0699999999999985</v>
      </c>
      <c r="B50" s="1213" t="str">
        <f t="shared" ref="B50" si="23">+B15</f>
        <v>165507: Prepaid Dues - Nuc Energy Inst</v>
      </c>
      <c r="C50" s="1209"/>
      <c r="D50" s="1222">
        <f t="shared" si="15"/>
        <v>318271.14846153848</v>
      </c>
      <c r="E50" s="1222">
        <f t="shared" si="22"/>
        <v>318271.14846153848</v>
      </c>
      <c r="F50" s="840"/>
      <c r="G50" s="1221"/>
      <c r="H50" s="1209"/>
      <c r="O50" s="1220"/>
      <c r="P50" s="1220"/>
      <c r="Q50" s="1220"/>
      <c r="R50" s="1887"/>
      <c r="S50" s="1887"/>
      <c r="T50" s="1887"/>
      <c r="U50" s="1887"/>
    </row>
    <row r="51" spans="1:24" s="1521" customFormat="1">
      <c r="A51" s="1556">
        <f>+A50+0.01</f>
        <v>7.0799999999999983</v>
      </c>
      <c r="B51" s="1213" t="str">
        <f t="shared" ref="B51" si="24">+B16</f>
        <v>165508: Prepaid Fees - FEMA</v>
      </c>
      <c r="C51" s="1557"/>
      <c r="D51" s="1558">
        <f t="shared" si="15"/>
        <v>95940.101538461546</v>
      </c>
      <c r="E51" s="1558">
        <f t="shared" ref="E51" si="25">+D51</f>
        <v>95940.101538461546</v>
      </c>
      <c r="F51" s="1524"/>
      <c r="G51" s="1520"/>
      <c r="H51" s="1519"/>
      <c r="O51" s="1220"/>
      <c r="P51" s="1220"/>
      <c r="Q51" s="1220"/>
      <c r="R51" s="1887"/>
      <c r="S51" s="1887"/>
      <c r="T51" s="1887"/>
      <c r="U51" s="1887"/>
      <c r="V51" s="1885"/>
      <c r="W51" s="1885"/>
      <c r="X51" s="1885"/>
    </row>
    <row r="52" spans="1:24">
      <c r="A52" s="1474">
        <f>+A50+0.01</f>
        <v>7.0799999999999983</v>
      </c>
      <c r="B52" s="1213" t="str">
        <f t="shared" ref="B52" si="26">+B17</f>
        <v>165510: Prepaid Dues to EEI</v>
      </c>
      <c r="C52" s="1209"/>
      <c r="D52" s="1222">
        <f t="shared" si="15"/>
        <v>263784.60307692306</v>
      </c>
      <c r="E52" s="1209"/>
      <c r="F52" s="1222"/>
      <c r="G52" s="1476"/>
      <c r="H52" s="1477">
        <f>+D52</f>
        <v>263784.60307692306</v>
      </c>
      <c r="O52" s="1220"/>
      <c r="P52" s="1220"/>
      <c r="Q52" s="1220"/>
      <c r="R52" s="1887"/>
      <c r="S52" s="1887"/>
      <c r="T52" s="1887"/>
      <c r="U52" s="1887"/>
    </row>
    <row r="53" spans="1:24">
      <c r="A53" s="1474">
        <f t="shared" ref="A53:A70" si="27">+A52+0.01</f>
        <v>7.0899999999999981</v>
      </c>
      <c r="B53" s="1213" t="str">
        <f t="shared" ref="B53" si="28">+B18</f>
        <v>165520: Ad Valorem Taxes</v>
      </c>
      <c r="C53" s="1209"/>
      <c r="D53" s="1222">
        <f t="shared" si="15"/>
        <v>194771.10230769232</v>
      </c>
      <c r="E53" s="1209"/>
      <c r="F53" s="1222"/>
      <c r="G53" s="1221">
        <f>+D53</f>
        <v>194771.10230769232</v>
      </c>
      <c r="H53" s="1477"/>
      <c r="O53" s="1220"/>
      <c r="P53" s="1220"/>
      <c r="Q53" s="1220"/>
      <c r="R53" s="1887"/>
      <c r="S53" s="1887"/>
      <c r="T53" s="1887"/>
      <c r="U53" s="1887"/>
    </row>
    <row r="54" spans="1:24" s="1498" customFormat="1">
      <c r="A54" s="1495">
        <f t="shared" si="27"/>
        <v>7.0999999999999979</v>
      </c>
      <c r="B54" s="1213" t="str">
        <f t="shared" ref="B54" si="29">+B19</f>
        <v>165603: PPD IQNavigator, Inc</v>
      </c>
      <c r="C54" s="1496"/>
      <c r="D54" s="1497">
        <f t="shared" si="15"/>
        <v>7680.8076923076924</v>
      </c>
      <c r="E54" s="1496"/>
      <c r="F54" s="1497"/>
      <c r="G54" s="1476"/>
      <c r="H54" s="1497">
        <f>+D54</f>
        <v>7680.8076923076924</v>
      </c>
      <c r="O54" s="1220"/>
      <c r="P54" s="1220"/>
      <c r="Q54" s="1220"/>
      <c r="R54" s="1887"/>
      <c r="S54" s="1887"/>
      <c r="T54" s="1887"/>
      <c r="U54" s="1887"/>
      <c r="V54" s="1885"/>
      <c r="W54" s="1885"/>
      <c r="X54" s="1885"/>
    </row>
    <row r="55" spans="1:24">
      <c r="A55" s="1474">
        <f t="shared" si="27"/>
        <v>7.1099999999999977</v>
      </c>
      <c r="B55" s="1213" t="str">
        <f t="shared" ref="B55" si="30">+B20</f>
        <v>165730: Pp Tax-Lic-Occup</v>
      </c>
      <c r="C55" s="1209"/>
      <c r="D55" s="1222">
        <f t="shared" si="15"/>
        <v>203136.92307692306</v>
      </c>
      <c r="E55" s="1222">
        <f>D55</f>
        <v>203136.92307692306</v>
      </c>
      <c r="F55" s="1222"/>
      <c r="G55" s="1221"/>
      <c r="H55" s="1209"/>
      <c r="O55" s="1220"/>
      <c r="P55" s="1220"/>
      <c r="Q55" s="1220"/>
      <c r="R55" s="1887"/>
      <c r="S55" s="1887"/>
      <c r="T55" s="1887"/>
      <c r="U55" s="1887"/>
    </row>
    <row r="56" spans="1:24">
      <c r="A56" s="1474">
        <f t="shared" si="27"/>
        <v>7.1199999999999974</v>
      </c>
      <c r="B56" s="1213" t="str">
        <f t="shared" ref="B56" si="31">+B21</f>
        <v>165RNT: Prepaid Rent Expense</v>
      </c>
      <c r="C56" s="1209"/>
      <c r="D56" s="1222">
        <f t="shared" si="15"/>
        <v>139870.35076923078</v>
      </c>
      <c r="E56" s="1222">
        <f>+D56</f>
        <v>139870.35076923078</v>
      </c>
      <c r="F56" s="1209"/>
      <c r="G56" s="1221"/>
      <c r="H56" s="1209"/>
      <c r="O56" s="1220"/>
      <c r="P56" s="1220"/>
      <c r="Q56" s="1220"/>
      <c r="R56" s="1887"/>
      <c r="S56" s="1887"/>
      <c r="T56" s="1887"/>
      <c r="U56" s="1887"/>
    </row>
    <row r="57" spans="1:24">
      <c r="A57" s="1474">
        <f t="shared" si="27"/>
        <v>7.1299999999999972</v>
      </c>
      <c r="B57" s="1213" t="str">
        <f t="shared" ref="B57" si="32">+B22</f>
        <v>165SAI: PrePaid Designated Servic-SAIC</v>
      </c>
      <c r="C57" s="1209"/>
      <c r="D57" s="1222">
        <f t="shared" si="15"/>
        <v>-296.73923076922927</v>
      </c>
      <c r="E57" s="1222"/>
      <c r="F57" s="1209"/>
      <c r="G57" s="1221"/>
      <c r="H57" s="1222">
        <f>+D57</f>
        <v>-296.73923076922927</v>
      </c>
      <c r="O57" s="1220"/>
      <c r="P57" s="1220"/>
      <c r="Q57" s="1220"/>
      <c r="R57" s="1887"/>
      <c r="S57" s="1887"/>
      <c r="T57" s="1887"/>
      <c r="U57" s="1887"/>
    </row>
    <row r="58" spans="1:24" s="1521" customFormat="1">
      <c r="A58" s="1556">
        <f t="shared" si="27"/>
        <v>7.139999999999997</v>
      </c>
      <c r="B58" s="1213" t="str">
        <f t="shared" ref="B58" si="33">+B23</f>
        <v>165U39: Prepaid Life Insurance   Kidco</v>
      </c>
      <c r="C58" s="1557"/>
      <c r="D58" s="1558">
        <f t="shared" si="15"/>
        <v>86605.543846153872</v>
      </c>
      <c r="E58" s="1558"/>
      <c r="F58" s="1557"/>
      <c r="G58" s="77"/>
      <c r="H58" s="1558">
        <f>+D58</f>
        <v>86605.543846153872</v>
      </c>
      <c r="O58" s="1220"/>
      <c r="P58" s="1220"/>
      <c r="Q58" s="1220"/>
      <c r="R58" s="1887"/>
      <c r="S58" s="1887"/>
      <c r="T58" s="1887"/>
      <c r="U58" s="1887"/>
      <c r="V58" s="1885"/>
      <c r="W58" s="1885"/>
      <c r="X58" s="1885"/>
    </row>
    <row r="59" spans="1:24">
      <c r="A59" s="1474">
        <f t="shared" si="27"/>
        <v>7.1499999999999968</v>
      </c>
      <c r="B59" s="1213" t="str">
        <f t="shared" ref="B59" si="34">+B24</f>
        <v>165004: Pp Taxes-Regulatory Commis.</v>
      </c>
      <c r="C59" s="1209"/>
      <c r="D59" s="1222">
        <f t="shared" si="15"/>
        <v>28919.863076923084</v>
      </c>
      <c r="E59" s="1222">
        <f>+D59</f>
        <v>28919.863076923084</v>
      </c>
      <c r="F59" s="1209"/>
      <c r="G59" s="1221"/>
      <c r="H59" s="1209"/>
      <c r="O59" s="1220"/>
      <c r="P59" s="1220"/>
      <c r="Q59" s="1220"/>
      <c r="R59" s="1887"/>
      <c r="S59" s="1887"/>
      <c r="T59" s="1887"/>
      <c r="U59" s="1887"/>
    </row>
    <row r="60" spans="1:24">
      <c r="A60" s="1475">
        <f t="shared" si="27"/>
        <v>7.1599999999999966</v>
      </c>
      <c r="B60" s="1279" t="str">
        <f t="shared" ref="B60" si="35">+B25</f>
        <v>165201: Pp Tax-Hwy Use Tax</v>
      </c>
      <c r="C60" s="1280"/>
      <c r="D60" s="1278">
        <f t="shared" si="15"/>
        <v>0</v>
      </c>
      <c r="E60" s="1777"/>
      <c r="F60" s="1778"/>
      <c r="G60" s="204"/>
      <c r="H60" s="1777">
        <f>+D60</f>
        <v>0</v>
      </c>
      <c r="O60" s="1220"/>
      <c r="P60" s="1220"/>
      <c r="Q60" s="1220"/>
      <c r="R60" s="1887"/>
      <c r="S60" s="1887"/>
      <c r="T60" s="1887"/>
      <c r="U60" s="1887"/>
    </row>
    <row r="61" spans="1:24">
      <c r="A61" s="1475">
        <f t="shared" si="27"/>
        <v>7.1699999999999964</v>
      </c>
      <c r="B61" s="1279" t="str">
        <f t="shared" ref="B61" si="36">+B26</f>
        <v>165518: PPD GP Strategies Corp</v>
      </c>
      <c r="C61" s="1280"/>
      <c r="D61" s="1278">
        <f t="shared" si="15"/>
        <v>-1.8461538461538463E-2</v>
      </c>
      <c r="E61" s="1777">
        <f>+D61</f>
        <v>-1.8461538461538463E-2</v>
      </c>
      <c r="F61" s="1778"/>
      <c r="G61" s="204"/>
      <c r="H61" s="1777"/>
      <c r="O61" s="1220"/>
      <c r="P61" s="1220"/>
      <c r="Q61" s="1220"/>
      <c r="R61" s="1887"/>
      <c r="S61" s="1887"/>
      <c r="T61" s="1887"/>
      <c r="U61" s="1887"/>
    </row>
    <row r="62" spans="1:24">
      <c r="A62" s="1475">
        <f t="shared" si="27"/>
        <v>7.1799999999999962</v>
      </c>
      <c r="B62" s="1279" t="str">
        <f t="shared" ref="B62" si="37">+B27</f>
        <v>165576: Ppd Contract OSI Software Inc</v>
      </c>
      <c r="C62" s="1280"/>
      <c r="D62" s="1278">
        <f t="shared" si="15"/>
        <v>2448.313846153846</v>
      </c>
      <c r="E62" s="1777"/>
      <c r="F62" s="1778"/>
      <c r="G62" s="204"/>
      <c r="H62" s="1777">
        <f>+D62</f>
        <v>2448.313846153846</v>
      </c>
      <c r="O62" s="1220"/>
      <c r="P62" s="1220"/>
      <c r="Q62" s="1220"/>
      <c r="R62" s="1887"/>
      <c r="S62" s="1887"/>
      <c r="T62" s="1887"/>
      <c r="U62" s="1887"/>
    </row>
    <row r="63" spans="1:24">
      <c r="A63" s="1475">
        <f t="shared" si="27"/>
        <v>7.1899999999999959</v>
      </c>
      <c r="B63" s="1279" t="str">
        <f t="shared" ref="B63" si="38">+B28</f>
        <v>165588: Prepaid Contract- Net IQ</v>
      </c>
      <c r="C63" s="1280"/>
      <c r="D63" s="1278">
        <f t="shared" si="15"/>
        <v>0</v>
      </c>
      <c r="E63" s="1777">
        <f>+D63</f>
        <v>0</v>
      </c>
      <c r="F63" s="1778"/>
      <c r="G63" s="204"/>
      <c r="H63" s="1777"/>
      <c r="O63" s="1220"/>
      <c r="P63" s="1220"/>
      <c r="Q63" s="1220"/>
      <c r="R63" s="1887"/>
      <c r="S63" s="1887"/>
      <c r="T63" s="1887"/>
      <c r="U63" s="1887"/>
    </row>
    <row r="64" spans="1:24">
      <c r="A64" s="1475">
        <f t="shared" si="27"/>
        <v>7.1999999999999957</v>
      </c>
      <c r="B64" s="1279" t="str">
        <f t="shared" ref="B64" si="39">+B29</f>
        <v>165611: PPD all GE companies</v>
      </c>
      <c r="C64" s="1280"/>
      <c r="D64" s="1278">
        <f t="shared" si="15"/>
        <v>3469.6576923076927</v>
      </c>
      <c r="E64" s="1777">
        <f>+D64</f>
        <v>3469.6576923076927</v>
      </c>
      <c r="F64" s="1778"/>
      <c r="G64" s="204"/>
      <c r="H64" s="1777"/>
      <c r="O64" s="1220"/>
      <c r="P64" s="1220"/>
      <c r="Q64" s="1220"/>
      <c r="R64" s="1887"/>
      <c r="S64" s="1887"/>
      <c r="T64" s="1887"/>
      <c r="U64" s="1887"/>
    </row>
    <row r="65" spans="1:21">
      <c r="A65" s="1475">
        <f t="shared" si="27"/>
        <v>7.2099999999999955</v>
      </c>
      <c r="B65" s="1279" t="str">
        <f t="shared" ref="B65" si="40">+B30</f>
        <v>165612: PPD HCL America</v>
      </c>
      <c r="C65" s="1280"/>
      <c r="D65" s="1278">
        <f t="shared" si="15"/>
        <v>0</v>
      </c>
      <c r="E65" s="1777"/>
      <c r="F65" s="1778"/>
      <c r="G65" s="204"/>
      <c r="H65" s="1777">
        <f>+D65</f>
        <v>0</v>
      </c>
      <c r="O65" s="1220"/>
      <c r="P65" s="1220"/>
      <c r="Q65" s="1220"/>
      <c r="R65" s="1887"/>
      <c r="S65" s="1887"/>
      <c r="T65" s="1887"/>
      <c r="U65" s="1887"/>
    </row>
    <row r="66" spans="1:21">
      <c r="A66" s="1475">
        <f t="shared" si="27"/>
        <v>7.2199999999999953</v>
      </c>
      <c r="B66" s="1279" t="str">
        <f t="shared" ref="B66" si="41">+B31</f>
        <v>165622: PPD Environmental Systems Corp</v>
      </c>
      <c r="C66" s="1280"/>
      <c r="D66" s="1278">
        <f t="shared" si="15"/>
        <v>5171.7376923076918</v>
      </c>
      <c r="E66" s="1777">
        <f>+D66</f>
        <v>5171.7376923076918</v>
      </c>
      <c r="F66" s="1778"/>
      <c r="G66" s="204"/>
      <c r="H66" s="1777"/>
      <c r="O66" s="1220"/>
      <c r="P66" s="1220"/>
      <c r="Q66" s="1220"/>
      <c r="R66" s="1887"/>
      <c r="S66" s="1887"/>
      <c r="T66" s="1887"/>
      <c r="U66" s="1887"/>
    </row>
    <row r="67" spans="1:21">
      <c r="A67" s="1475">
        <f t="shared" si="27"/>
        <v>7.2299999999999951</v>
      </c>
      <c r="B67" s="1279" t="str">
        <f t="shared" ref="B67" si="42">+B32</f>
        <v>165623: PPD AR DEQ</v>
      </c>
      <c r="C67" s="1280"/>
      <c r="D67" s="1278">
        <f t="shared" si="15"/>
        <v>2949.0476923076922</v>
      </c>
      <c r="E67" s="1777">
        <f>+D67</f>
        <v>2949.0476923076922</v>
      </c>
      <c r="F67" s="1778"/>
      <c r="G67" s="204"/>
      <c r="H67" s="1777"/>
      <c r="O67" s="1220"/>
      <c r="P67" s="1220"/>
      <c r="Q67" s="1220"/>
      <c r="R67" s="1887"/>
      <c r="S67" s="1887"/>
      <c r="T67" s="1887"/>
      <c r="U67" s="1887"/>
    </row>
    <row r="68" spans="1:21">
      <c r="A68" s="1475">
        <f t="shared" si="27"/>
        <v>7.2399999999999949</v>
      </c>
      <c r="B68" s="1279" t="str">
        <f t="shared" ref="B68" si="43">+B33</f>
        <v>165628: PPD Acadian Gas Pipeline Systm</v>
      </c>
      <c r="C68" s="1280"/>
      <c r="D68" s="1278">
        <f t="shared" si="15"/>
        <v>1111769.2215384615</v>
      </c>
      <c r="E68" s="1777">
        <f>+D68</f>
        <v>1111769.2215384615</v>
      </c>
      <c r="F68" s="1778"/>
      <c r="G68" s="204"/>
      <c r="H68" s="1777"/>
      <c r="O68" s="1220"/>
      <c r="P68" s="1220"/>
      <c r="Q68" s="1220"/>
      <c r="R68" s="1887"/>
      <c r="S68" s="1887"/>
      <c r="T68" s="1887"/>
      <c r="U68" s="1887"/>
    </row>
    <row r="69" spans="1:21">
      <c r="A69" s="1475">
        <f t="shared" si="27"/>
        <v>7.2499999999999947</v>
      </c>
      <c r="B69" s="1279" t="str">
        <f t="shared" ref="B69" si="44">+B34</f>
        <v>165631: PPD Motorola Solutions</v>
      </c>
      <c r="C69" s="1280"/>
      <c r="D69" s="1278">
        <f t="shared" si="15"/>
        <v>28945.602307692308</v>
      </c>
      <c r="E69" s="1777"/>
      <c r="F69" s="1778"/>
      <c r="G69" s="204"/>
      <c r="H69" s="1777">
        <f>+D69</f>
        <v>28945.602307692308</v>
      </c>
      <c r="O69" s="1220"/>
      <c r="P69" s="1220"/>
      <c r="Q69" s="1220"/>
      <c r="R69" s="1887"/>
      <c r="S69" s="1887"/>
      <c r="T69" s="1887"/>
      <c r="U69" s="1887"/>
    </row>
    <row r="70" spans="1:21">
      <c r="A70" s="1475">
        <f t="shared" si="27"/>
        <v>7.2599999999999945</v>
      </c>
      <c r="B70" s="1279"/>
      <c r="C70" s="1280" t="str">
        <f t="shared" ref="C70:C71" si="45">+C35</f>
        <v>Additional  Items As Applicable</v>
      </c>
      <c r="D70" s="1278">
        <f>+Q35</f>
        <v>0</v>
      </c>
      <c r="E70" s="1278"/>
      <c r="F70" s="1280"/>
      <c r="G70" s="1281"/>
      <c r="H70" s="1280"/>
      <c r="O70" s="1220"/>
      <c r="P70" s="1220"/>
      <c r="Q70" s="1220"/>
      <c r="R70" s="1887"/>
      <c r="S70" s="1887"/>
      <c r="T70" s="1887"/>
      <c r="U70" s="1887"/>
    </row>
    <row r="71" spans="1:21">
      <c r="A71" s="1335" t="s">
        <v>926</v>
      </c>
      <c r="B71" s="1279"/>
      <c r="C71" s="1280" t="str">
        <f t="shared" si="45"/>
        <v>Additional  Items As Applicable</v>
      </c>
      <c r="D71" s="1278">
        <f>+Q36</f>
        <v>0</v>
      </c>
      <c r="E71" s="1278"/>
      <c r="F71" s="1280"/>
      <c r="G71" s="1281"/>
      <c r="H71" s="1280"/>
      <c r="O71" s="1220"/>
      <c r="P71" s="1220"/>
      <c r="Q71" s="1220"/>
      <c r="R71" s="1887"/>
      <c r="S71" s="1887"/>
      <c r="T71" s="1887"/>
      <c r="U71" s="1887"/>
    </row>
    <row r="72" spans="1:21">
      <c r="A72" s="1335" t="s">
        <v>930</v>
      </c>
      <c r="B72" s="1282"/>
      <c r="C72" s="1776" t="str">
        <f t="shared" ref="C72" si="46">+C37</f>
        <v>Additional  Items As Applicable</v>
      </c>
      <c r="D72" s="1283">
        <f>+Q37</f>
        <v>0</v>
      </c>
      <c r="E72" s="1284"/>
      <c r="F72" s="1285"/>
      <c r="G72" s="1286"/>
      <c r="H72" s="1283"/>
      <c r="O72" s="1220"/>
      <c r="P72" s="1220"/>
      <c r="Q72" s="1220"/>
      <c r="R72" s="1887"/>
      <c r="S72" s="1887"/>
      <c r="T72" s="1887"/>
      <c r="U72" s="1887"/>
    </row>
    <row r="73" spans="1:21">
      <c r="A73" s="1210">
        <f>+A43+1</f>
        <v>8</v>
      </c>
      <c r="B73" s="1213" t="str">
        <f>+B38</f>
        <v>Total</v>
      </c>
      <c r="C73" s="1209" t="str">
        <f>+"Sum Line "&amp;A43&amp;" Subparts"</f>
        <v>Sum Line 7 Subparts</v>
      </c>
      <c r="D73" s="1221">
        <f>SUM(D44:D72)</f>
        <v>13761727.332923098</v>
      </c>
      <c r="E73" s="1222">
        <f>SUM(E44:E72)</f>
        <v>3227252.7275384618</v>
      </c>
      <c r="F73" s="1222">
        <f>SUM(F44:F72)</f>
        <v>0</v>
      </c>
      <c r="G73" s="1222">
        <f>SUM(G44:G72)</f>
        <v>9627485.6923077088</v>
      </c>
      <c r="H73" s="1222">
        <f>SUM(H44:H72)</f>
        <v>906988.91307692265</v>
      </c>
      <c r="I73" s="1209"/>
      <c r="J73" s="1209"/>
      <c r="K73" s="1209"/>
      <c r="L73" s="1209"/>
      <c r="M73" s="1209"/>
      <c r="N73" s="1209"/>
      <c r="O73" s="1220"/>
      <c r="P73" s="1220"/>
      <c r="Q73" s="1220"/>
      <c r="R73" s="1887"/>
      <c r="S73" s="1887"/>
      <c r="T73" s="1887"/>
      <c r="U73" s="1887"/>
    </row>
    <row r="74" spans="1:21">
      <c r="A74" s="1210"/>
      <c r="B74" s="1209"/>
      <c r="C74" s="1209"/>
      <c r="D74" s="1209"/>
      <c r="E74" s="1209"/>
      <c r="F74" s="1209"/>
      <c r="G74" s="1209"/>
      <c r="H74" s="1209"/>
      <c r="I74" s="1209"/>
      <c r="J74" s="1209"/>
      <c r="K74" s="1209"/>
      <c r="L74" s="1209"/>
      <c r="M74" s="1209"/>
      <c r="N74" s="1209"/>
      <c r="O74" s="1220"/>
      <c r="P74" s="1220"/>
      <c r="Q74" s="1220"/>
      <c r="R74" s="1887"/>
      <c r="S74" s="1887"/>
      <c r="T74" s="1887"/>
      <c r="U74" s="1887"/>
    </row>
    <row r="75" spans="1:21">
      <c r="A75" s="1210" t="s">
        <v>298</v>
      </c>
      <c r="B75" s="1209"/>
      <c r="C75" s="1209"/>
      <c r="D75" s="1209"/>
      <c r="E75" s="1209"/>
      <c r="F75" s="1209"/>
      <c r="G75" s="1209"/>
      <c r="H75" s="1209"/>
      <c r="I75" s="1209"/>
      <c r="J75" s="1209"/>
      <c r="K75" s="1209"/>
      <c r="L75" s="1209"/>
      <c r="M75" s="1209"/>
      <c r="N75" s="1209"/>
      <c r="O75" s="1209"/>
      <c r="P75" s="1209"/>
      <c r="Q75" s="1209"/>
    </row>
    <row r="76" spans="1:21" ht="12.75" customHeight="1">
      <c r="A76" s="1218" t="s">
        <v>167</v>
      </c>
      <c r="B76" s="1965" t="s">
        <v>1124</v>
      </c>
      <c r="C76" s="1965"/>
      <c r="D76" s="1965"/>
      <c r="E76" s="1965"/>
      <c r="F76" s="1965"/>
      <c r="G76" s="1965"/>
      <c r="H76" s="1965"/>
      <c r="I76" s="1965"/>
      <c r="J76" s="1965"/>
      <c r="K76" s="1965"/>
      <c r="L76" s="1965"/>
      <c r="M76" s="1965"/>
      <c r="N76" s="1965"/>
      <c r="O76" s="1965"/>
      <c r="P76" s="1965"/>
      <c r="Q76" s="1965"/>
    </row>
    <row r="77" spans="1:21" ht="12.75" customHeight="1">
      <c r="A77" s="1218" t="s">
        <v>319</v>
      </c>
      <c r="B77" s="1965" t="s">
        <v>726</v>
      </c>
      <c r="C77" s="1965"/>
      <c r="D77" s="1965"/>
      <c r="E77" s="1965"/>
      <c r="F77" s="1965"/>
      <c r="G77" s="1965"/>
      <c r="H77" s="1965"/>
      <c r="I77" s="1965"/>
      <c r="J77" s="1965"/>
      <c r="K77" s="1965"/>
      <c r="L77" s="1965"/>
      <c r="M77" s="1965"/>
      <c r="N77" s="1965"/>
      <c r="O77" s="1965"/>
      <c r="P77" s="1965"/>
      <c r="Q77" s="1965"/>
      <c r="R77" s="1885"/>
    </row>
    <row r="78" spans="1:21">
      <c r="A78" s="1223" t="s">
        <v>320</v>
      </c>
      <c r="B78" s="1965" t="s">
        <v>732</v>
      </c>
      <c r="C78" s="1965"/>
      <c r="D78" s="1965"/>
      <c r="E78" s="1965"/>
      <c r="F78" s="1965"/>
      <c r="G78" s="1965"/>
      <c r="H78" s="1965"/>
      <c r="I78" s="1965"/>
      <c r="J78" s="1965"/>
      <c r="K78" s="1965"/>
      <c r="L78" s="1965"/>
      <c r="M78" s="1965"/>
      <c r="N78" s="1965"/>
      <c r="O78" s="1965"/>
      <c r="P78" s="1965"/>
      <c r="Q78" s="1965"/>
      <c r="R78" s="1885"/>
    </row>
    <row r="79" spans="1:21">
      <c r="A79" s="1223" t="s">
        <v>321</v>
      </c>
      <c r="B79" s="1965" t="s">
        <v>727</v>
      </c>
      <c r="C79" s="1965"/>
      <c r="D79" s="1965"/>
      <c r="E79" s="1965"/>
      <c r="F79" s="1965"/>
      <c r="G79" s="1965"/>
      <c r="H79" s="1965"/>
      <c r="I79" s="1965"/>
      <c r="J79" s="1965"/>
      <c r="K79" s="1965"/>
      <c r="L79" s="1965"/>
      <c r="M79" s="1965"/>
      <c r="N79" s="1965"/>
      <c r="O79" s="1965"/>
      <c r="P79" s="1965"/>
      <c r="Q79" s="1965"/>
      <c r="R79" s="1885"/>
    </row>
    <row r="80" spans="1:21" ht="13.2" customHeight="1">
      <c r="A80" s="1223" t="s">
        <v>322</v>
      </c>
      <c r="B80" s="2006" t="s">
        <v>729</v>
      </c>
      <c r="C80" s="2006"/>
      <c r="D80" s="2006"/>
      <c r="E80" s="2006"/>
      <c r="F80" s="2006"/>
      <c r="G80" s="2006"/>
      <c r="H80" s="2006"/>
      <c r="I80" s="2006"/>
      <c r="J80" s="2006"/>
      <c r="K80" s="2006"/>
      <c r="L80" s="2006"/>
      <c r="M80" s="2006"/>
      <c r="N80" s="2006"/>
      <c r="O80" s="2006"/>
      <c r="P80" s="2006"/>
      <c r="Q80" s="2006"/>
      <c r="R80" s="1885"/>
    </row>
    <row r="81" spans="1:18" ht="14.4" customHeight="1">
      <c r="A81" s="1223" t="s">
        <v>717</v>
      </c>
      <c r="B81" s="2002" t="s">
        <v>728</v>
      </c>
      <c r="C81" s="2002"/>
      <c r="D81" s="2002"/>
      <c r="E81" s="2002"/>
      <c r="F81" s="2002"/>
      <c r="G81" s="2002"/>
      <c r="H81" s="2002"/>
      <c r="I81" s="2002"/>
      <c r="J81" s="2002"/>
      <c r="K81" s="2002"/>
      <c r="L81" s="2002"/>
      <c r="M81" s="2002"/>
      <c r="N81" s="2002"/>
      <c r="O81" s="2002"/>
      <c r="P81" s="2002"/>
      <c r="Q81" s="2002"/>
      <c r="R81" s="1885"/>
    </row>
    <row r="82" spans="1:18">
      <c r="A82" s="1224"/>
      <c r="R82" s="1885"/>
    </row>
  </sheetData>
  <mergeCells count="11">
    <mergeCell ref="B81:Q81"/>
    <mergeCell ref="D41:D42"/>
    <mergeCell ref="A1:Q1"/>
    <mergeCell ref="A3:Q3"/>
    <mergeCell ref="Q6:Q7"/>
    <mergeCell ref="A2:Q2"/>
    <mergeCell ref="B76:Q76"/>
    <mergeCell ref="B77:Q77"/>
    <mergeCell ref="B78:Q78"/>
    <mergeCell ref="B79:Q79"/>
    <mergeCell ref="B80:Q80"/>
  </mergeCells>
  <printOptions horizontalCentered="1"/>
  <pageMargins left="0.5" right="0.5" top="0.5" bottom="0.5" header="0.3" footer="0.5"/>
  <pageSetup scale="60" fitToHeight="2" orientation="landscape" r:id="rId1"/>
  <headerFooter>
    <oddFooter>&amp;R&amp;12&amp;A</oddFooter>
  </headerFooter>
  <rowBreaks count="1" manualBreakCount="1">
    <brk id="40" max="16" man="1"/>
  </rowBreaks>
  <ignoredErrors>
    <ignoredError sqref="Q16:Q23 A52" formula="1"/>
    <ignoredError sqref="A76:A81 F41:G41"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18"/>
  <sheetViews>
    <sheetView workbookViewId="0">
      <pane xSplit="2" topLeftCell="C1" activePane="topRight" state="frozenSplit"/>
      <selection activeCell="A21" sqref="A21"/>
      <selection pane="topRight" activeCell="A21" sqref="A21"/>
    </sheetView>
  </sheetViews>
  <sheetFormatPr defaultColWidth="9.109375" defaultRowHeight="13.2"/>
  <cols>
    <col min="1" max="1" width="3" style="771" bestFit="1" customWidth="1"/>
    <col min="2" max="2" width="17.6640625" style="771" customWidth="1"/>
    <col min="3" max="15" width="10.33203125" style="771" bestFit="1" customWidth="1"/>
    <col min="16" max="16" width="10.44140625" style="765" bestFit="1" customWidth="1"/>
    <col min="17" max="16384" width="9.109375" style="771"/>
  </cols>
  <sheetData>
    <row r="1" spans="1:16">
      <c r="A1" s="2008" t="str">
        <f>+'MISO Cover'!C6</f>
        <v>Entergy Louisiana, LLC</v>
      </c>
      <c r="B1" s="2008"/>
      <c r="C1" s="2008"/>
      <c r="D1" s="2008"/>
      <c r="E1" s="2008"/>
      <c r="F1" s="2008"/>
      <c r="G1" s="2008"/>
      <c r="H1" s="2008"/>
      <c r="I1" s="2008"/>
      <c r="J1" s="2008"/>
      <c r="K1" s="2008"/>
      <c r="L1" s="2008"/>
      <c r="M1" s="2008"/>
      <c r="N1" s="2008"/>
      <c r="O1" s="2008"/>
      <c r="P1" s="2008"/>
    </row>
    <row r="2" spans="1:16">
      <c r="A2" s="2009" t="s">
        <v>900</v>
      </c>
      <c r="B2" s="2009"/>
      <c r="C2" s="2009"/>
      <c r="D2" s="2009"/>
      <c r="E2" s="2009"/>
      <c r="F2" s="2009"/>
      <c r="G2" s="2009"/>
      <c r="H2" s="2009"/>
      <c r="I2" s="2009"/>
      <c r="J2" s="2009"/>
      <c r="K2" s="2009"/>
      <c r="L2" s="2009"/>
      <c r="M2" s="2009"/>
      <c r="N2" s="2009"/>
      <c r="O2" s="2009"/>
      <c r="P2" s="2009"/>
    </row>
    <row r="3" spans="1:16">
      <c r="A3" s="2008" t="str">
        <f>+'MISO Cover'!K4</f>
        <v>For  the 12 Months Ended 12/31/2016</v>
      </c>
      <c r="B3" s="2008"/>
      <c r="C3" s="2008"/>
      <c r="D3" s="2008"/>
      <c r="E3" s="2008"/>
      <c r="F3" s="2008"/>
      <c r="G3" s="2008"/>
      <c r="H3" s="2008"/>
      <c r="I3" s="2008"/>
      <c r="J3" s="2008"/>
      <c r="K3" s="2008"/>
      <c r="L3" s="2008"/>
      <c r="M3" s="2008"/>
      <c r="N3" s="2008"/>
      <c r="O3" s="2008"/>
      <c r="P3" s="2008"/>
    </row>
    <row r="4" spans="1:16">
      <c r="B4" s="2007"/>
      <c r="C4" s="2007"/>
      <c r="D4" s="2007"/>
      <c r="E4" s="2007"/>
      <c r="F4" s="2007"/>
      <c r="G4" s="2007"/>
      <c r="H4" s="2007"/>
      <c r="I4" s="2007"/>
      <c r="J4" s="2007"/>
      <c r="K4" s="2007"/>
      <c r="L4" s="2007"/>
      <c r="M4" s="2007"/>
      <c r="N4" s="2007"/>
      <c r="O4" s="2007"/>
    </row>
    <row r="5" spans="1:16" s="772" customFormat="1">
      <c r="A5" s="772" t="s">
        <v>279</v>
      </c>
      <c r="B5" s="592" t="s">
        <v>67</v>
      </c>
      <c r="C5" s="592" t="s">
        <v>114</v>
      </c>
      <c r="D5" s="592" t="s">
        <v>55</v>
      </c>
      <c r="E5" s="592" t="s">
        <v>68</v>
      </c>
      <c r="F5" s="592" t="s">
        <v>66</v>
      </c>
      <c r="G5" s="592" t="s">
        <v>154</v>
      </c>
      <c r="H5" s="592" t="s">
        <v>69</v>
      </c>
      <c r="I5" s="592" t="s">
        <v>166</v>
      </c>
      <c r="J5" s="592" t="s">
        <v>59</v>
      </c>
      <c r="K5" s="592" t="s">
        <v>60</v>
      </c>
      <c r="L5" s="592" t="s">
        <v>71</v>
      </c>
      <c r="M5" s="592" t="s">
        <v>98</v>
      </c>
      <c r="N5" s="592" t="s">
        <v>99</v>
      </c>
      <c r="O5" s="592" t="s">
        <v>155</v>
      </c>
      <c r="P5" s="773" t="s">
        <v>221</v>
      </c>
    </row>
    <row r="6" spans="1:16">
      <c r="B6" s="171"/>
      <c r="C6" s="536"/>
      <c r="D6" s="536"/>
      <c r="E6" s="536"/>
      <c r="F6" s="536"/>
      <c r="G6" s="536"/>
      <c r="H6" s="536"/>
      <c r="I6" s="536"/>
      <c r="J6" s="774"/>
      <c r="K6" s="774"/>
      <c r="L6" s="774"/>
      <c r="M6" s="774"/>
      <c r="N6" s="774"/>
      <c r="O6" s="774"/>
      <c r="P6" s="765" t="s">
        <v>481</v>
      </c>
    </row>
    <row r="7" spans="1:16">
      <c r="A7" s="772">
        <v>1</v>
      </c>
      <c r="B7" s="171"/>
      <c r="C7" s="1463" t="s">
        <v>37</v>
      </c>
      <c r="D7" s="1463" t="s">
        <v>27</v>
      </c>
      <c r="E7" s="1463" t="s">
        <v>28</v>
      </c>
      <c r="F7" s="1463" t="s">
        <v>29</v>
      </c>
      <c r="G7" s="1463" t="s">
        <v>30</v>
      </c>
      <c r="H7" s="1463" t="s">
        <v>26</v>
      </c>
      <c r="I7" s="1463" t="s">
        <v>31</v>
      </c>
      <c r="J7" s="1463" t="s">
        <v>32</v>
      </c>
      <c r="K7" s="1463" t="s">
        <v>33</v>
      </c>
      <c r="L7" s="1463" t="s">
        <v>34</v>
      </c>
      <c r="M7" s="1463" t="s">
        <v>35</v>
      </c>
      <c r="N7" s="1463" t="s">
        <v>36</v>
      </c>
      <c r="O7" s="1463" t="s">
        <v>37</v>
      </c>
      <c r="P7" s="1465" t="s">
        <v>140</v>
      </c>
    </row>
    <row r="8" spans="1:16">
      <c r="A8" s="772">
        <f>+A7+1</f>
        <v>2</v>
      </c>
      <c r="B8" s="172" t="s">
        <v>185</v>
      </c>
      <c r="C8" s="1334">
        <v>0</v>
      </c>
      <c r="D8" s="1334">
        <v>0</v>
      </c>
      <c r="E8" s="1334">
        <v>0</v>
      </c>
      <c r="F8" s="1334">
        <v>0</v>
      </c>
      <c r="G8" s="1334">
        <v>0</v>
      </c>
      <c r="H8" s="1334">
        <v>0</v>
      </c>
      <c r="I8" s="1334">
        <v>0</v>
      </c>
      <c r="J8" s="1334">
        <v>0</v>
      </c>
      <c r="K8" s="1334">
        <v>0</v>
      </c>
      <c r="L8" s="1334">
        <v>0</v>
      </c>
      <c r="M8" s="1334">
        <v>0</v>
      </c>
      <c r="N8" s="1334">
        <v>0</v>
      </c>
      <c r="O8" s="1334">
        <v>0</v>
      </c>
      <c r="P8" s="765">
        <f>+SUM(C8:O8)/13</f>
        <v>0</v>
      </c>
    </row>
    <row r="9" spans="1:16">
      <c r="A9" s="772">
        <f t="shared" ref="A9:A15" si="0">+A8+1</f>
        <v>3</v>
      </c>
      <c r="B9" s="172" t="s">
        <v>186</v>
      </c>
      <c r="C9" s="1334">
        <v>0</v>
      </c>
      <c r="D9" s="1334">
        <v>0</v>
      </c>
      <c r="E9" s="1334">
        <v>0</v>
      </c>
      <c r="F9" s="1334">
        <v>0</v>
      </c>
      <c r="G9" s="1334">
        <v>0</v>
      </c>
      <c r="H9" s="1334">
        <v>0</v>
      </c>
      <c r="I9" s="1334">
        <v>0</v>
      </c>
      <c r="J9" s="1334">
        <v>0</v>
      </c>
      <c r="K9" s="1334">
        <v>0</v>
      </c>
      <c r="L9" s="1334">
        <v>0</v>
      </c>
      <c r="M9" s="1334">
        <v>0</v>
      </c>
      <c r="N9" s="1334">
        <v>0</v>
      </c>
      <c r="O9" s="1334">
        <v>0</v>
      </c>
      <c r="P9" s="765">
        <f t="shared" ref="P9:P14" si="1">+SUM(C9:O9)/13</f>
        <v>0</v>
      </c>
    </row>
    <row r="10" spans="1:16">
      <c r="A10" s="772">
        <f t="shared" si="0"/>
        <v>4</v>
      </c>
      <c r="B10" s="172" t="s">
        <v>187</v>
      </c>
      <c r="C10" s="1334">
        <v>0</v>
      </c>
      <c r="D10" s="1334">
        <v>0</v>
      </c>
      <c r="E10" s="1334">
        <v>0</v>
      </c>
      <c r="F10" s="1334">
        <v>0</v>
      </c>
      <c r="G10" s="1334">
        <v>0</v>
      </c>
      <c r="H10" s="1334">
        <v>0</v>
      </c>
      <c r="I10" s="1334">
        <v>0</v>
      </c>
      <c r="J10" s="1334">
        <v>0</v>
      </c>
      <c r="K10" s="1334">
        <v>0</v>
      </c>
      <c r="L10" s="1334">
        <v>0</v>
      </c>
      <c r="M10" s="1334">
        <v>0</v>
      </c>
      <c r="N10" s="1334">
        <v>0</v>
      </c>
      <c r="O10" s="1334">
        <v>0</v>
      </c>
      <c r="P10" s="765">
        <f t="shared" si="1"/>
        <v>0</v>
      </c>
    </row>
    <row r="11" spans="1:16">
      <c r="A11" s="772">
        <f t="shared" si="0"/>
        <v>5</v>
      </c>
      <c r="B11" s="171" t="s">
        <v>135</v>
      </c>
      <c r="C11" s="1334">
        <v>2404681.41</v>
      </c>
      <c r="D11" s="1334">
        <v>2404681.41</v>
      </c>
      <c r="E11" s="1334">
        <v>2404681.41</v>
      </c>
      <c r="F11" s="1334">
        <v>2404681.41</v>
      </c>
      <c r="G11" s="1334">
        <v>2404681.41</v>
      </c>
      <c r="H11" s="1334">
        <v>2404681.41</v>
      </c>
      <c r="I11" s="1334">
        <v>2404681.41</v>
      </c>
      <c r="J11" s="1334">
        <v>2404681.41</v>
      </c>
      <c r="K11" s="1334">
        <v>2404681.41</v>
      </c>
      <c r="L11" s="1334">
        <v>2404681.41</v>
      </c>
      <c r="M11" s="1334">
        <v>2404681.41</v>
      </c>
      <c r="N11" s="1334">
        <v>2404681.41</v>
      </c>
      <c r="O11" s="1334">
        <v>2404681.41</v>
      </c>
      <c r="P11" s="1406">
        <f t="shared" si="1"/>
        <v>2404681.41</v>
      </c>
    </row>
    <row r="12" spans="1:16">
      <c r="A12" s="772">
        <f t="shared" si="0"/>
        <v>6</v>
      </c>
      <c r="B12" s="171" t="s">
        <v>20</v>
      </c>
      <c r="C12" s="1334">
        <v>108040.54</v>
      </c>
      <c r="D12" s="1334">
        <v>108040.54</v>
      </c>
      <c r="E12" s="1334">
        <v>108040.54</v>
      </c>
      <c r="F12" s="1334">
        <v>108040.54</v>
      </c>
      <c r="G12" s="1334">
        <v>108040.54</v>
      </c>
      <c r="H12" s="1334">
        <v>108040.54</v>
      </c>
      <c r="I12" s="1334">
        <v>108040.54</v>
      </c>
      <c r="J12" s="1334">
        <v>108040.54</v>
      </c>
      <c r="K12" s="1334">
        <v>108040.54</v>
      </c>
      <c r="L12" s="1334">
        <v>108040.54</v>
      </c>
      <c r="M12" s="1334">
        <v>108040.54</v>
      </c>
      <c r="N12" s="1334">
        <v>108040.54</v>
      </c>
      <c r="O12" s="1334">
        <v>108040.54</v>
      </c>
      <c r="P12" s="765">
        <f t="shared" si="1"/>
        <v>108040.54000000002</v>
      </c>
    </row>
    <row r="13" spans="1:16">
      <c r="A13" s="772">
        <f t="shared" si="0"/>
        <v>7</v>
      </c>
      <c r="B13" s="171" t="s">
        <v>188</v>
      </c>
      <c r="C13" s="1334">
        <v>0</v>
      </c>
      <c r="D13" s="1334">
        <v>0</v>
      </c>
      <c r="E13" s="1334">
        <v>0</v>
      </c>
      <c r="F13" s="1334">
        <v>0</v>
      </c>
      <c r="G13" s="1334">
        <v>0</v>
      </c>
      <c r="H13" s="1334">
        <v>0</v>
      </c>
      <c r="I13" s="1334">
        <v>0</v>
      </c>
      <c r="J13" s="1334">
        <v>0</v>
      </c>
      <c r="K13" s="1334">
        <v>0</v>
      </c>
      <c r="L13" s="1334">
        <v>0</v>
      </c>
      <c r="M13" s="1334">
        <v>0</v>
      </c>
      <c r="N13" s="1334">
        <v>0</v>
      </c>
      <c r="O13" s="1334">
        <v>0</v>
      </c>
      <c r="P13" s="765">
        <f t="shared" si="1"/>
        <v>0</v>
      </c>
    </row>
    <row r="14" spans="1:16">
      <c r="A14" s="772">
        <f t="shared" si="0"/>
        <v>8</v>
      </c>
      <c r="B14" s="171" t="s">
        <v>189</v>
      </c>
      <c r="C14" s="1466">
        <v>0</v>
      </c>
      <c r="D14" s="1466">
        <v>0</v>
      </c>
      <c r="E14" s="1466">
        <v>0</v>
      </c>
      <c r="F14" s="1466">
        <v>0</v>
      </c>
      <c r="G14" s="1466">
        <v>0</v>
      </c>
      <c r="H14" s="1466">
        <v>0</v>
      </c>
      <c r="I14" s="1466">
        <v>0</v>
      </c>
      <c r="J14" s="1466">
        <v>0</v>
      </c>
      <c r="K14" s="1466">
        <v>0</v>
      </c>
      <c r="L14" s="1466">
        <v>0</v>
      </c>
      <c r="M14" s="1466">
        <v>0</v>
      </c>
      <c r="N14" s="1466">
        <v>0</v>
      </c>
      <c r="O14" s="1466">
        <v>0</v>
      </c>
      <c r="P14" s="1501">
        <f t="shared" si="1"/>
        <v>0</v>
      </c>
    </row>
    <row r="15" spans="1:16">
      <c r="A15" s="772">
        <f t="shared" si="0"/>
        <v>9</v>
      </c>
      <c r="B15" s="171" t="s">
        <v>459</v>
      </c>
      <c r="C15" s="537">
        <f>SUM(C8:C14)</f>
        <v>2512721.9500000002</v>
      </c>
      <c r="D15" s="537">
        <f t="shared" ref="D15:O15" si="2">SUM(D8:D14)</f>
        <v>2512721.9500000002</v>
      </c>
      <c r="E15" s="537">
        <f t="shared" si="2"/>
        <v>2512721.9500000002</v>
      </c>
      <c r="F15" s="537">
        <f t="shared" si="2"/>
        <v>2512721.9500000002</v>
      </c>
      <c r="G15" s="537">
        <f t="shared" si="2"/>
        <v>2512721.9500000002</v>
      </c>
      <c r="H15" s="537">
        <f t="shared" si="2"/>
        <v>2512721.9500000002</v>
      </c>
      <c r="I15" s="537">
        <f t="shared" si="2"/>
        <v>2512721.9500000002</v>
      </c>
      <c r="J15" s="537">
        <f t="shared" si="2"/>
        <v>2512721.9500000002</v>
      </c>
      <c r="K15" s="537">
        <f t="shared" si="2"/>
        <v>2512721.9500000002</v>
      </c>
      <c r="L15" s="537">
        <f t="shared" si="2"/>
        <v>2512721.9500000002</v>
      </c>
      <c r="M15" s="537">
        <f t="shared" si="2"/>
        <v>2512721.9500000002</v>
      </c>
      <c r="N15" s="537">
        <f t="shared" si="2"/>
        <v>2512721.9500000002</v>
      </c>
      <c r="O15" s="537">
        <f t="shared" si="2"/>
        <v>2512721.9500000002</v>
      </c>
      <c r="P15" s="765">
        <f>SUM(P8:P14)</f>
        <v>2512721.9500000002</v>
      </c>
    </row>
    <row r="16" spans="1:16">
      <c r="A16" s="772"/>
      <c r="B16" s="171"/>
      <c r="C16" s="910" t="s">
        <v>167</v>
      </c>
      <c r="D16" s="537"/>
      <c r="E16" s="537"/>
      <c r="F16" s="537"/>
      <c r="G16" s="537"/>
      <c r="H16" s="537"/>
      <c r="I16" s="537"/>
      <c r="J16" s="775"/>
      <c r="K16" s="775"/>
      <c r="L16" s="775"/>
      <c r="M16" s="775"/>
      <c r="N16" s="775"/>
      <c r="O16" s="910" t="s">
        <v>167</v>
      </c>
    </row>
    <row r="17" spans="1:9">
      <c r="A17" s="171" t="s">
        <v>190</v>
      </c>
      <c r="C17" s="171"/>
      <c r="D17" s="171"/>
      <c r="E17" s="171"/>
      <c r="F17" s="171"/>
      <c r="G17" s="171"/>
      <c r="H17" s="171"/>
      <c r="I17" s="171"/>
    </row>
    <row r="18" spans="1:9">
      <c r="A18" s="776" t="s">
        <v>167</v>
      </c>
      <c r="B18" s="172" t="s">
        <v>565</v>
      </c>
      <c r="C18" s="171"/>
      <c r="D18" s="171"/>
      <c r="E18" s="171"/>
      <c r="F18" s="171"/>
      <c r="G18" s="171"/>
      <c r="H18" s="171"/>
      <c r="I18" s="171"/>
    </row>
  </sheetData>
  <mergeCells count="4">
    <mergeCell ref="B4:O4"/>
    <mergeCell ref="A1:P1"/>
    <mergeCell ref="A3:P3"/>
    <mergeCell ref="A2:P2"/>
  </mergeCells>
  <phoneticPr fontId="106" type="noConversion"/>
  <printOptions horizontalCentered="1"/>
  <pageMargins left="0.5" right="0.5" top="0.5" bottom="0.5" header="0.3" footer="0.5"/>
  <pageSetup scale="78" orientation="landscape" r:id="rId1"/>
  <headerFooter>
    <oddFooter>&amp;R&amp;A</oddFooter>
  </headerFooter>
  <ignoredErrors>
    <ignoredError sqref="C15:O15" unlockedFormula="1"/>
    <ignoredError sqref="A18" numberStoredAsText="1"/>
    <ignoredError sqref="C16:O16" numberStoredAsText="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81"/>
  <sheetViews>
    <sheetView zoomScaleNormal="100" workbookViewId="0">
      <selection activeCell="A21" sqref="A21"/>
    </sheetView>
  </sheetViews>
  <sheetFormatPr defaultColWidth="8.88671875" defaultRowHeight="13.2"/>
  <cols>
    <col min="1" max="1" width="4.44140625" style="713" customWidth="1"/>
    <col min="2" max="2" width="54.33203125" style="168" customWidth="1"/>
    <col min="3" max="3" width="16" style="168" customWidth="1"/>
    <col min="4" max="4" width="15.33203125" style="168" customWidth="1"/>
    <col min="5" max="5" width="22.6640625" style="168" customWidth="1"/>
    <col min="6" max="16384" width="8.88671875" style="168"/>
  </cols>
  <sheetData>
    <row r="1" spans="1:5">
      <c r="A1" s="2000" t="str">
        <f>+'MISO Cover'!C6</f>
        <v>Entergy Louisiana, LLC</v>
      </c>
      <c r="B1" s="2000"/>
      <c r="C1" s="2000"/>
      <c r="D1" s="2000"/>
      <c r="E1" s="2000"/>
    </row>
    <row r="2" spans="1:5">
      <c r="A2" s="2001" t="s">
        <v>940</v>
      </c>
      <c r="B2" s="2001"/>
      <c r="C2" s="2001"/>
      <c r="D2" s="2001"/>
      <c r="E2" s="2001"/>
    </row>
    <row r="3" spans="1:5">
      <c r="A3" s="2000" t="str">
        <f>+'MISO Cover'!K4</f>
        <v>For  the 12 Months Ended 12/31/2016</v>
      </c>
      <c r="B3" s="2000"/>
      <c r="C3" s="2000"/>
      <c r="D3" s="2000"/>
      <c r="E3" s="2000"/>
    </row>
    <row r="4" spans="1:5">
      <c r="A4" s="809"/>
    </row>
    <row r="5" spans="1:5">
      <c r="A5" s="710"/>
      <c r="B5" s="823"/>
      <c r="E5" s="756" t="s">
        <v>669</v>
      </c>
    </row>
    <row r="6" spans="1:5">
      <c r="A6" s="711" t="s">
        <v>279</v>
      </c>
      <c r="B6" s="810" t="s">
        <v>67</v>
      </c>
      <c r="C6" s="811" t="s">
        <v>114</v>
      </c>
      <c r="D6" s="811" t="s">
        <v>55</v>
      </c>
      <c r="E6" s="811" t="s">
        <v>878</v>
      </c>
    </row>
    <row r="7" spans="1:5">
      <c r="A7" s="869">
        <v>1</v>
      </c>
      <c r="B7" s="1487" t="s">
        <v>171</v>
      </c>
      <c r="C7" s="1487" t="s">
        <v>875</v>
      </c>
      <c r="D7" s="1487" t="s">
        <v>830</v>
      </c>
      <c r="E7" s="1487" t="s">
        <v>484</v>
      </c>
    </row>
    <row r="8" spans="1:5" s="170" customFormat="1">
      <c r="A8" s="870">
        <f>+A7+0.01</f>
        <v>1.01</v>
      </c>
      <c r="B8" s="606" t="s">
        <v>172</v>
      </c>
      <c r="C8" s="947">
        <v>0</v>
      </c>
      <c r="D8" s="947">
        <v>0</v>
      </c>
      <c r="E8" s="1008">
        <f>+C8+D8</f>
        <v>0</v>
      </c>
    </row>
    <row r="9" spans="1:5" s="1234" customFormat="1">
      <c r="A9" s="870">
        <f t="shared" ref="A9:A26" si="0">+A8+0.01</f>
        <v>1.02</v>
      </c>
      <c r="B9" s="606" t="s">
        <v>914</v>
      </c>
      <c r="C9" s="947">
        <v>0</v>
      </c>
      <c r="D9" s="947">
        <v>0</v>
      </c>
      <c r="E9" s="1008">
        <f t="shared" ref="E9:E15" si="1">+C9+D9</f>
        <v>0</v>
      </c>
    </row>
    <row r="10" spans="1:5" s="1234" customFormat="1">
      <c r="A10" s="870">
        <f t="shared" si="0"/>
        <v>1.03</v>
      </c>
      <c r="B10" s="606" t="s">
        <v>903</v>
      </c>
      <c r="C10" s="947">
        <v>0</v>
      </c>
      <c r="D10" s="947">
        <v>0</v>
      </c>
      <c r="E10" s="1008">
        <f t="shared" si="1"/>
        <v>0</v>
      </c>
    </row>
    <row r="11" spans="1:5" s="1234" customFormat="1">
      <c r="A11" s="870">
        <f t="shared" si="0"/>
        <v>1.04</v>
      </c>
      <c r="B11" s="606" t="s">
        <v>905</v>
      </c>
      <c r="C11" s="947">
        <v>0</v>
      </c>
      <c r="D11" s="947">
        <v>0</v>
      </c>
      <c r="E11" s="1008">
        <f t="shared" si="1"/>
        <v>0</v>
      </c>
    </row>
    <row r="12" spans="1:5" s="1234" customFormat="1">
      <c r="A12" s="870">
        <f t="shared" si="0"/>
        <v>1.05</v>
      </c>
      <c r="B12" s="606" t="s">
        <v>904</v>
      </c>
      <c r="C12" s="947">
        <v>0</v>
      </c>
      <c r="D12" s="947">
        <v>0</v>
      </c>
      <c r="E12" s="1008">
        <f t="shared" si="1"/>
        <v>0</v>
      </c>
    </row>
    <row r="13" spans="1:5" s="1234" customFormat="1">
      <c r="A13" s="870">
        <f t="shared" si="0"/>
        <v>1.06</v>
      </c>
      <c r="B13" s="606" t="s">
        <v>915</v>
      </c>
      <c r="C13" s="947">
        <v>0</v>
      </c>
      <c r="D13" s="947">
        <v>0</v>
      </c>
      <c r="E13" s="1008">
        <f t="shared" si="1"/>
        <v>0</v>
      </c>
    </row>
    <row r="14" spans="1:5" s="169" customFormat="1">
      <c r="A14" s="870">
        <f t="shared" si="0"/>
        <v>1.07</v>
      </c>
      <c r="B14" s="606" t="s">
        <v>906</v>
      </c>
      <c r="C14" s="947">
        <v>0</v>
      </c>
      <c r="D14" s="947">
        <v>0</v>
      </c>
      <c r="E14" s="1008">
        <f t="shared" si="1"/>
        <v>0</v>
      </c>
    </row>
    <row r="15" spans="1:5" s="169" customFormat="1">
      <c r="A15" s="870">
        <f t="shared" si="0"/>
        <v>1.08</v>
      </c>
      <c r="B15" s="606" t="s">
        <v>907</v>
      </c>
      <c r="C15" s="947">
        <v>0</v>
      </c>
      <c r="D15" s="947">
        <v>0</v>
      </c>
      <c r="E15" s="1008">
        <f t="shared" si="1"/>
        <v>0</v>
      </c>
    </row>
    <row r="16" spans="1:5" s="169" customFormat="1">
      <c r="A16" s="870">
        <f t="shared" si="0"/>
        <v>1.0900000000000001</v>
      </c>
      <c r="B16" s="606" t="s">
        <v>909</v>
      </c>
      <c r="C16" s="947">
        <v>1037399.032590226</v>
      </c>
      <c r="D16" s="947">
        <v>333943.45211841189</v>
      </c>
      <c r="E16" s="1008">
        <f t="shared" ref="E16:E38" si="2">+C16+D16</f>
        <v>1371342.4847086379</v>
      </c>
    </row>
    <row r="17" spans="1:5" s="169" customFormat="1">
      <c r="A17" s="870">
        <f t="shared" si="0"/>
        <v>1.1000000000000001</v>
      </c>
      <c r="B17" s="606" t="s">
        <v>908</v>
      </c>
      <c r="C17" s="947">
        <v>0</v>
      </c>
      <c r="D17" s="947">
        <v>0</v>
      </c>
      <c r="E17" s="1008">
        <f t="shared" si="2"/>
        <v>0</v>
      </c>
    </row>
    <row r="18" spans="1:5" s="169" customFormat="1">
      <c r="A18" s="870">
        <f t="shared" si="0"/>
        <v>1.1100000000000001</v>
      </c>
      <c r="B18" s="606" t="s">
        <v>173</v>
      </c>
      <c r="C18" s="947">
        <v>0</v>
      </c>
      <c r="D18" s="947">
        <v>0</v>
      </c>
      <c r="E18" s="1008">
        <f t="shared" si="2"/>
        <v>0</v>
      </c>
    </row>
    <row r="19" spans="1:5" s="169" customFormat="1">
      <c r="A19" s="870">
        <f t="shared" si="0"/>
        <v>1.1200000000000001</v>
      </c>
      <c r="B19" s="606" t="s">
        <v>910</v>
      </c>
      <c r="C19" s="947">
        <v>0</v>
      </c>
      <c r="D19" s="947">
        <v>0</v>
      </c>
      <c r="E19" s="1008">
        <f t="shared" si="2"/>
        <v>0</v>
      </c>
    </row>
    <row r="20" spans="1:5" s="169" customFormat="1">
      <c r="A20" s="870">
        <f t="shared" si="0"/>
        <v>1.1300000000000001</v>
      </c>
      <c r="B20" s="606" t="s">
        <v>911</v>
      </c>
      <c r="C20" s="947">
        <v>0</v>
      </c>
      <c r="D20" s="947">
        <v>0</v>
      </c>
      <c r="E20" s="1008">
        <f t="shared" si="2"/>
        <v>0</v>
      </c>
    </row>
    <row r="21" spans="1:5" s="169" customFormat="1">
      <c r="A21" s="870">
        <f t="shared" si="0"/>
        <v>1.1400000000000001</v>
      </c>
      <c r="B21" s="606" t="s">
        <v>920</v>
      </c>
      <c r="C21" s="947">
        <v>0</v>
      </c>
      <c r="D21" s="947">
        <v>0</v>
      </c>
      <c r="E21" s="1008">
        <f t="shared" si="2"/>
        <v>0</v>
      </c>
    </row>
    <row r="22" spans="1:5" s="169" customFormat="1">
      <c r="A22" s="870">
        <f t="shared" si="0"/>
        <v>1.1500000000000001</v>
      </c>
      <c r="B22" s="606" t="s">
        <v>174</v>
      </c>
      <c r="C22" s="947">
        <v>0</v>
      </c>
      <c r="D22" s="947">
        <v>0</v>
      </c>
      <c r="E22" s="1008">
        <f t="shared" si="2"/>
        <v>0</v>
      </c>
    </row>
    <row r="23" spans="1:5" s="169" customFormat="1">
      <c r="A23" s="870">
        <f t="shared" si="0"/>
        <v>1.1600000000000001</v>
      </c>
      <c r="B23" s="606" t="s">
        <v>918</v>
      </c>
      <c r="C23" s="947">
        <v>0</v>
      </c>
      <c r="D23" s="947">
        <v>0</v>
      </c>
      <c r="E23" s="1008">
        <f t="shared" ref="E23" si="3">+C23+D23</f>
        <v>0</v>
      </c>
    </row>
    <row r="24" spans="1:5" s="169" customFormat="1">
      <c r="A24" s="870">
        <f t="shared" si="0"/>
        <v>1.1700000000000002</v>
      </c>
      <c r="B24" s="606" t="s">
        <v>919</v>
      </c>
      <c r="C24" s="947">
        <v>0</v>
      </c>
      <c r="D24" s="947">
        <v>0</v>
      </c>
      <c r="E24" s="1008">
        <f t="shared" si="2"/>
        <v>0</v>
      </c>
    </row>
    <row r="25" spans="1:5" s="169" customFormat="1">
      <c r="A25" s="870">
        <f t="shared" si="0"/>
        <v>1.1800000000000002</v>
      </c>
      <c r="B25" s="606" t="s">
        <v>916</v>
      </c>
      <c r="C25" s="947">
        <v>0</v>
      </c>
      <c r="D25" s="947">
        <v>0</v>
      </c>
      <c r="E25" s="1008">
        <f t="shared" si="2"/>
        <v>0</v>
      </c>
    </row>
    <row r="26" spans="1:5" s="169" customFormat="1">
      <c r="A26" s="870">
        <f t="shared" si="0"/>
        <v>1.1900000000000002</v>
      </c>
      <c r="B26" s="606" t="s">
        <v>177</v>
      </c>
      <c r="C26" s="947">
        <v>0</v>
      </c>
      <c r="D26" s="947">
        <v>0</v>
      </c>
      <c r="E26" s="1008">
        <f t="shared" si="2"/>
        <v>0</v>
      </c>
    </row>
    <row r="27" spans="1:5" s="169" customFormat="1">
      <c r="A27" s="870">
        <f t="shared" ref="A27:A36" si="4">+A26+0.01</f>
        <v>1.2000000000000002</v>
      </c>
      <c r="B27" s="606" t="s">
        <v>178</v>
      </c>
      <c r="C27" s="947">
        <v>0</v>
      </c>
      <c r="D27" s="947">
        <v>0</v>
      </c>
      <c r="E27" s="1008">
        <f t="shared" si="2"/>
        <v>0</v>
      </c>
    </row>
    <row r="28" spans="1:5" s="169" customFormat="1">
      <c r="A28" s="870">
        <f t="shared" si="4"/>
        <v>1.2100000000000002</v>
      </c>
      <c r="B28" s="606" t="s">
        <v>179</v>
      </c>
      <c r="C28" s="947">
        <v>0</v>
      </c>
      <c r="D28" s="947">
        <v>0</v>
      </c>
      <c r="E28" s="1008">
        <f t="shared" si="2"/>
        <v>0</v>
      </c>
    </row>
    <row r="29" spans="1:5" s="169" customFormat="1">
      <c r="A29" s="870">
        <f t="shared" si="4"/>
        <v>1.2200000000000002</v>
      </c>
      <c r="B29" s="606" t="s">
        <v>180</v>
      </c>
      <c r="C29" s="947">
        <v>0</v>
      </c>
      <c r="D29" s="947">
        <v>0</v>
      </c>
      <c r="E29" s="1008">
        <f t="shared" si="2"/>
        <v>0</v>
      </c>
    </row>
    <row r="30" spans="1:5" s="169" customFormat="1">
      <c r="A30" s="870">
        <f t="shared" si="4"/>
        <v>1.2300000000000002</v>
      </c>
      <c r="B30" s="606" t="s">
        <v>181</v>
      </c>
      <c r="C30" s="947">
        <v>0</v>
      </c>
      <c r="D30" s="947">
        <v>0</v>
      </c>
      <c r="E30" s="1008">
        <f t="shared" si="2"/>
        <v>0</v>
      </c>
    </row>
    <row r="31" spans="1:5" s="169" customFormat="1">
      <c r="A31" s="870">
        <f t="shared" si="4"/>
        <v>1.2400000000000002</v>
      </c>
      <c r="B31" s="606" t="s">
        <v>182</v>
      </c>
      <c r="C31" s="947">
        <v>0</v>
      </c>
      <c r="D31" s="947">
        <v>0</v>
      </c>
      <c r="E31" s="1008">
        <f t="shared" si="2"/>
        <v>0</v>
      </c>
    </row>
    <row r="32" spans="1:5" s="169" customFormat="1">
      <c r="A32" s="870">
        <f t="shared" si="4"/>
        <v>1.2500000000000002</v>
      </c>
      <c r="B32" s="606" t="s">
        <v>293</v>
      </c>
      <c r="C32" s="947">
        <v>0</v>
      </c>
      <c r="D32" s="947">
        <v>0</v>
      </c>
      <c r="E32" s="1008">
        <f t="shared" si="2"/>
        <v>0</v>
      </c>
    </row>
    <row r="33" spans="1:5" s="169" customFormat="1">
      <c r="A33" s="870">
        <f t="shared" si="4"/>
        <v>1.2600000000000002</v>
      </c>
      <c r="B33" s="606" t="s">
        <v>183</v>
      </c>
      <c r="C33" s="947">
        <v>0</v>
      </c>
      <c r="D33" s="947">
        <v>0</v>
      </c>
      <c r="E33" s="1008">
        <f t="shared" si="2"/>
        <v>0</v>
      </c>
    </row>
    <row r="34" spans="1:5" s="169" customFormat="1">
      <c r="A34" s="870">
        <f t="shared" si="4"/>
        <v>1.2700000000000002</v>
      </c>
      <c r="B34" s="606" t="s">
        <v>294</v>
      </c>
      <c r="C34" s="947">
        <v>0</v>
      </c>
      <c r="D34" s="947">
        <v>0</v>
      </c>
      <c r="E34" s="1008">
        <f t="shared" si="2"/>
        <v>0</v>
      </c>
    </row>
    <row r="35" spans="1:5" s="169" customFormat="1">
      <c r="A35" s="870">
        <f t="shared" si="4"/>
        <v>1.2800000000000002</v>
      </c>
      <c r="B35" s="606" t="s">
        <v>184</v>
      </c>
      <c r="C35" s="947">
        <v>0</v>
      </c>
      <c r="D35" s="947">
        <v>0</v>
      </c>
      <c r="E35" s="1008">
        <f t="shared" si="2"/>
        <v>0</v>
      </c>
    </row>
    <row r="36" spans="1:5" s="169" customFormat="1">
      <c r="A36" s="1287">
        <f t="shared" si="4"/>
        <v>1.2900000000000003</v>
      </c>
      <c r="B36" s="1288" t="s">
        <v>936</v>
      </c>
      <c r="C36" s="947"/>
      <c r="D36" s="947"/>
      <c r="E36" s="1008"/>
    </row>
    <row r="37" spans="1:5" s="169" customFormat="1">
      <c r="A37" s="1287" t="s">
        <v>927</v>
      </c>
      <c r="B37" s="1288" t="s">
        <v>936</v>
      </c>
      <c r="C37" s="947"/>
      <c r="D37" s="947"/>
      <c r="E37" s="1008"/>
    </row>
    <row r="38" spans="1:5" s="169" customFormat="1">
      <c r="A38" s="1287" t="s">
        <v>931</v>
      </c>
      <c r="B38" s="1289" t="s">
        <v>936</v>
      </c>
      <c r="C38" s="947"/>
      <c r="D38" s="947"/>
      <c r="E38" s="1008">
        <f t="shared" si="2"/>
        <v>0</v>
      </c>
    </row>
    <row r="39" spans="1:5" s="169" customFormat="1" ht="13.8" thickBot="1">
      <c r="A39" s="869">
        <f>+A7+1</f>
        <v>2</v>
      </c>
      <c r="B39" s="636" t="str">
        <f>+"Total Line "&amp;A7&amp;" Subparts"</f>
        <v>Total Line 1 Subparts</v>
      </c>
      <c r="C39" s="1007">
        <f>SUM(C8:C38)</f>
        <v>1037399.032590226</v>
      </c>
      <c r="D39" s="1007">
        <f>SUM(D8:D38)</f>
        <v>333943.45211841189</v>
      </c>
      <c r="E39" s="1007">
        <f>SUM(E8:E38)</f>
        <v>1371342.4847086379</v>
      </c>
    </row>
    <row r="40" spans="1:5" s="169" customFormat="1" ht="13.8" thickTop="1">
      <c r="A40" s="869">
        <f>+A39+1</f>
        <v>3</v>
      </c>
      <c r="B40" s="606"/>
      <c r="C40" s="945"/>
      <c r="D40" s="945"/>
      <c r="E40" s="945"/>
    </row>
    <row r="41" spans="1:5" s="603" customFormat="1">
      <c r="A41" s="896">
        <f t="shared" ref="A41:A46" si="5">A40+1</f>
        <v>4</v>
      </c>
      <c r="B41" s="812" t="s">
        <v>570</v>
      </c>
      <c r="C41" s="827"/>
      <c r="D41" s="827"/>
      <c r="E41" s="827"/>
    </row>
    <row r="42" spans="1:5" s="603" customFormat="1">
      <c r="A42" s="896">
        <f t="shared" si="5"/>
        <v>5</v>
      </c>
      <c r="B42" s="814" t="s">
        <v>668</v>
      </c>
      <c r="C42" s="827"/>
      <c r="D42" s="827"/>
      <c r="E42" s="827"/>
    </row>
    <row r="43" spans="1:5" s="603" customFormat="1">
      <c r="A43" s="896">
        <f t="shared" si="5"/>
        <v>6</v>
      </c>
      <c r="B43" s="1004" t="s">
        <v>513</v>
      </c>
      <c r="C43" s="1005">
        <f>+C14</f>
        <v>0</v>
      </c>
      <c r="D43" s="1005">
        <f>+D14</f>
        <v>0</v>
      </c>
      <c r="E43" s="1005">
        <f>+E14</f>
        <v>0</v>
      </c>
    </row>
    <row r="44" spans="1:5" s="603" customFormat="1">
      <c r="A44" s="896">
        <f t="shared" si="5"/>
        <v>7</v>
      </c>
      <c r="B44" s="1006" t="str">
        <f>+"Total Account 561 Lines "&amp;A42&amp;" + "&amp;A43</f>
        <v>Total Account 561 Lines 5 + 6</v>
      </c>
      <c r="C44" s="827">
        <f>+C42+C43</f>
        <v>0</v>
      </c>
      <c r="D44" s="827">
        <f>+D42+D43</f>
        <v>0</v>
      </c>
      <c r="E44" s="827">
        <f>+E42+E43</f>
        <v>0</v>
      </c>
    </row>
    <row r="45" spans="1:5" s="603" customFormat="1">
      <c r="A45" s="896">
        <f t="shared" si="5"/>
        <v>8</v>
      </c>
      <c r="B45" s="1129" t="s">
        <v>840</v>
      </c>
      <c r="C45" s="1005">
        <f>+SUM(C8:C24)-C14</f>
        <v>1037399.032590226</v>
      </c>
      <c r="D45" s="1005">
        <f>+SUM(D8:D24)-D14</f>
        <v>333943.45211841189</v>
      </c>
      <c r="E45" s="1005">
        <f>+SUM(E8:E24)-E14</f>
        <v>1371342.4847086379</v>
      </c>
    </row>
    <row r="46" spans="1:5" s="603" customFormat="1">
      <c r="A46" s="896">
        <f t="shared" si="5"/>
        <v>9</v>
      </c>
      <c r="B46" s="812" t="str">
        <f>+"Total Transmission O&amp;M  ( Line "&amp;A44&amp;" + Line "&amp;A45&amp;")"</f>
        <v>Total Transmission O&amp;M  ( Line 7 + Line 8)</v>
      </c>
      <c r="C46" s="827">
        <f>+C44+C45</f>
        <v>1037399.032590226</v>
      </c>
      <c r="D46" s="827">
        <f>+D44+D45</f>
        <v>333943.45211841189</v>
      </c>
      <c r="E46" s="827">
        <f>+E44+E45</f>
        <v>1371342.4847086379</v>
      </c>
    </row>
    <row r="47" spans="1:5" s="169" customFormat="1">
      <c r="A47" s="896">
        <f>+A46+1</f>
        <v>10</v>
      </c>
      <c r="B47" s="606"/>
      <c r="C47" s="945"/>
      <c r="D47" s="945"/>
      <c r="E47" s="945"/>
    </row>
    <row r="48" spans="1:5" s="169" customFormat="1">
      <c r="A48" s="896">
        <f>+A47+1</f>
        <v>11</v>
      </c>
      <c r="B48" s="812" t="s">
        <v>51</v>
      </c>
      <c r="C48" s="827"/>
      <c r="D48" s="827"/>
      <c r="E48" s="827"/>
    </row>
    <row r="49" spans="1:5" s="169" customFormat="1">
      <c r="A49" s="896">
        <f>+A48+1</f>
        <v>12</v>
      </c>
      <c r="B49" s="814" t="s">
        <v>691</v>
      </c>
      <c r="C49" s="827"/>
      <c r="D49" s="827"/>
      <c r="E49" s="827"/>
    </row>
    <row r="50" spans="1:5" s="169" customFormat="1">
      <c r="A50" s="896">
        <f>+A49+1</f>
        <v>13</v>
      </c>
      <c r="B50" s="1251" t="s">
        <v>917</v>
      </c>
      <c r="C50" s="829"/>
      <c r="D50" s="829"/>
      <c r="E50" s="829"/>
    </row>
    <row r="51" spans="1:5" s="169" customFormat="1">
      <c r="A51" s="869">
        <f t="shared" ref="A51:A65" si="6">+A50+1</f>
        <v>14</v>
      </c>
      <c r="B51" s="814" t="s">
        <v>689</v>
      </c>
      <c r="C51" s="829"/>
      <c r="D51" s="829"/>
      <c r="E51" s="829"/>
    </row>
    <row r="52" spans="1:5" s="169" customFormat="1">
      <c r="A52" s="869">
        <f t="shared" si="6"/>
        <v>15</v>
      </c>
      <c r="B52" s="814" t="s">
        <v>683</v>
      </c>
      <c r="C52" s="827"/>
      <c r="D52" s="827"/>
      <c r="E52" s="827"/>
    </row>
    <row r="53" spans="1:5" s="169" customFormat="1">
      <c r="A53" s="869">
        <f t="shared" si="6"/>
        <v>16</v>
      </c>
      <c r="B53" s="814" t="s">
        <v>682</v>
      </c>
      <c r="C53" s="827">
        <f>+SUM(C8:C24)</f>
        <v>1037399.032590226</v>
      </c>
      <c r="D53" s="827">
        <f>+SUM(D8:D24)</f>
        <v>333943.45211841189</v>
      </c>
      <c r="E53" s="827">
        <f>+SUM(E8:E24)</f>
        <v>1371342.4847086379</v>
      </c>
    </row>
    <row r="54" spans="1:5" s="169" customFormat="1">
      <c r="A54" s="869">
        <f t="shared" si="6"/>
        <v>17</v>
      </c>
      <c r="B54" s="814" t="s">
        <v>684</v>
      </c>
      <c r="C54" s="827"/>
      <c r="D54" s="827"/>
      <c r="E54" s="827"/>
    </row>
    <row r="55" spans="1:5" s="169" customFormat="1">
      <c r="A55" s="869">
        <f t="shared" si="6"/>
        <v>18</v>
      </c>
      <c r="B55" s="814" t="s">
        <v>685</v>
      </c>
      <c r="C55" s="827"/>
      <c r="D55" s="827"/>
      <c r="E55" s="827"/>
    </row>
    <row r="56" spans="1:5" s="169" customFormat="1">
      <c r="A56" s="869">
        <f t="shared" si="6"/>
        <v>19</v>
      </c>
      <c r="B56" s="814" t="s">
        <v>686</v>
      </c>
      <c r="C56" s="827"/>
      <c r="D56" s="827"/>
      <c r="E56" s="827"/>
    </row>
    <row r="57" spans="1:5" s="169" customFormat="1">
      <c r="A57" s="869">
        <f t="shared" si="6"/>
        <v>20</v>
      </c>
      <c r="B57" s="814" t="s">
        <v>687</v>
      </c>
      <c r="C57" s="827"/>
      <c r="D57" s="827"/>
      <c r="E57" s="827"/>
    </row>
    <row r="58" spans="1:5" s="169" customFormat="1">
      <c r="A58" s="869">
        <f t="shared" si="6"/>
        <v>21</v>
      </c>
      <c r="B58" s="814" t="s">
        <v>688</v>
      </c>
      <c r="C58" s="946">
        <f>+SUM(C25:C38)</f>
        <v>0</v>
      </c>
      <c r="D58" s="946">
        <f>+SUM(D25:D38)</f>
        <v>0</v>
      </c>
      <c r="E58" s="946">
        <f>+SUM(E25:E38)</f>
        <v>0</v>
      </c>
    </row>
    <row r="59" spans="1:5" s="169" customFormat="1" ht="13.8" thickBot="1">
      <c r="A59" s="869">
        <f t="shared" si="6"/>
        <v>22</v>
      </c>
      <c r="B59" s="812" t="str">
        <f>+"Total Lines ("&amp;A49&amp;" to "&amp;A58&amp;")"</f>
        <v>Total Lines (12 to 21)</v>
      </c>
      <c r="C59" s="828">
        <f>SUM(C49:C58)</f>
        <v>1037399.032590226</v>
      </c>
      <c r="D59" s="828">
        <f>SUM(D49:D58)</f>
        <v>333943.45211841189</v>
      </c>
      <c r="E59" s="828">
        <f>SUM(E49:E58)</f>
        <v>1371342.4847086379</v>
      </c>
    </row>
    <row r="60" spans="1:5" s="169" customFormat="1" ht="13.8" thickTop="1">
      <c r="A60" s="869">
        <f t="shared" si="6"/>
        <v>23</v>
      </c>
      <c r="B60" s="812"/>
      <c r="C60" s="827"/>
      <c r="D60" s="827"/>
      <c r="E60" s="827"/>
    </row>
    <row r="61" spans="1:5" s="1023" customFormat="1">
      <c r="A61" s="934">
        <f t="shared" si="6"/>
        <v>24</v>
      </c>
      <c r="B61" s="1026" t="str">
        <f>+"Payroll O&amp;M Excl A&amp;G  Sum (Ln "&amp;A49&amp;" To Ln "&amp;A57&amp;")"</f>
        <v>Payroll O&amp;M Excl A&amp;G  Sum (Ln 12 To Ln 20)</v>
      </c>
      <c r="C61" s="1028"/>
      <c r="D61" s="1028">
        <f>+SUM(D49:D57)</f>
        <v>333943.45211841189</v>
      </c>
      <c r="E61" s="1028"/>
    </row>
    <row r="62" spans="1:5" s="169" customFormat="1">
      <c r="A62" s="869">
        <f t="shared" si="6"/>
        <v>25</v>
      </c>
      <c r="B62" s="812"/>
      <c r="C62" s="827"/>
      <c r="D62" s="827"/>
      <c r="E62" s="827"/>
    </row>
    <row r="63" spans="1:5" s="169" customFormat="1">
      <c r="A63" s="869">
        <f t="shared" si="6"/>
        <v>26</v>
      </c>
      <c r="B63" s="812" t="s">
        <v>745</v>
      </c>
      <c r="C63" s="276"/>
      <c r="D63" s="276"/>
      <c r="E63" s="947">
        <v>21037856.010000009</v>
      </c>
    </row>
    <row r="64" spans="1:5" s="169" customFormat="1">
      <c r="A64" s="869">
        <f t="shared" si="6"/>
        <v>27</v>
      </c>
      <c r="B64" s="812" t="s">
        <v>746</v>
      </c>
      <c r="C64" s="276"/>
      <c r="D64" s="276"/>
      <c r="E64" s="948">
        <v>5619997</v>
      </c>
    </row>
    <row r="65" spans="1:5" s="169" customFormat="1">
      <c r="A65" s="869">
        <f t="shared" si="6"/>
        <v>28</v>
      </c>
      <c r="B65" s="812" t="str">
        <f>+"Account 924 without Storm Damage Accrual  (Ln "&amp;A63&amp;" Less Ln "&amp;A64&amp;")"</f>
        <v>Account 924 without Storm Damage Accrual  (Ln 26 Less Ln 27)</v>
      </c>
      <c r="C65" s="276"/>
      <c r="D65" s="276"/>
      <c r="E65" s="1008">
        <f>+E63-E64</f>
        <v>15417859.010000009</v>
      </c>
    </row>
    <row r="66" spans="1:5" s="169" customFormat="1">
      <c r="A66" s="932"/>
      <c r="B66" s="606"/>
      <c r="C66" s="276"/>
      <c r="D66" s="276"/>
      <c r="E66" s="276"/>
    </row>
    <row r="67" spans="1:5" s="169" customFormat="1">
      <c r="A67" s="636" t="s">
        <v>298</v>
      </c>
      <c r="C67" s="276"/>
      <c r="D67" s="276"/>
      <c r="E67" s="276"/>
    </row>
    <row r="68" spans="1:5" s="169" customFormat="1" ht="162" customHeight="1">
      <c r="A68" s="714" t="s">
        <v>167</v>
      </c>
      <c r="B68" s="2010" t="s">
        <v>1125</v>
      </c>
      <c r="C68" s="2010"/>
      <c r="D68" s="2010"/>
      <c r="E68" s="2010"/>
    </row>
    <row r="69" spans="1:5" s="169" customFormat="1">
      <c r="A69" s="712"/>
      <c r="B69" s="168"/>
      <c r="C69" s="168"/>
      <c r="D69" s="168"/>
      <c r="E69" s="168"/>
    </row>
    <row r="70" spans="1:5" s="169" customFormat="1">
      <c r="A70" s="712"/>
      <c r="B70" s="168"/>
      <c r="C70" s="168"/>
      <c r="D70" s="168"/>
      <c r="E70" s="168"/>
    </row>
    <row r="71" spans="1:5" s="169" customFormat="1">
      <c r="A71" s="712"/>
      <c r="B71" s="168"/>
      <c r="C71" s="168"/>
      <c r="D71" s="168"/>
      <c r="E71" s="168"/>
    </row>
    <row r="72" spans="1:5" s="169" customFormat="1">
      <c r="A72" s="712"/>
      <c r="B72" s="168"/>
      <c r="C72" s="168"/>
      <c r="D72" s="168"/>
      <c r="E72" s="168"/>
    </row>
    <row r="73" spans="1:5" s="169" customFormat="1">
      <c r="A73" s="712"/>
      <c r="B73" s="168"/>
      <c r="C73" s="168"/>
      <c r="D73" s="168"/>
      <c r="E73" s="168"/>
    </row>
    <row r="74" spans="1:5" s="169" customFormat="1">
      <c r="A74" s="713"/>
      <c r="B74" s="168"/>
      <c r="C74" s="168"/>
      <c r="D74" s="168"/>
      <c r="E74" s="168"/>
    </row>
    <row r="75" spans="1:5" s="169" customFormat="1">
      <c r="A75" s="713"/>
      <c r="B75" s="168"/>
      <c r="C75" s="168"/>
      <c r="D75" s="168"/>
      <c r="E75" s="168"/>
    </row>
    <row r="76" spans="1:5" s="169" customFormat="1">
      <c r="A76" s="713"/>
      <c r="B76" s="168"/>
      <c r="C76" s="168"/>
      <c r="D76" s="168"/>
      <c r="E76" s="168"/>
    </row>
    <row r="77" spans="1:5" s="169" customFormat="1">
      <c r="A77" s="713"/>
      <c r="B77" s="168"/>
      <c r="C77" s="168"/>
      <c r="D77" s="168"/>
      <c r="E77" s="168"/>
    </row>
    <row r="78" spans="1:5" s="169" customFormat="1">
      <c r="A78" s="713"/>
      <c r="B78" s="168"/>
      <c r="C78" s="168"/>
      <c r="D78" s="168"/>
      <c r="E78" s="168"/>
    </row>
    <row r="79" spans="1:5" s="169" customFormat="1">
      <c r="A79" s="713"/>
      <c r="B79" s="168"/>
      <c r="C79" s="168"/>
      <c r="D79" s="168"/>
      <c r="E79" s="168"/>
    </row>
    <row r="80" spans="1:5" s="169" customFormat="1">
      <c r="A80" s="713"/>
      <c r="B80" s="168"/>
      <c r="C80" s="168"/>
      <c r="D80" s="168"/>
      <c r="E80" s="168"/>
    </row>
    <row r="81" spans="1:5" s="169" customFormat="1">
      <c r="A81" s="713"/>
      <c r="B81" s="168"/>
      <c r="C81" s="168"/>
      <c r="D81" s="168"/>
      <c r="E81" s="168"/>
    </row>
  </sheetData>
  <mergeCells count="4">
    <mergeCell ref="B68:E68"/>
    <mergeCell ref="A1:E1"/>
    <mergeCell ref="A2:E2"/>
    <mergeCell ref="A3:E3"/>
  </mergeCells>
  <printOptions horizontalCentered="1"/>
  <pageMargins left="0.5" right="0.5" top="0.5" bottom="0.5" header="0.3" footer="0.5"/>
  <pageSetup scale="73" orientation="portrait" r:id="rId1"/>
  <headerFooter>
    <oddFooter>&amp;R&amp;A</oddFooter>
  </headerFooter>
  <ignoredErrors>
    <ignoredError sqref="E45:E58" formula="1"/>
    <ignoredError sqref="C45:D58" formula="1" formulaRange="1"/>
    <ignoredError sqref="A68"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E28"/>
  <sheetViews>
    <sheetView workbookViewId="0">
      <selection activeCell="A21" sqref="A21"/>
    </sheetView>
  </sheetViews>
  <sheetFormatPr defaultColWidth="22.44140625" defaultRowHeight="13.2"/>
  <cols>
    <col min="1" max="1" width="6.109375" style="193" bestFit="1" customWidth="1"/>
    <col min="2" max="2" width="26.33203125" bestFit="1" customWidth="1"/>
    <col min="3" max="5" width="15.5546875" customWidth="1"/>
  </cols>
  <sheetData>
    <row r="1" spans="1:5" s="210" customFormat="1">
      <c r="A1" s="2011" t="str">
        <f>+'MISO Cover'!C6</f>
        <v>Entergy Louisiana, LLC</v>
      </c>
      <c r="B1" s="2011"/>
      <c r="C1" s="2011"/>
      <c r="D1" s="2011"/>
      <c r="E1" s="2011"/>
    </row>
    <row r="2" spans="1:5">
      <c r="A2" s="2012" t="s">
        <v>696</v>
      </c>
      <c r="B2" s="2012"/>
      <c r="C2" s="2012"/>
      <c r="D2" s="2012"/>
      <c r="E2" s="2012"/>
    </row>
    <row r="3" spans="1:5" s="210" customFormat="1">
      <c r="A3" s="1973" t="str">
        <f>+'MISO Cover'!K4</f>
        <v>For  the 12 Months Ended 12/31/2016</v>
      </c>
      <c r="B3" s="1973"/>
      <c r="C3" s="1973"/>
      <c r="D3" s="1973"/>
      <c r="E3" s="1973"/>
    </row>
    <row r="4" spans="1:5" s="210" customFormat="1">
      <c r="A4" s="671"/>
      <c r="B4" s="670"/>
      <c r="C4" s="670"/>
      <c r="D4" s="670"/>
      <c r="E4" s="670"/>
    </row>
    <row r="5" spans="1:5">
      <c r="A5" s="193" t="s">
        <v>279</v>
      </c>
      <c r="B5" s="495" t="s">
        <v>67</v>
      </c>
      <c r="C5" s="495" t="s">
        <v>114</v>
      </c>
      <c r="D5" s="495" t="s">
        <v>55</v>
      </c>
      <c r="E5" s="495" t="s">
        <v>68</v>
      </c>
    </row>
    <row r="6" spans="1:5">
      <c r="A6" s="1173">
        <v>1</v>
      </c>
      <c r="B6" s="1142" t="s">
        <v>112</v>
      </c>
      <c r="C6" s="638" t="s">
        <v>779</v>
      </c>
      <c r="D6" s="638" t="s">
        <v>796</v>
      </c>
      <c r="E6" s="638" t="s">
        <v>797</v>
      </c>
    </row>
    <row r="7" spans="1:5">
      <c r="A7" s="1290">
        <f>+A6+0.1</f>
        <v>1.1000000000000001</v>
      </c>
      <c r="B7" s="1280" t="s">
        <v>936</v>
      </c>
      <c r="C7" s="1291">
        <v>0</v>
      </c>
      <c r="D7" s="1291"/>
      <c r="E7" s="1291"/>
    </row>
    <row r="8" spans="1:5">
      <c r="A8" s="1290" t="s">
        <v>927</v>
      </c>
      <c r="B8" s="1280" t="s">
        <v>936</v>
      </c>
      <c r="C8" s="1291">
        <v>0</v>
      </c>
      <c r="D8" s="1291"/>
      <c r="E8" s="1291"/>
    </row>
    <row r="9" spans="1:5">
      <c r="A9" s="1290" t="s">
        <v>931</v>
      </c>
      <c r="B9" s="1280" t="s">
        <v>936</v>
      </c>
      <c r="C9" s="1292">
        <v>0</v>
      </c>
      <c r="D9" s="1291"/>
      <c r="E9" s="1291"/>
    </row>
    <row r="10" spans="1:5">
      <c r="A10" s="1174">
        <f>+A6+1</f>
        <v>2</v>
      </c>
      <c r="B10" s="1142" t="str">
        <f>+"Total  Sum of Line "&amp;A6&amp;" Subparts"</f>
        <v>Total  Sum of Line 1 Subparts</v>
      </c>
      <c r="C10" s="785">
        <f>SUM(C7:C9)</f>
        <v>0</v>
      </c>
      <c r="D10" s="42"/>
      <c r="E10" s="42"/>
    </row>
    <row r="11" spans="1:5">
      <c r="A11" s="1174"/>
      <c r="B11" s="1142"/>
      <c r="C11" s="42"/>
      <c r="D11" s="42"/>
      <c r="E11" s="42"/>
    </row>
    <row r="12" spans="1:5">
      <c r="A12" s="1141"/>
      <c r="B12" s="41"/>
      <c r="C12" s="42"/>
      <c r="D12" s="42"/>
      <c r="E12" s="42"/>
    </row>
    <row r="13" spans="1:5">
      <c r="A13" s="42" t="s">
        <v>298</v>
      </c>
      <c r="C13" s="42"/>
      <c r="D13" s="42"/>
      <c r="E13" s="42"/>
    </row>
    <row r="14" spans="1:5" s="672" customFormat="1" ht="40.200000000000003" customHeight="1">
      <c r="A14" s="1143" t="s">
        <v>167</v>
      </c>
      <c r="B14" s="1911" t="s">
        <v>947</v>
      </c>
      <c r="C14" s="1911"/>
      <c r="D14" s="1911"/>
      <c r="E14" s="1911"/>
    </row>
    <row r="15" spans="1:5" s="672" customFormat="1" ht="27" customHeight="1">
      <c r="A15" s="1143" t="s">
        <v>319</v>
      </c>
      <c r="B15" s="1911" t="s">
        <v>778</v>
      </c>
      <c r="C15" s="1911"/>
      <c r="D15" s="1911"/>
      <c r="E15" s="1911"/>
    </row>
    <row r="16" spans="1:5">
      <c r="A16" s="1143"/>
      <c r="B16" s="41"/>
      <c r="C16" s="41"/>
      <c r="D16" s="41"/>
      <c r="E16" s="41"/>
    </row>
    <row r="17" spans="1:5">
      <c r="A17" s="1141"/>
      <c r="B17" s="41"/>
      <c r="C17" s="41"/>
      <c r="D17" s="41"/>
      <c r="E17" s="41"/>
    </row>
    <row r="18" spans="1:5">
      <c r="A18" s="1141"/>
      <c r="B18" s="41"/>
      <c r="C18" s="41"/>
      <c r="D18" s="41"/>
      <c r="E18" s="41"/>
    </row>
    <row r="19" spans="1:5">
      <c r="B19" s="42"/>
      <c r="C19" s="42"/>
      <c r="D19" s="42"/>
      <c r="E19" s="42"/>
    </row>
    <row r="20" spans="1:5">
      <c r="B20" s="42"/>
      <c r="C20" s="42"/>
      <c r="D20" s="42"/>
      <c r="E20" s="42"/>
    </row>
    <row r="21" spans="1:5">
      <c r="B21" s="42"/>
      <c r="C21" s="42"/>
      <c r="D21" s="42"/>
      <c r="E21" s="42"/>
    </row>
    <row r="22" spans="1:5">
      <c r="B22" s="42"/>
      <c r="C22" s="42"/>
      <c r="D22" s="42"/>
      <c r="E22" s="42"/>
    </row>
    <row r="23" spans="1:5">
      <c r="B23" s="42"/>
      <c r="C23" s="42"/>
      <c r="D23" s="42"/>
      <c r="E23" s="42"/>
    </row>
    <row r="24" spans="1:5">
      <c r="B24" s="42"/>
      <c r="C24" s="42"/>
      <c r="D24" s="42"/>
      <c r="E24" s="42"/>
    </row>
    <row r="25" spans="1:5">
      <c r="B25" s="42"/>
      <c r="C25" s="42"/>
      <c r="D25" s="42"/>
      <c r="E25" s="42"/>
    </row>
    <row r="26" spans="1:5">
      <c r="B26" s="42"/>
      <c r="C26" s="42"/>
      <c r="D26" s="42"/>
      <c r="E26" s="42"/>
    </row>
    <row r="27" spans="1:5">
      <c r="B27" s="42"/>
      <c r="C27" s="42"/>
      <c r="D27" s="42"/>
      <c r="E27" s="42"/>
    </row>
    <row r="28" spans="1:5">
      <c r="C28" s="42"/>
      <c r="D28" s="42"/>
      <c r="E28" s="42"/>
    </row>
  </sheetData>
  <mergeCells count="5">
    <mergeCell ref="B15:E15"/>
    <mergeCell ref="B14:E14"/>
    <mergeCell ref="A3:E3"/>
    <mergeCell ref="A1:E1"/>
    <mergeCell ref="A2:E2"/>
  </mergeCells>
  <phoneticPr fontId="106" type="noConversion"/>
  <printOptions horizontalCentered="1"/>
  <pageMargins left="0.7" right="0.7" top="0.7" bottom="0.7" header="0.3" footer="0.5"/>
  <pageSetup orientation="portrait" r:id="rId1"/>
  <headerFooter>
    <oddFooter>&amp;R&amp;A</oddFooter>
  </headerFooter>
  <ignoredErrors>
    <ignoredError sqref="A14:A1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16"/>
  <sheetViews>
    <sheetView zoomScaleNormal="100" workbookViewId="0">
      <selection activeCell="A21" sqref="A21"/>
    </sheetView>
  </sheetViews>
  <sheetFormatPr defaultColWidth="9.109375" defaultRowHeight="13.2"/>
  <cols>
    <col min="1" max="1" width="4.33203125" style="777" bestFit="1" customWidth="1"/>
    <col min="2" max="2" width="66.88671875" style="777" customWidth="1"/>
    <col min="3" max="3" width="17.88671875" style="777" customWidth="1"/>
    <col min="4" max="4" width="11.5546875" style="777" bestFit="1" customWidth="1"/>
    <col min="5" max="16384" width="9.109375" style="777"/>
  </cols>
  <sheetData>
    <row r="1" spans="1:11">
      <c r="A1" s="2016" t="str">
        <f>+'MISO Cover'!C6</f>
        <v>Entergy Louisiana, LLC</v>
      </c>
      <c r="B1" s="2016"/>
      <c r="C1" s="2016"/>
      <c r="D1" s="779"/>
    </row>
    <row r="2" spans="1:11">
      <c r="A2" s="2018" t="s">
        <v>751</v>
      </c>
      <c r="B2" s="2018"/>
      <c r="C2" s="2018"/>
      <c r="D2" s="779"/>
    </row>
    <row r="3" spans="1:11">
      <c r="A3" s="2019" t="str">
        <f>+'MISO Cover'!K4</f>
        <v>For  the 12 Months Ended 12/31/2016</v>
      </c>
      <c r="B3" s="2019"/>
      <c r="C3" s="2019"/>
      <c r="D3" s="780"/>
    </row>
    <row r="4" spans="1:11">
      <c r="B4" s="781"/>
      <c r="C4" s="781"/>
      <c r="D4" s="781"/>
    </row>
    <row r="5" spans="1:11">
      <c r="B5" s="753"/>
      <c r="C5" s="753"/>
      <c r="D5" s="753"/>
    </row>
    <row r="6" spans="1:11" s="778" customFormat="1" ht="15">
      <c r="A6" s="518" t="s">
        <v>279</v>
      </c>
      <c r="B6" s="538" t="s">
        <v>67</v>
      </c>
      <c r="C6" s="538" t="s">
        <v>114</v>
      </c>
      <c r="D6" s="538"/>
    </row>
    <row r="7" spans="1:11" ht="15">
      <c r="A7" s="518"/>
      <c r="B7" s="2017"/>
      <c r="C7" s="2017"/>
    </row>
    <row r="8" spans="1:11" s="518" customFormat="1" ht="15">
      <c r="A8" s="884"/>
      <c r="B8" s="1356" t="s">
        <v>112</v>
      </c>
      <c r="C8" s="1357" t="s">
        <v>146</v>
      </c>
    </row>
    <row r="9" spans="1:11">
      <c r="A9" s="884">
        <v>1</v>
      </c>
      <c r="B9" s="885" t="s">
        <v>798</v>
      </c>
      <c r="C9" s="1120">
        <v>6212815.5586759578</v>
      </c>
      <c r="D9" s="956"/>
      <c r="E9" s="777" t="s">
        <v>2075</v>
      </c>
    </row>
    <row r="10" spans="1:11">
      <c r="A10" s="884">
        <f>+A9+1</f>
        <v>2</v>
      </c>
      <c r="B10" s="885" t="s">
        <v>846</v>
      </c>
      <c r="C10" s="1122">
        <v>9943696.8983374517</v>
      </c>
      <c r="D10" s="1038"/>
      <c r="E10" s="777" t="s">
        <v>2074</v>
      </c>
    </row>
    <row r="11" spans="1:11">
      <c r="A11" s="884">
        <f>+A10+1</f>
        <v>3</v>
      </c>
      <c r="B11" s="885" t="s">
        <v>847</v>
      </c>
      <c r="C11" s="1140">
        <f>+C9-C10</f>
        <v>-3730881.3396614939</v>
      </c>
      <c r="E11" s="1038" t="s">
        <v>884</v>
      </c>
    </row>
    <row r="12" spans="1:11">
      <c r="A12" s="884"/>
      <c r="B12" s="885"/>
      <c r="C12" s="727"/>
    </row>
    <row r="13" spans="1:11">
      <c r="A13" s="884"/>
      <c r="B13" s="885"/>
      <c r="C13" s="727"/>
    </row>
    <row r="14" spans="1:11" s="886" customFormat="1">
      <c r="A14" s="886" t="s">
        <v>298</v>
      </c>
    </row>
    <row r="15" spans="1:11" s="886" customFormat="1" ht="39.75" customHeight="1">
      <c r="A15" s="887" t="s">
        <v>167</v>
      </c>
      <c r="B15" s="2014" t="s">
        <v>1126</v>
      </c>
      <c r="C15" s="2015"/>
    </row>
    <row r="16" spans="1:11" s="886" customFormat="1" ht="27" customHeight="1">
      <c r="A16" s="887" t="s">
        <v>319</v>
      </c>
      <c r="B16" s="2013" t="str">
        <f>+"See Appendix A Note "&amp;'Appendix A'!A309&amp;".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2013"/>
      <c r="D16" s="1121"/>
      <c r="E16" s="1121"/>
      <c r="F16" s="1121"/>
      <c r="G16" s="1121"/>
      <c r="H16" s="1121"/>
      <c r="I16" s="1121"/>
      <c r="J16" s="1121"/>
      <c r="K16" s="1121"/>
    </row>
  </sheetData>
  <mergeCells count="6">
    <mergeCell ref="B16:C16"/>
    <mergeCell ref="B15:C15"/>
    <mergeCell ref="A1:C1"/>
    <mergeCell ref="B7:C7"/>
    <mergeCell ref="A2:C2"/>
    <mergeCell ref="A3:C3"/>
  </mergeCells>
  <phoneticPr fontId="106" type="noConversion"/>
  <printOptions horizontalCentered="1"/>
  <pageMargins left="0.7" right="0.7" top="0.7" bottom="0.7" header="0.3" footer="0.5"/>
  <pageSetup orientation="portrait" r:id="rId1"/>
  <headerFooter>
    <oddFooter>&amp;R&amp;A</oddFooter>
  </headerFooter>
  <ignoredErrors>
    <ignoredError sqref="A15: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39"/>
  <sheetViews>
    <sheetView zoomScale="90" zoomScaleNormal="90" zoomScaleSheetLayoutView="100" workbookViewId="0">
      <selection activeCell="A21" sqref="A21"/>
    </sheetView>
  </sheetViews>
  <sheetFormatPr defaultColWidth="9.109375" defaultRowHeight="13.2"/>
  <cols>
    <col min="1" max="1" width="6.33203125" style="290" bestFit="1" customWidth="1"/>
    <col min="2" max="2" width="79.44140625" style="290" bestFit="1" customWidth="1"/>
    <col min="3" max="3" width="50.44140625" style="290" customWidth="1"/>
    <col min="4" max="4" width="14" style="290" bestFit="1" customWidth="1"/>
    <col min="5" max="5" width="1.44140625" style="290" customWidth="1"/>
    <col min="6" max="6" width="7.6640625" style="290" customWidth="1"/>
    <col min="7" max="7" width="11.44140625" style="290" customWidth="1"/>
    <col min="8" max="8" width="6.33203125" style="290" hidden="1" customWidth="1"/>
    <col min="9" max="9" width="15.33203125" style="290" customWidth="1"/>
    <col min="10" max="10" width="3.44140625" style="290" customWidth="1"/>
    <col min="11" max="11" width="7" style="290" customWidth="1"/>
    <col min="12" max="12" width="14" style="291" customWidth="1"/>
    <col min="13" max="14" width="14.33203125" style="291" customWidth="1"/>
    <col min="15" max="15" width="13.109375" style="290" customWidth="1"/>
    <col min="16" max="16" width="15.88671875" style="291" bestFit="1" customWidth="1"/>
    <col min="17" max="17" width="25.6640625" style="291" customWidth="1"/>
    <col min="18" max="18" width="14.88671875" style="290" bestFit="1" customWidth="1"/>
    <col min="19" max="16384" width="9.109375" style="290"/>
  </cols>
  <sheetData>
    <row r="1" spans="1:15" s="290" customFormat="1">
      <c r="I1" s="996"/>
      <c r="J1" s="996"/>
      <c r="K1" s="997" t="s">
        <v>962</v>
      </c>
      <c r="L1" s="291"/>
    </row>
    <row r="2" spans="1:15" s="290" customFormat="1">
      <c r="A2" s="292"/>
      <c r="B2" s="292"/>
      <c r="C2" s="292"/>
      <c r="E2" s="292"/>
      <c r="F2" s="292"/>
      <c r="G2" s="292"/>
      <c r="H2" s="292"/>
      <c r="I2" s="292"/>
      <c r="J2" s="292"/>
      <c r="K2" s="293" t="s">
        <v>314</v>
      </c>
      <c r="L2" s="291"/>
    </row>
    <row r="3" spans="1:15" s="290" customFormat="1">
      <c r="A3" s="292"/>
      <c r="B3" s="292"/>
      <c r="C3" s="1468" t="s">
        <v>1070</v>
      </c>
      <c r="D3" s="292"/>
      <c r="E3" s="292"/>
      <c r="F3" s="292"/>
      <c r="G3" s="292"/>
      <c r="H3" s="292"/>
      <c r="I3" s="292"/>
      <c r="J3" s="292"/>
      <c r="K3" s="292"/>
      <c r="L3" s="291"/>
    </row>
    <row r="4" spans="1:15" s="290" customFormat="1" ht="13.2" customHeight="1">
      <c r="A4" s="294"/>
      <c r="B4" s="295" t="s">
        <v>315</v>
      </c>
      <c r="C4" s="296" t="s">
        <v>316</v>
      </c>
      <c r="E4" s="295"/>
      <c r="F4" s="295"/>
      <c r="G4" s="297"/>
      <c r="H4" s="298"/>
      <c r="I4" s="994"/>
      <c r="J4" s="995"/>
      <c r="K4" s="1788" t="s">
        <v>1744</v>
      </c>
      <c r="L4" s="1908" t="s">
        <v>1071</v>
      </c>
      <c r="M4" s="1908"/>
      <c r="N4" s="1908"/>
      <c r="O4" s="1908"/>
    </row>
    <row r="5" spans="1:15" s="290" customFormat="1" ht="13.8" thickBot="1">
      <c r="A5" s="294"/>
      <c r="C5" s="299" t="s">
        <v>317</v>
      </c>
      <c r="E5" s="300"/>
      <c r="F5" s="300"/>
      <c r="G5" s="300"/>
      <c r="H5" s="301"/>
      <c r="I5" s="301"/>
      <c r="J5" s="302"/>
      <c r="K5" s="302"/>
      <c r="L5" s="1908"/>
      <c r="M5" s="1908"/>
      <c r="N5" s="1908"/>
      <c r="O5" s="1908"/>
    </row>
    <row r="6" spans="1:15" s="290" customFormat="1" ht="14.4" thickBot="1">
      <c r="A6" s="294"/>
      <c r="B6" s="303"/>
      <c r="C6" s="998" t="s">
        <v>961</v>
      </c>
      <c r="E6" s="302"/>
      <c r="F6" s="302"/>
      <c r="G6" s="302"/>
      <c r="H6" s="302"/>
      <c r="J6" s="304"/>
      <c r="K6" s="304"/>
      <c r="L6" s="1172" t="s">
        <v>318</v>
      </c>
    </row>
    <row r="7" spans="1:15" s="290" customFormat="1" ht="13.8">
      <c r="B7" s="303"/>
      <c r="C7" s="973" t="str">
        <f>+L6&amp;" Rate"</f>
        <v>Projected Rate</v>
      </c>
      <c r="J7" s="305"/>
      <c r="K7" s="305"/>
    </row>
    <row r="8" spans="1:15" s="290" customFormat="1">
      <c r="A8" s="296"/>
      <c r="C8" s="302"/>
      <c r="D8" s="306"/>
      <c r="E8" s="302"/>
      <c r="F8" s="302"/>
      <c r="G8" s="302"/>
      <c r="H8" s="302"/>
      <c r="I8" s="302"/>
      <c r="J8" s="302"/>
      <c r="K8" s="302"/>
      <c r="L8" s="291" t="s">
        <v>318</v>
      </c>
    </row>
    <row r="9" spans="1:15" s="290" customFormat="1">
      <c r="A9" s="296"/>
      <c r="B9" s="308" t="s">
        <v>167</v>
      </c>
      <c r="C9" s="308" t="s">
        <v>319</v>
      </c>
      <c r="D9" s="308" t="s">
        <v>320</v>
      </c>
      <c r="E9" s="300" t="s">
        <v>65</v>
      </c>
      <c r="F9" s="300"/>
      <c r="G9" s="306" t="s">
        <v>321</v>
      </c>
      <c r="H9" s="300"/>
      <c r="I9" s="306" t="s">
        <v>322</v>
      </c>
      <c r="J9" s="302"/>
      <c r="K9" s="302"/>
      <c r="L9" s="291" t="s">
        <v>1072</v>
      </c>
    </row>
    <row r="10" spans="1:15" s="290" customFormat="1">
      <c r="A10" s="296" t="s">
        <v>323</v>
      </c>
      <c r="B10" s="302"/>
      <c r="C10" s="302"/>
      <c r="D10" s="309"/>
      <c r="E10" s="302"/>
      <c r="F10" s="302"/>
      <c r="G10" s="302"/>
      <c r="H10" s="302"/>
      <c r="I10" s="296" t="s">
        <v>324</v>
      </c>
      <c r="J10" s="302"/>
      <c r="K10" s="302"/>
      <c r="L10" s="307">
        <f>IF(L6=L8,0,1)</f>
        <v>0</v>
      </c>
    </row>
    <row r="11" spans="1:15" s="290" customFormat="1" ht="13.8" thickBot="1">
      <c r="A11" s="310" t="s">
        <v>325</v>
      </c>
      <c r="B11" s="302"/>
      <c r="C11" s="302"/>
      <c r="D11" s="302"/>
      <c r="E11" s="302"/>
      <c r="F11" s="302"/>
      <c r="G11" s="302"/>
      <c r="H11" s="302"/>
      <c r="I11" s="310" t="s">
        <v>146</v>
      </c>
      <c r="J11" s="302"/>
      <c r="K11" s="302"/>
      <c r="L11" s="291"/>
    </row>
    <row r="12" spans="1:15" s="290" customFormat="1">
      <c r="A12" s="367">
        <v>1</v>
      </c>
      <c r="B12" s="302" t="s">
        <v>326</v>
      </c>
      <c r="C12" s="314" t="str">
        <f>+"Page 3, Line "&amp;A174</f>
        <v>Page 3, Line 31</v>
      </c>
      <c r="D12" s="311"/>
      <c r="E12" s="302"/>
      <c r="F12" s="302"/>
      <c r="G12" s="302"/>
      <c r="H12" s="302"/>
      <c r="I12" s="312">
        <f>+I174</f>
        <v>319907716.18217951</v>
      </c>
      <c r="J12" s="302"/>
      <c r="K12" s="304"/>
      <c r="L12" s="291"/>
    </row>
    <row r="13" spans="1:15" s="290" customFormat="1">
      <c r="A13" s="367"/>
      <c r="B13" s="302"/>
      <c r="C13" s="302"/>
      <c r="D13" s="302"/>
      <c r="E13" s="302"/>
      <c r="F13" s="302"/>
      <c r="G13" s="302"/>
      <c r="H13" s="302"/>
      <c r="I13" s="311"/>
      <c r="J13" s="302"/>
      <c r="K13" s="302"/>
      <c r="L13" s="291"/>
    </row>
    <row r="14" spans="1:15" s="290" customFormat="1" ht="13.8" thickBot="1">
      <c r="A14" s="367" t="s">
        <v>65</v>
      </c>
      <c r="B14" s="313" t="s">
        <v>327</v>
      </c>
      <c r="C14" s="314"/>
      <c r="D14" s="315" t="s">
        <v>113</v>
      </c>
      <c r="E14" s="314"/>
      <c r="F14" s="316" t="s">
        <v>328</v>
      </c>
      <c r="G14" s="316"/>
      <c r="H14" s="304"/>
      <c r="I14" s="317"/>
      <c r="J14" s="304"/>
      <c r="K14" s="302"/>
      <c r="L14" s="291"/>
    </row>
    <row r="15" spans="1:15" s="290" customFormat="1">
      <c r="A15" s="367">
        <f>+A12+1</f>
        <v>2</v>
      </c>
      <c r="B15" s="738" t="str">
        <f>+B223</f>
        <v xml:space="preserve">Account 454 (Rent From Electric Property: General Plant Only) </v>
      </c>
      <c r="C15" s="314" t="str">
        <f>+"Page 4, Line "&amp;A223</f>
        <v>Page 4, Line 34</v>
      </c>
      <c r="D15" s="312">
        <f>+I223</f>
        <v>993641.04950960015</v>
      </c>
      <c r="E15" s="314"/>
      <c r="F15" s="314" t="s">
        <v>329</v>
      </c>
      <c r="G15" s="318">
        <v>1</v>
      </c>
      <c r="H15" s="319"/>
      <c r="I15" s="312">
        <f>+G15*D15</f>
        <v>993641.04950960015</v>
      </c>
      <c r="J15" s="304"/>
      <c r="K15" s="302"/>
      <c r="L15" s="291"/>
    </row>
    <row r="16" spans="1:15" s="290" customFormat="1">
      <c r="A16" s="367">
        <f>+A15+1</f>
        <v>3</v>
      </c>
      <c r="B16" s="738" t="str">
        <f>+B226</f>
        <v>Account 456.1 Transmission Service Revenue Credits</v>
      </c>
      <c r="C16" s="314" t="str">
        <f>+"Page 4, Line "&amp;A230</f>
        <v>Page 4, Line 37</v>
      </c>
      <c r="D16" s="312">
        <f>+I230</f>
        <v>6315928.9558514506</v>
      </c>
      <c r="E16" s="314"/>
      <c r="F16" s="314" t="s">
        <v>329</v>
      </c>
      <c r="G16" s="318">
        <v>1</v>
      </c>
      <c r="H16" s="319"/>
      <c r="I16" s="312">
        <f>+G16*D16</f>
        <v>6315928.9558514506</v>
      </c>
      <c r="J16" s="304"/>
      <c r="K16" s="302"/>
      <c r="L16" s="291"/>
    </row>
    <row r="17" spans="1:17">
      <c r="A17" s="367">
        <f>+A16+1</f>
        <v>4</v>
      </c>
      <c r="B17" s="738" t="s">
        <v>843</v>
      </c>
      <c r="C17" s="321"/>
      <c r="D17" s="320"/>
      <c r="E17" s="314"/>
      <c r="F17" s="314" t="s">
        <v>330</v>
      </c>
      <c r="G17" s="318" t="s">
        <v>331</v>
      </c>
      <c r="H17" s="319"/>
      <c r="I17" s="320"/>
      <c r="J17" s="304"/>
      <c r="K17" s="302"/>
      <c r="N17" s="290"/>
      <c r="P17" s="290"/>
      <c r="Q17" s="290"/>
    </row>
    <row r="18" spans="1:17" ht="14.4" thickBot="1">
      <c r="A18" s="367">
        <f>+A17+1</f>
        <v>5</v>
      </c>
      <c r="B18" s="738" t="s">
        <v>843</v>
      </c>
      <c r="C18" s="321"/>
      <c r="D18" s="320"/>
      <c r="E18" s="314"/>
      <c r="F18" s="314" t="s">
        <v>330</v>
      </c>
      <c r="G18" s="318" t="s">
        <v>331</v>
      </c>
      <c r="H18" s="319"/>
      <c r="I18" s="322"/>
      <c r="J18" s="304"/>
      <c r="K18" s="302"/>
      <c r="L18" s="1494" t="s">
        <v>1114</v>
      </c>
      <c r="N18" s="290"/>
      <c r="P18" s="290"/>
      <c r="Q18" s="290"/>
    </row>
    <row r="19" spans="1:17">
      <c r="A19" s="367">
        <f>+A18+1</f>
        <v>6</v>
      </c>
      <c r="B19" s="313" t="s">
        <v>332</v>
      </c>
      <c r="C19" s="304" t="str">
        <f>+"(Sum of Line "&amp;A15&amp;" to Line "&amp;A18&amp;")"</f>
        <v>(Sum of Line 2 to Line 5)</v>
      </c>
      <c r="D19" s="323" t="s">
        <v>65</v>
      </c>
      <c r="E19" s="314"/>
      <c r="F19" s="314"/>
      <c r="G19" s="324"/>
      <c r="H19" s="319"/>
      <c r="I19" s="312">
        <f>SUM(I15:I18)</f>
        <v>7309570.0053610504</v>
      </c>
      <c r="J19" s="304"/>
      <c r="K19" s="302"/>
      <c r="L19" s="1365"/>
      <c r="M19" s="1365"/>
      <c r="N19" s="1366"/>
      <c r="O19" s="1366"/>
      <c r="P19" s="1366"/>
      <c r="Q19" s="290"/>
    </row>
    <row r="20" spans="1:17">
      <c r="A20" s="367"/>
      <c r="B20" s="325"/>
      <c r="C20" s="304"/>
      <c r="D20" s="314" t="s">
        <v>65</v>
      </c>
      <c r="E20" s="304"/>
      <c r="F20" s="304"/>
      <c r="G20" s="326"/>
      <c r="H20" s="304"/>
      <c r="I20" s="325"/>
      <c r="J20" s="304"/>
      <c r="K20" s="302"/>
      <c r="L20" s="1365"/>
      <c r="M20" s="1365"/>
      <c r="N20" s="1366"/>
      <c r="O20" s="1366"/>
      <c r="P20" s="1366"/>
      <c r="Q20" s="290"/>
    </row>
    <row r="21" spans="1:17">
      <c r="A21" s="367" t="str">
        <f>+A19&amp;"a"</f>
        <v>6a</v>
      </c>
      <c r="B21" s="327" t="s">
        <v>334</v>
      </c>
      <c r="C21" s="314" t="str">
        <f>+"Appendix A Line"&amp;'Appendix A'!A291&amp;" "&amp;$L$6&amp;" Column"</f>
        <v>Appendix A Line194 Projected Column</v>
      </c>
      <c r="D21" s="312">
        <f>IF($L$10=0,'Appendix A'!H291,'Appendix A'!G291)</f>
        <v>-12627750.158085544</v>
      </c>
      <c r="E21" s="328"/>
      <c r="F21" s="329" t="s">
        <v>329</v>
      </c>
      <c r="G21" s="330">
        <v>1</v>
      </c>
      <c r="H21" s="328"/>
      <c r="I21" s="312">
        <f>+G21*D21</f>
        <v>-12627750.158085544</v>
      </c>
      <c r="J21" s="304"/>
      <c r="K21" s="302"/>
      <c r="L21" s="1365"/>
      <c r="M21" s="1365">
        <f>IF($L$10=0,'Appendix A'!H291,'Appendix A'!G291)</f>
        <v>-12627750.158085544</v>
      </c>
      <c r="N21" s="1367">
        <f>+I21-M21</f>
        <v>0</v>
      </c>
      <c r="O21" s="1366"/>
      <c r="P21" s="1366"/>
      <c r="Q21" s="290"/>
    </row>
    <row r="22" spans="1:17">
      <c r="A22" s="367"/>
      <c r="B22" s="325"/>
      <c r="C22" s="304"/>
      <c r="D22" s="314"/>
      <c r="E22" s="304"/>
      <c r="F22" s="304"/>
      <c r="G22" s="326"/>
      <c r="H22" s="304"/>
      <c r="I22" s="325"/>
      <c r="J22" s="304"/>
      <c r="K22" s="302"/>
      <c r="L22" s="1365"/>
      <c r="M22" s="1365"/>
      <c r="N22" s="1366"/>
      <c r="O22" s="1366"/>
      <c r="P22" s="1366"/>
      <c r="Q22" s="290"/>
    </row>
    <row r="23" spans="1:17">
      <c r="A23" s="367" t="s">
        <v>650</v>
      </c>
      <c r="B23" s="327" t="s">
        <v>333</v>
      </c>
      <c r="C23" s="290" t="str">
        <f>+"(Line "&amp;A12&amp;" - Line "&amp;A19&amp;" + Line "&amp;A21&amp;")"</f>
        <v>(Line 1 - Line 6 + Line 6a)</v>
      </c>
      <c r="I23" s="977">
        <f>+I12-I19+I21</f>
        <v>299970396.01873296</v>
      </c>
      <c r="J23" s="304"/>
      <c r="K23" s="302"/>
      <c r="L23" s="1365"/>
      <c r="M23" s="1365">
        <f>IF($L$10=0,'Appendix A'!H293,'Appendix A'!G288)</f>
        <v>299970396.01873291</v>
      </c>
      <c r="N23" s="1367">
        <f>+I23-M23</f>
        <v>0</v>
      </c>
      <c r="O23" s="1366"/>
      <c r="P23" s="1366"/>
      <c r="Q23" s="290"/>
    </row>
    <row r="24" spans="1:17">
      <c r="A24" s="367"/>
      <c r="B24" s="327"/>
      <c r="C24" s="331"/>
      <c r="D24" s="331"/>
      <c r="E24" s="331"/>
      <c r="F24" s="331"/>
      <c r="G24" s="331"/>
      <c r="H24" s="331"/>
      <c r="I24" s="331"/>
      <c r="J24" s="304"/>
      <c r="K24" s="302"/>
      <c r="L24" s="1365"/>
      <c r="M24" s="1365"/>
      <c r="N24" s="1366"/>
      <c r="O24" s="1366"/>
      <c r="P24" s="1366"/>
      <c r="Q24" s="290"/>
    </row>
    <row r="25" spans="1:17">
      <c r="A25" s="367" t="s">
        <v>649</v>
      </c>
      <c r="B25" s="313" t="s">
        <v>815</v>
      </c>
      <c r="C25" s="314" t="str">
        <f>+"Appendix A Line "&amp;'Appendix A'!A296&amp;" "&amp;$L$6&amp;" Column"</f>
        <v>Appendix A Line 197 Projected Column</v>
      </c>
      <c r="D25" s="320"/>
      <c r="E25" s="304"/>
      <c r="F25" s="304"/>
      <c r="G25" s="326"/>
      <c r="H25" s="304"/>
      <c r="I25" s="312">
        <f>IF($L$10=0,'Appendix A'!H296,'Appendix A'!G296)</f>
        <v>0</v>
      </c>
      <c r="J25" s="304"/>
      <c r="K25" s="302"/>
      <c r="L25" s="1365"/>
      <c r="M25" s="1365"/>
      <c r="N25" s="1366"/>
      <c r="O25" s="1366"/>
      <c r="P25" s="1366"/>
      <c r="Q25" s="290"/>
    </row>
    <row r="26" spans="1:17">
      <c r="A26" s="367" t="s">
        <v>651</v>
      </c>
      <c r="B26" s="313" t="s">
        <v>815</v>
      </c>
      <c r="C26" s="314" t="str">
        <f>+"Appendix A Line "&amp;'Appendix A'!A297&amp;" "&amp;$L$6&amp;" Column"</f>
        <v>Appendix A Line 198 Projected Column</v>
      </c>
      <c r="D26" s="314"/>
      <c r="E26" s="304"/>
      <c r="F26" s="304"/>
      <c r="G26" s="326"/>
      <c r="H26" s="304"/>
      <c r="I26" s="312">
        <f>IF($L$10=0,'Appendix A'!H297,'Appendix A'!G297)</f>
        <v>0</v>
      </c>
      <c r="J26" s="304"/>
      <c r="K26" s="302"/>
      <c r="L26" s="1366"/>
      <c r="M26" s="1366"/>
      <c r="N26" s="1366"/>
      <c r="O26" s="1366"/>
      <c r="P26" s="1366"/>
      <c r="Q26" s="290"/>
    </row>
    <row r="27" spans="1:17">
      <c r="A27" s="397"/>
      <c r="B27" s="327"/>
      <c r="C27" s="328"/>
      <c r="D27" s="333"/>
      <c r="E27" s="333"/>
      <c r="F27" s="333"/>
      <c r="G27" s="333"/>
      <c r="H27" s="333"/>
      <c r="I27" s="334"/>
      <c r="J27" s="331"/>
      <c r="K27" s="332"/>
      <c r="L27" s="1366"/>
      <c r="M27" s="1365"/>
      <c r="N27" s="1367"/>
      <c r="O27" s="1366"/>
      <c r="P27" s="1366"/>
      <c r="Q27" s="290"/>
    </row>
    <row r="28" spans="1:17" ht="13.8" thickBot="1">
      <c r="A28" s="397">
        <v>7</v>
      </c>
      <c r="B28" s="327" t="s">
        <v>333</v>
      </c>
      <c r="C28" s="328" t="str">
        <f>+"(Sum of Line "&amp;A23&amp;" to Line "&amp;A26&amp;")"</f>
        <v>(Sum of Line 7a to Line 7c)</v>
      </c>
      <c r="D28" s="333"/>
      <c r="E28" s="334"/>
      <c r="F28" s="334"/>
      <c r="G28" s="334"/>
      <c r="H28" s="334"/>
      <c r="I28" s="1253">
        <f>+SUM(I23:I26)</f>
        <v>299970396.01873296</v>
      </c>
      <c r="J28" s="331"/>
      <c r="K28" s="332"/>
      <c r="L28" s="1366"/>
      <c r="M28" s="1365">
        <f>IF($L$10=0,'Appendix A'!H293,'Appendix A'!G293)</f>
        <v>299970396.01873291</v>
      </c>
      <c r="N28" s="1367">
        <f>+I28-M28</f>
        <v>0</v>
      </c>
      <c r="O28" s="1366"/>
      <c r="P28" s="1366"/>
      <c r="Q28" s="290"/>
    </row>
    <row r="29" spans="1:17" ht="13.8" thickTop="1">
      <c r="A29" s="335"/>
      <c r="B29" s="336"/>
      <c r="C29" s="332"/>
      <c r="D29" s="332"/>
      <c r="E29" s="332"/>
      <c r="F29" s="337"/>
      <c r="G29" s="338"/>
      <c r="H29" s="332"/>
      <c r="I29" s="336"/>
      <c r="J29" s="332"/>
      <c r="K29" s="332"/>
      <c r="L29" s="1365"/>
      <c r="M29" s="1365"/>
      <c r="N29" s="1366"/>
      <c r="O29" s="1366"/>
      <c r="P29" s="1366"/>
      <c r="Q29" s="290"/>
    </row>
    <row r="30" spans="1:17">
      <c r="A30" s="335"/>
      <c r="B30" s="339"/>
      <c r="C30" s="332"/>
      <c r="D30" s="332"/>
      <c r="E30" s="332"/>
      <c r="F30" s="337"/>
      <c r="G30" s="338"/>
      <c r="H30" s="332"/>
      <c r="I30" s="336"/>
      <c r="J30" s="332"/>
      <c r="K30" s="332"/>
      <c r="L30" s="1365"/>
      <c r="M30" s="1365"/>
      <c r="N30" s="1366"/>
      <c r="O30" s="1366"/>
      <c r="P30" s="1366"/>
      <c r="Q30" s="290"/>
    </row>
    <row r="31" spans="1:17" ht="15.6">
      <c r="A31" s="355"/>
      <c r="B31" s="340" t="s">
        <v>335</v>
      </c>
      <c r="C31" s="341"/>
      <c r="D31" s="342"/>
      <c r="E31" s="341"/>
      <c r="F31" s="341"/>
      <c r="G31" s="341"/>
      <c r="H31" s="341"/>
      <c r="I31" s="343"/>
      <c r="J31" s="341"/>
      <c r="L31" s="1368"/>
      <c r="M31" s="1365"/>
      <c r="N31" s="1366"/>
      <c r="O31" s="1366"/>
      <c r="P31" s="1366"/>
      <c r="Q31" s="290"/>
    </row>
    <row r="32" spans="1:17" ht="15.6">
      <c r="A32" s="355">
        <f>+A28+1</f>
        <v>8</v>
      </c>
      <c r="B32" s="741" t="s">
        <v>621</v>
      </c>
      <c r="C32" s="314" t="str">
        <f>+"Appendix A Line "&amp;'Appendix A'!A301&amp;" "&amp;$L$6&amp;" Column"</f>
        <v>Appendix A Line 200 Projected Column</v>
      </c>
      <c r="D32" s="342"/>
      <c r="E32" s="341"/>
      <c r="F32" s="341"/>
      <c r="G32" s="344"/>
      <c r="H32" s="341"/>
      <c r="I32" s="312">
        <f>IF($L$10=0,'Appendix A'!$H$301,'Appendix A'!$G$301)</f>
        <v>11049315.25</v>
      </c>
      <c r="J32" s="341"/>
      <c r="L32" s="1368"/>
      <c r="M32" s="1365"/>
      <c r="N32" s="1366"/>
      <c r="O32" s="1366"/>
      <c r="P32" s="1366"/>
      <c r="Q32" s="290"/>
    </row>
    <row r="33" spans="1:17" ht="15.6">
      <c r="A33" s="355">
        <f t="shared" ref="A33:A39" si="0">+A32+1</f>
        <v>9</v>
      </c>
      <c r="B33" s="738" t="s">
        <v>843</v>
      </c>
      <c r="C33" s="341"/>
      <c r="D33" s="341"/>
      <c r="E33" s="341"/>
      <c r="F33" s="341"/>
      <c r="G33" s="344"/>
      <c r="H33" s="341"/>
      <c r="I33" s="347">
        <v>0</v>
      </c>
      <c r="J33" s="341"/>
      <c r="L33" s="1368"/>
      <c r="M33" s="1366"/>
      <c r="N33" s="1366"/>
      <c r="O33" s="1366"/>
      <c r="P33" s="1366"/>
      <c r="Q33" s="290"/>
    </row>
    <row r="34" spans="1:17" ht="15.6">
      <c r="A34" s="355">
        <f t="shared" si="0"/>
        <v>10</v>
      </c>
      <c r="B34" s="738" t="s">
        <v>843</v>
      </c>
      <c r="C34" s="341"/>
      <c r="D34" s="341"/>
      <c r="E34" s="341"/>
      <c r="F34" s="341"/>
      <c r="G34" s="344"/>
      <c r="H34" s="341"/>
      <c r="I34" s="347">
        <v>0</v>
      </c>
      <c r="J34" s="341"/>
      <c r="L34" s="1368"/>
      <c r="M34" s="1366"/>
      <c r="N34" s="1366"/>
      <c r="O34" s="1366"/>
      <c r="P34" s="1366"/>
      <c r="Q34" s="290"/>
    </row>
    <row r="35" spans="1:17" ht="15.6">
      <c r="A35" s="355">
        <f t="shared" si="0"/>
        <v>11</v>
      </c>
      <c r="B35" s="738" t="s">
        <v>843</v>
      </c>
      <c r="C35" s="341"/>
      <c r="D35" s="341"/>
      <c r="E35" s="341"/>
      <c r="F35" s="341"/>
      <c r="G35" s="344"/>
      <c r="H35" s="341"/>
      <c r="I35" s="347">
        <v>0</v>
      </c>
      <c r="J35" s="341"/>
      <c r="L35" s="1368"/>
      <c r="M35" s="1366"/>
      <c r="N35" s="1366"/>
      <c r="O35" s="1366"/>
      <c r="P35" s="1366"/>
      <c r="Q35" s="290"/>
    </row>
    <row r="36" spans="1:17" ht="15.6">
      <c r="A36" s="355">
        <f t="shared" si="0"/>
        <v>12</v>
      </c>
      <c r="B36" s="738" t="s">
        <v>843</v>
      </c>
      <c r="C36" s="341"/>
      <c r="D36" s="341"/>
      <c r="E36" s="341"/>
      <c r="F36" s="341"/>
      <c r="G36" s="344"/>
      <c r="H36" s="341"/>
      <c r="I36" s="347">
        <v>0</v>
      </c>
      <c r="J36" s="341"/>
      <c r="L36" s="1368"/>
      <c r="M36" s="1366"/>
      <c r="N36" s="1366"/>
      <c r="O36" s="1366"/>
      <c r="P36" s="1366"/>
      <c r="Q36" s="290"/>
    </row>
    <row r="37" spans="1:17" ht="15.6">
      <c r="A37" s="355">
        <f t="shared" si="0"/>
        <v>13</v>
      </c>
      <c r="B37" s="738" t="s">
        <v>843</v>
      </c>
      <c r="C37" s="341"/>
      <c r="D37" s="341"/>
      <c r="E37" s="341"/>
      <c r="F37" s="341"/>
      <c r="G37" s="344"/>
      <c r="H37" s="341"/>
      <c r="I37" s="347">
        <v>0</v>
      </c>
      <c r="J37" s="341"/>
      <c r="L37" s="1368"/>
      <c r="M37" s="1366"/>
      <c r="N37" s="1366"/>
      <c r="O37" s="1366"/>
      <c r="P37" s="1366"/>
      <c r="Q37" s="290"/>
    </row>
    <row r="38" spans="1:17" ht="16.2" thickBot="1">
      <c r="A38" s="355">
        <f t="shared" si="0"/>
        <v>14</v>
      </c>
      <c r="B38" s="738" t="s">
        <v>843</v>
      </c>
      <c r="C38" s="341"/>
      <c r="D38" s="341"/>
      <c r="E38" s="341"/>
      <c r="F38" s="341"/>
      <c r="G38" s="344"/>
      <c r="H38" s="341"/>
      <c r="I38" s="348">
        <v>0</v>
      </c>
      <c r="J38" s="341"/>
      <c r="L38" s="1368"/>
      <c r="M38" s="1366"/>
      <c r="N38" s="1366"/>
      <c r="O38" s="1366"/>
      <c r="P38" s="1366"/>
      <c r="Q38" s="290"/>
    </row>
    <row r="39" spans="1:17" ht="15.6">
      <c r="A39" s="355">
        <f t="shared" si="0"/>
        <v>15</v>
      </c>
      <c r="B39" s="349" t="str">
        <f>+B31</f>
        <v xml:space="preserve">DIVISOR </v>
      </c>
      <c r="C39" s="341" t="str">
        <f>+"(Sum of Line "&amp;A32&amp;" to Line "&amp;A38&amp;")"</f>
        <v>(Sum of Line 8 to Line 14)</v>
      </c>
      <c r="D39" s="341"/>
      <c r="E39" s="341"/>
      <c r="F39" s="341"/>
      <c r="G39" s="341"/>
      <c r="H39" s="341"/>
      <c r="I39" s="345">
        <f>SUM(I32:I38)</f>
        <v>11049315.25</v>
      </c>
      <c r="J39" s="341"/>
      <c r="L39" s="1368"/>
      <c r="M39" s="1366"/>
      <c r="N39" s="1366"/>
      <c r="O39" s="1366"/>
      <c r="P39" s="1366"/>
      <c r="Q39" s="290"/>
    </row>
    <row r="40" spans="1:17" ht="15.6">
      <c r="A40" s="355"/>
      <c r="B40" s="340"/>
      <c r="C40" s="341"/>
      <c r="D40" s="341"/>
      <c r="E40" s="341"/>
      <c r="F40" s="341"/>
      <c r="G40" s="341"/>
      <c r="H40" s="341"/>
      <c r="I40" s="343"/>
      <c r="J40" s="341"/>
      <c r="L40" s="1368"/>
      <c r="M40" s="1366"/>
      <c r="N40" s="1366"/>
      <c r="O40" s="1366"/>
      <c r="P40" s="1366"/>
      <c r="Q40" s="290"/>
    </row>
    <row r="41" spans="1:17" ht="15.6">
      <c r="A41" s="355">
        <f>+A39+1</f>
        <v>16</v>
      </c>
      <c r="B41" s="340" t="s">
        <v>336</v>
      </c>
      <c r="C41" s="341" t="str">
        <f>+"(Line "&amp;A28&amp;" / Line "&amp;A39&amp;")"</f>
        <v>(Line 7 / Line 15)</v>
      </c>
      <c r="D41" s="343">
        <f>IF(I39&gt;0,I28/I39,0)</f>
        <v>27.148324509858924</v>
      </c>
      <c r="E41" s="343"/>
      <c r="F41" s="343"/>
      <c r="G41" s="343"/>
      <c r="H41" s="343"/>
      <c r="I41" s="320"/>
      <c r="J41" s="341"/>
      <c r="L41" s="1368"/>
      <c r="M41" s="1366"/>
      <c r="N41" s="1366"/>
      <c r="O41" s="1366"/>
      <c r="P41" s="1366"/>
      <c r="Q41" s="290"/>
    </row>
    <row r="42" spans="1:17" ht="15.6">
      <c r="A42" s="355">
        <f>+A41+1</f>
        <v>17</v>
      </c>
      <c r="B42" s="340" t="s">
        <v>337</v>
      </c>
      <c r="C42" s="341" t="str">
        <f>+"(Line "&amp;A41&amp;" / 12)"</f>
        <v>(Line 16 / 12)</v>
      </c>
      <c r="D42" s="343">
        <f>+D41/12</f>
        <v>2.2623603758215771</v>
      </c>
      <c r="E42" s="343"/>
      <c r="F42" s="343"/>
      <c r="G42" s="343"/>
      <c r="H42" s="343"/>
      <c r="I42" s="320"/>
      <c r="J42" s="341"/>
      <c r="L42" s="1368"/>
      <c r="M42" s="1366"/>
      <c r="N42" s="1366"/>
      <c r="O42" s="1366"/>
      <c r="P42" s="1366"/>
      <c r="Q42" s="290"/>
    </row>
    <row r="43" spans="1:17" ht="15.6">
      <c r="A43" s="355"/>
      <c r="B43" s="340"/>
      <c r="C43" s="341"/>
      <c r="D43" s="343"/>
      <c r="E43" s="343"/>
      <c r="F43" s="343"/>
      <c r="G43" s="343"/>
      <c r="H43" s="343"/>
      <c r="I43" s="320"/>
      <c r="J43" s="341"/>
      <c r="L43" s="1368"/>
      <c r="M43" s="1366"/>
      <c r="N43" s="1366"/>
      <c r="O43" s="1366"/>
      <c r="P43" s="1366"/>
      <c r="Q43" s="290"/>
    </row>
    <row r="44" spans="1:17" ht="15.6">
      <c r="A44" s="355"/>
      <c r="B44" s="340"/>
      <c r="C44" s="341"/>
      <c r="D44" s="350" t="s">
        <v>338</v>
      </c>
      <c r="E44" s="343"/>
      <c r="F44" s="343"/>
      <c r="G44" s="343"/>
      <c r="H44" s="343"/>
      <c r="I44" s="350" t="s">
        <v>339</v>
      </c>
      <c r="J44" s="341"/>
      <c r="L44" s="1368"/>
      <c r="M44" s="1366"/>
      <c r="N44" s="1366"/>
      <c r="O44" s="1366"/>
      <c r="P44" s="1366"/>
      <c r="Q44" s="290"/>
    </row>
    <row r="45" spans="1:17" ht="15.6">
      <c r="A45" s="355"/>
      <c r="B45" s="340"/>
      <c r="C45" s="341"/>
      <c r="D45" s="343"/>
      <c r="E45" s="343"/>
      <c r="F45" s="343"/>
      <c r="G45" s="343"/>
      <c r="H45" s="343"/>
      <c r="I45" s="320"/>
      <c r="J45" s="341"/>
      <c r="L45" s="1368"/>
      <c r="M45" s="1366"/>
      <c r="N45" s="1366"/>
      <c r="O45" s="1366"/>
      <c r="P45" s="1366"/>
      <c r="Q45" s="290"/>
    </row>
    <row r="46" spans="1:17" ht="15.6">
      <c r="A46" s="355">
        <f>+A42+1</f>
        <v>18</v>
      </c>
      <c r="B46" s="340" t="s">
        <v>340</v>
      </c>
      <c r="C46" s="351" t="str">
        <f>+"(Line "&amp;A$41&amp;" / 52; Line "&amp;A$41&amp;" / 52)"</f>
        <v>(Line 16 / 52; Line 16 / 52)</v>
      </c>
      <c r="D46" s="343">
        <f>+D41/52</f>
        <v>0.52208316365113316</v>
      </c>
      <c r="E46" s="343"/>
      <c r="F46" s="343"/>
      <c r="G46" s="343"/>
      <c r="H46" s="343"/>
      <c r="I46" s="320">
        <f>+D41/52</f>
        <v>0.52208316365113316</v>
      </c>
      <c r="J46" s="341"/>
      <c r="L46" s="1368"/>
      <c r="M46" s="1366"/>
      <c r="N46" s="1366"/>
      <c r="O46" s="1366"/>
      <c r="P46" s="1366"/>
      <c r="Q46" s="290"/>
    </row>
    <row r="47" spans="1:17" ht="15.6">
      <c r="A47" s="355">
        <f>+A46+1</f>
        <v>19</v>
      </c>
      <c r="B47" s="340" t="s">
        <v>341</v>
      </c>
      <c r="C47" s="351" t="str">
        <f>+"(Line "&amp;A$41&amp;" / 260; Line "&amp;A$41&amp;" / 365)"</f>
        <v>(Line 16 / 260; Line 16 / 365)</v>
      </c>
      <c r="D47" s="343">
        <f>+D41/260</f>
        <v>0.10441663273022662</v>
      </c>
      <c r="F47" s="343" t="s">
        <v>342</v>
      </c>
      <c r="G47" s="343"/>
      <c r="H47" s="343"/>
      <c r="I47" s="320">
        <f>+D41/365</f>
        <v>7.4378971259887461E-2</v>
      </c>
      <c r="J47" s="341"/>
      <c r="L47" s="1368"/>
      <c r="M47" s="1366"/>
      <c r="N47" s="1366"/>
      <c r="O47" s="1366"/>
      <c r="P47" s="1366"/>
      <c r="Q47" s="290"/>
    </row>
    <row r="48" spans="1:17" ht="15.6">
      <c r="A48" s="355">
        <f>+A47+1</f>
        <v>20</v>
      </c>
      <c r="B48" s="340" t="s">
        <v>343</v>
      </c>
      <c r="C48" s="351" t="str">
        <f>+"(Line "&amp;A$41&amp;" / 4160; Line "&amp;A$41&amp;" / 8760) x 1000"</f>
        <v>(Line 16 / 4160; Line 16 / 8760) x 1000</v>
      </c>
      <c r="D48" s="343">
        <f>+D41 / 4160 * 1000</f>
        <v>6.526039545639164</v>
      </c>
      <c r="F48" s="343" t="s">
        <v>344</v>
      </c>
      <c r="G48" s="343"/>
      <c r="H48" s="343"/>
      <c r="I48" s="320">
        <f>+D41 / 8760 * 1000</f>
        <v>3.0991238024953107</v>
      </c>
      <c r="J48" s="341"/>
      <c r="L48" s="1368"/>
      <c r="M48" s="1366"/>
      <c r="N48" s="1366"/>
      <c r="O48" s="1366"/>
      <c r="P48" s="1366"/>
      <c r="Q48" s="290"/>
    </row>
    <row r="49" spans="1:17" ht="15.6">
      <c r="A49" s="355"/>
      <c r="B49" s="340"/>
      <c r="C49" s="341"/>
      <c r="D49" s="343"/>
      <c r="F49" s="343" t="s">
        <v>345</v>
      </c>
      <c r="G49" s="343"/>
      <c r="H49" s="343"/>
      <c r="I49" s="320"/>
      <c r="J49" s="341"/>
      <c r="L49" s="1368" t="s">
        <v>65</v>
      </c>
      <c r="M49" s="1366"/>
      <c r="N49" s="1366"/>
      <c r="O49" s="1366"/>
      <c r="P49" s="1366"/>
      <c r="Q49" s="290"/>
    </row>
    <row r="50" spans="1:17" ht="15.6">
      <c r="A50" s="355"/>
      <c r="B50" s="340"/>
      <c r="C50" s="341"/>
      <c r="D50" s="343"/>
      <c r="F50" s="343"/>
      <c r="G50" s="343"/>
      <c r="H50" s="343"/>
      <c r="I50" s="320"/>
      <c r="J50" s="341"/>
      <c r="L50" s="1368" t="s">
        <v>65</v>
      </c>
      <c r="M50" s="1366"/>
      <c r="N50" s="1366"/>
      <c r="O50" s="1366"/>
      <c r="P50" s="1366"/>
      <c r="Q50" s="290"/>
    </row>
    <row r="51" spans="1:17" ht="15.6">
      <c r="A51" s="355">
        <f>+A48+1</f>
        <v>21</v>
      </c>
      <c r="B51" s="352" t="s">
        <v>346</v>
      </c>
      <c r="C51" s="341" t="s">
        <v>347</v>
      </c>
      <c r="D51" s="1336">
        <v>0</v>
      </c>
      <c r="F51" s="353" t="s">
        <v>348</v>
      </c>
      <c r="G51" s="353"/>
      <c r="H51" s="353"/>
      <c r="I51" s="353">
        <f>D51</f>
        <v>0</v>
      </c>
      <c r="J51" s="354" t="s">
        <v>348</v>
      </c>
      <c r="L51" s="1368"/>
      <c r="M51" s="1366"/>
      <c r="N51" s="1366"/>
      <c r="O51" s="1366"/>
      <c r="P51" s="1366"/>
      <c r="Q51" s="290"/>
    </row>
    <row r="52" spans="1:17" ht="15.6">
      <c r="A52" s="355">
        <f>+A51+1</f>
        <v>22</v>
      </c>
      <c r="B52" s="352" t="s">
        <v>346</v>
      </c>
      <c r="C52" s="341"/>
      <c r="D52" s="1336">
        <v>0</v>
      </c>
      <c r="F52" s="353" t="s">
        <v>349</v>
      </c>
      <c r="G52" s="353"/>
      <c r="H52" s="353"/>
      <c r="I52" s="353">
        <f>D52</f>
        <v>0</v>
      </c>
      <c r="J52" s="354" t="s">
        <v>349</v>
      </c>
      <c r="L52" s="1368"/>
      <c r="M52" s="1366"/>
      <c r="N52" s="1366"/>
      <c r="O52" s="1366"/>
      <c r="P52" s="1366"/>
      <c r="Q52" s="290"/>
    </row>
    <row r="53" spans="1:17" ht="15.6">
      <c r="A53" s="355"/>
      <c r="B53" s="331"/>
      <c r="C53" s="340"/>
      <c r="D53" s="341"/>
      <c r="E53" s="356"/>
      <c r="F53" s="356"/>
      <c r="G53" s="356"/>
      <c r="H53" s="356"/>
      <c r="I53" s="356"/>
      <c r="J53" s="356"/>
      <c r="K53" s="356"/>
      <c r="L53" s="1368"/>
      <c r="M53" s="1366"/>
      <c r="N53" s="1366"/>
      <c r="O53" s="1366"/>
      <c r="P53" s="1366"/>
      <c r="Q53" s="290"/>
    </row>
    <row r="54" spans="1:17">
      <c r="A54" s="296"/>
      <c r="B54" s="357"/>
      <c r="C54" s="304"/>
      <c r="D54" s="358"/>
      <c r="E54" s="359"/>
      <c r="F54" s="359"/>
      <c r="G54" s="359"/>
      <c r="H54" s="359"/>
      <c r="I54" s="359"/>
      <c r="J54" s="359"/>
      <c r="K54" s="360" t="str">
        <f>+K1</f>
        <v>Attachment O-ELL</v>
      </c>
      <c r="L54" s="1365"/>
      <c r="M54" s="1366"/>
      <c r="N54" s="1366"/>
      <c r="O54" s="1366"/>
      <c r="P54" s="1366"/>
      <c r="Q54" s="290"/>
    </row>
    <row r="55" spans="1:17">
      <c r="A55" s="294"/>
      <c r="B55" s="357"/>
      <c r="C55" s="304"/>
      <c r="D55" s="302"/>
      <c r="E55" s="302"/>
      <c r="F55" s="302"/>
      <c r="G55" s="302"/>
      <c r="H55" s="302"/>
      <c r="I55" s="361"/>
      <c r="J55" s="302"/>
      <c r="K55" s="362" t="s">
        <v>350</v>
      </c>
      <c r="L55" s="1365"/>
      <c r="M55" s="1366"/>
      <c r="N55" s="1366"/>
      <c r="O55" s="1366"/>
      <c r="P55" s="1366"/>
      <c r="Q55" s="290"/>
    </row>
    <row r="56" spans="1:17">
      <c r="A56" s="294"/>
      <c r="B56" s="302"/>
      <c r="C56" s="389" t="str">
        <f>+C$3</f>
        <v>MISO Cover</v>
      </c>
      <c r="D56" s="302"/>
      <c r="E56" s="302"/>
      <c r="F56" s="302"/>
      <c r="G56" s="302"/>
      <c r="H56" s="302"/>
      <c r="I56" s="302"/>
      <c r="J56" s="302"/>
      <c r="K56" s="302"/>
      <c r="L56" s="1365"/>
      <c r="M56" s="1366"/>
      <c r="N56" s="1366"/>
      <c r="O56" s="1366"/>
      <c r="P56" s="1366"/>
      <c r="Q56" s="290"/>
    </row>
    <row r="57" spans="1:17">
      <c r="A57" s="294"/>
      <c r="B57" s="357" t="s">
        <v>315</v>
      </c>
      <c r="C57" s="389" t="s">
        <v>316</v>
      </c>
      <c r="E57" s="357"/>
      <c r="F57" s="357"/>
      <c r="G57" s="357"/>
      <c r="H57" s="357"/>
      <c r="I57" s="292"/>
      <c r="J57" s="357"/>
      <c r="K57" s="362" t="str">
        <f>K4</f>
        <v>For  the 12 Months Ended 12/31/2016</v>
      </c>
      <c r="L57" s="1365"/>
      <c r="M57" s="1366"/>
      <c r="N57" s="1366"/>
      <c r="O57" s="1366"/>
      <c r="P57" s="1366"/>
      <c r="Q57" s="290"/>
    </row>
    <row r="58" spans="1:17">
      <c r="A58" s="294"/>
      <c r="B58" s="363"/>
      <c r="C58" s="387" t="s">
        <v>317</v>
      </c>
      <c r="E58" s="300"/>
      <c r="F58" s="300"/>
      <c r="G58" s="300"/>
      <c r="H58" s="300"/>
      <c r="I58" s="300"/>
      <c r="J58" s="300"/>
      <c r="K58" s="300"/>
      <c r="L58" s="1365"/>
      <c r="M58" s="1366"/>
      <c r="N58" s="1366"/>
      <c r="O58" s="1366"/>
      <c r="P58" s="1366"/>
      <c r="Q58" s="290"/>
    </row>
    <row r="59" spans="1:17">
      <c r="A59" s="294"/>
      <c r="B59" s="357"/>
      <c r="C59" s="387" t="str">
        <f>+C6</f>
        <v>Entergy Louisiana, LLC</v>
      </c>
      <c r="E59" s="300"/>
      <c r="F59" s="300"/>
      <c r="G59" s="300" t="s">
        <v>65</v>
      </c>
      <c r="H59" s="300"/>
      <c r="I59" s="300"/>
      <c r="J59" s="300"/>
      <c r="K59" s="300"/>
      <c r="L59" s="1365"/>
      <c r="M59" s="1366"/>
      <c r="N59" s="1366"/>
      <c r="O59" s="1366"/>
      <c r="P59" s="1366"/>
      <c r="Q59" s="290"/>
    </row>
    <row r="60" spans="1:17">
      <c r="A60" s="294"/>
      <c r="B60" s="294"/>
      <c r="C60" s="387" t="str">
        <f>+C7</f>
        <v>Projected Rate</v>
      </c>
      <c r="D60" s="294"/>
      <c r="E60" s="294"/>
      <c r="F60" s="294"/>
      <c r="G60" s="294"/>
      <c r="H60" s="294"/>
      <c r="I60" s="294"/>
      <c r="J60" s="294"/>
      <c r="K60" s="294"/>
      <c r="L60" s="1365"/>
      <c r="M60" s="1366"/>
      <c r="N60" s="1366"/>
      <c r="O60" s="1366"/>
      <c r="P60" s="1366"/>
      <c r="Q60" s="290"/>
    </row>
    <row r="61" spans="1:17">
      <c r="A61" s="294"/>
      <c r="B61" s="308" t="s">
        <v>167</v>
      </c>
      <c r="C61" s="389" t="s">
        <v>319</v>
      </c>
      <c r="D61" s="308" t="s">
        <v>320</v>
      </c>
      <c r="E61" s="300" t="s">
        <v>65</v>
      </c>
      <c r="F61" s="300"/>
      <c r="G61" s="306" t="s">
        <v>321</v>
      </c>
      <c r="H61" s="300"/>
      <c r="I61" s="306" t="s">
        <v>322</v>
      </c>
      <c r="J61" s="300"/>
      <c r="K61" s="308"/>
      <c r="L61" s="1365"/>
      <c r="M61" s="1366"/>
      <c r="N61" s="1366"/>
      <c r="O61" s="1366"/>
      <c r="P61" s="1366"/>
      <c r="Q61" s="290"/>
    </row>
    <row r="62" spans="1:17">
      <c r="A62" s="294"/>
      <c r="B62" s="357"/>
      <c r="C62" s="391"/>
      <c r="D62" s="300"/>
      <c r="E62" s="300"/>
      <c r="F62" s="314"/>
      <c r="G62" s="367"/>
      <c r="H62" s="314"/>
      <c r="I62" s="392" t="s">
        <v>923</v>
      </c>
      <c r="J62" s="300"/>
      <c r="K62" s="308"/>
      <c r="L62" s="1365"/>
      <c r="M62" s="1366"/>
      <c r="N62" s="1366"/>
      <c r="O62" s="1366"/>
      <c r="P62" s="1366"/>
      <c r="Q62" s="290"/>
    </row>
    <row r="63" spans="1:17">
      <c r="A63" s="296" t="s">
        <v>323</v>
      </c>
      <c r="B63" s="357"/>
      <c r="C63" s="393" t="s">
        <v>156</v>
      </c>
      <c r="D63" s="364" t="s">
        <v>351</v>
      </c>
      <c r="E63" s="365"/>
      <c r="F63" s="1909" t="s">
        <v>652</v>
      </c>
      <c r="G63" s="1909"/>
      <c r="H63" s="394"/>
      <c r="I63" s="367" t="s">
        <v>353</v>
      </c>
      <c r="J63" s="300"/>
      <c r="K63" s="308"/>
      <c r="L63" s="1365"/>
      <c r="M63" s="1366"/>
      <c r="N63" s="1366"/>
      <c r="O63" s="1366"/>
      <c r="P63" s="1366"/>
      <c r="Q63" s="290"/>
    </row>
    <row r="64" spans="1:17" ht="13.8" thickBot="1">
      <c r="A64" s="310" t="s">
        <v>325</v>
      </c>
      <c r="B64" s="366" t="s">
        <v>354</v>
      </c>
      <c r="C64" s="314"/>
      <c r="D64" s="300"/>
      <c r="E64" s="300"/>
      <c r="F64" s="314"/>
      <c r="G64" s="314"/>
      <c r="H64" s="314"/>
      <c r="I64" s="314"/>
      <c r="J64" s="300"/>
      <c r="K64" s="300"/>
      <c r="L64" s="1365"/>
      <c r="M64" s="1366"/>
      <c r="N64" s="1366"/>
      <c r="O64" s="1366"/>
      <c r="P64" s="1366"/>
      <c r="Q64" s="290"/>
    </row>
    <row r="65" spans="1:17">
      <c r="A65" s="367"/>
      <c r="B65" s="313" t="s">
        <v>355</v>
      </c>
      <c r="C65" s="314"/>
      <c r="D65" s="314"/>
      <c r="E65" s="314"/>
      <c r="F65" s="314"/>
      <c r="G65" s="314"/>
      <c r="H65" s="314"/>
      <c r="I65" s="314"/>
      <c r="J65" s="314"/>
      <c r="K65" s="314"/>
      <c r="L65" s="1365"/>
      <c r="M65" s="1366"/>
      <c r="N65" s="1366"/>
      <c r="O65" s="1366"/>
      <c r="P65" s="1366"/>
      <c r="Q65" s="290"/>
    </row>
    <row r="66" spans="1:17">
      <c r="A66" s="367">
        <v>1</v>
      </c>
      <c r="B66" s="738" t="s">
        <v>610</v>
      </c>
      <c r="C66" s="314" t="str">
        <f>+"WP04 PIS Line "&amp;IF($L$10=0,'WP04 PIS'!A$21,'WP04 PIS'!A$23)&amp;" Column "&amp;'WP04 PIS'!D$5</f>
        <v>WP04 PIS Line 16 Column C</v>
      </c>
      <c r="D66" s="312">
        <f>IF($L$10=0,'WP04 PIS'!D$21,'WP04 PIS'!D$23)</f>
        <v>10864868271.48</v>
      </c>
      <c r="E66" s="314"/>
      <c r="F66" s="314" t="s">
        <v>330</v>
      </c>
      <c r="G66" s="368" t="s">
        <v>65</v>
      </c>
      <c r="H66" s="314"/>
      <c r="I66" s="312"/>
      <c r="J66" s="314"/>
      <c r="K66" s="331"/>
      <c r="L66" s="1369"/>
      <c r="M66" s="1365"/>
      <c r="N66" s="1365"/>
      <c r="O66" s="1365"/>
      <c r="P66" s="1366"/>
      <c r="Q66" s="290"/>
    </row>
    <row r="67" spans="1:17">
      <c r="A67" s="367">
        <f>+A66+1</f>
        <v>2</v>
      </c>
      <c r="B67" s="738" t="s">
        <v>135</v>
      </c>
      <c r="C67" s="314" t="str">
        <f>+"WP04 PIS Line "&amp;IF($L$10=0,'WP04 PIS'!A$21,'WP04 PIS'!A$23)&amp;" Column "&amp;'WP04 PIS'!G$5</f>
        <v>WP04 PIS Line 16 Column F</v>
      </c>
      <c r="D67" s="312">
        <f>IF($L$10=0,'WP04 PIS'!G$21,'WP04 PIS'!G$23)</f>
        <v>2945924806.4499998</v>
      </c>
      <c r="E67" s="314"/>
      <c r="F67" s="314" t="s">
        <v>356</v>
      </c>
      <c r="G67" s="318">
        <f>+TP</f>
        <v>0.87949694543557011</v>
      </c>
      <c r="H67" s="319"/>
      <c r="I67" s="312">
        <f>+G67*D67</f>
        <v>2590931868.7556481</v>
      </c>
      <c r="J67" s="314"/>
      <c r="K67" s="331"/>
      <c r="L67" s="1366"/>
      <c r="M67" s="1365">
        <f>+D67</f>
        <v>2945924806.4499998</v>
      </c>
      <c r="N67" s="1365">
        <f>+D67-M67</f>
        <v>0</v>
      </c>
      <c r="O67" s="1365"/>
      <c r="P67" s="1365"/>
      <c r="Q67" s="290"/>
    </row>
    <row r="68" spans="1:17">
      <c r="A68" s="367" t="str">
        <f>+A67&amp;"a"</f>
        <v>2a</v>
      </c>
      <c r="B68" s="738" t="s">
        <v>736</v>
      </c>
      <c r="C68" s="314" t="str">
        <f>+"Appendix A Line "&amp;'Appendix A'!A41&amp;" "&amp;$L$6&amp;" Column"</f>
        <v>Appendix A Line 20 Projected Column</v>
      </c>
      <c r="D68" s="312">
        <f>IF($L$10=0,'Appendix A'!H41,'Appendix A'!G41)</f>
        <v>89762116.36083357</v>
      </c>
      <c r="E68" s="314"/>
      <c r="F68" s="314" t="s">
        <v>356</v>
      </c>
      <c r="G68" s="318">
        <f>+TP</f>
        <v>0.87949694543557011</v>
      </c>
      <c r="H68" s="319"/>
      <c r="I68" s="312">
        <f>+G68*D68</f>
        <v>78945507.155185342</v>
      </c>
      <c r="J68" s="314"/>
      <c r="K68" s="331"/>
      <c r="L68" s="1370"/>
      <c r="M68" s="1365">
        <f>+D68</f>
        <v>89762116.36083357</v>
      </c>
      <c r="N68" s="1365"/>
      <c r="O68" s="1365"/>
      <c r="P68" s="1365"/>
      <c r="Q68" s="290"/>
    </row>
    <row r="69" spans="1:17">
      <c r="A69" s="367">
        <f>+A67+1</f>
        <v>3</v>
      </c>
      <c r="B69" s="738" t="s">
        <v>611</v>
      </c>
      <c r="C69" s="314" t="str">
        <f>+"WP04 PIS Line "&amp;IF($L$10=0,'WP04 PIS'!A$21,'WP04 PIS'!A$23)&amp;" Column "&amp;'WP04 PIS'!J$5</f>
        <v>WP04 PIS Line 16 Column I</v>
      </c>
      <c r="D69" s="312">
        <f>IF($L$10=0,'WP04 PIS'!J$21,'WP04 PIS'!J$23)</f>
        <v>3949906177.5700002</v>
      </c>
      <c r="E69" s="314"/>
      <c r="F69" s="314" t="s">
        <v>330</v>
      </c>
      <c r="G69" s="318" t="s">
        <v>65</v>
      </c>
      <c r="H69" s="319"/>
      <c r="I69" s="312"/>
      <c r="J69" s="314"/>
      <c r="K69" s="331"/>
      <c r="L69" s="1369"/>
      <c r="M69" s="1365"/>
      <c r="N69" s="1365"/>
      <c r="O69" s="1365"/>
      <c r="P69" s="1365"/>
      <c r="Q69" s="290"/>
    </row>
    <row r="70" spans="1:17">
      <c r="A70" s="367">
        <f t="shared" ref="A70:A110" si="1">+A69+1</f>
        <v>4</v>
      </c>
      <c r="B70" s="738" t="s">
        <v>603</v>
      </c>
      <c r="C70" s="314" t="str">
        <f>+"WP04 PIS Line "&amp;IF($L$10=0,'WP04 PIS'!A$21,'WP04 PIS'!A$23)&amp;" Column "&amp;'WP04 PIS'!C$5&amp;" &amp; "&amp;'WP04 PIS'!K5</f>
        <v>WP04 PIS Line 16 Column B &amp; J</v>
      </c>
      <c r="D70" s="312">
        <f>IF($L$10=0,('WP04 PIS'!C$21+'WP04 PIS'!K$21),('WP04 PIS'!C$23+'WP04 PIS'!K$23))</f>
        <v>835639573.99000001</v>
      </c>
      <c r="E70" s="314"/>
      <c r="F70" s="314" t="s">
        <v>357</v>
      </c>
      <c r="G70" s="318">
        <f>+WS</f>
        <v>6.4443581655153404E-2</v>
      </c>
      <c r="H70" s="319"/>
      <c r="I70" s="312">
        <f>+G70*D70</f>
        <v>53851607.12070217</v>
      </c>
      <c r="J70" s="314"/>
      <c r="K70" s="331"/>
      <c r="L70" s="1371">
        <f>(D197+D198)/D201</f>
        <v>7.3273229645201082E-2</v>
      </c>
      <c r="M70" s="1365">
        <f>+D70*L70</f>
        <v>61230010.405587271</v>
      </c>
      <c r="N70" s="1365"/>
      <c r="O70" s="1365"/>
      <c r="P70" s="1365"/>
      <c r="Q70" s="290"/>
    </row>
    <row r="71" spans="1:17" ht="13.8" thickBot="1">
      <c r="A71" s="367">
        <f t="shared" si="1"/>
        <v>5</v>
      </c>
      <c r="B71" s="738" t="s">
        <v>843</v>
      </c>
      <c r="C71" s="314"/>
      <c r="D71" s="370"/>
      <c r="E71" s="314"/>
      <c r="F71" s="314"/>
      <c r="G71" s="318"/>
      <c r="H71" s="319"/>
      <c r="I71" s="370"/>
      <c r="J71" s="314"/>
      <c r="K71" s="331"/>
      <c r="L71" s="1372"/>
      <c r="M71" s="1365"/>
      <c r="N71" s="1365"/>
      <c r="O71" s="1365"/>
      <c r="P71" s="1365"/>
      <c r="Q71" s="290"/>
    </row>
    <row r="72" spans="1:17">
      <c r="A72" s="367">
        <f t="shared" si="1"/>
        <v>6</v>
      </c>
      <c r="B72" s="297" t="s">
        <v>358</v>
      </c>
      <c r="C72" s="304" t="str">
        <f>+"(Sum of Line "&amp;A66&amp;" to Line "&amp;A71&amp;")"</f>
        <v>(Sum of Line 1 to Line 5)</v>
      </c>
      <c r="D72" s="312">
        <f>SUM(D66:D71)</f>
        <v>18686100945.850838</v>
      </c>
      <c r="E72" s="314"/>
      <c r="F72" s="314"/>
      <c r="G72" s="371"/>
      <c r="H72" s="319"/>
      <c r="I72" s="312">
        <f>SUM(I66:I71)</f>
        <v>2723728983.0315356</v>
      </c>
      <c r="J72" s="314"/>
      <c r="K72" s="331"/>
      <c r="L72" s="1373"/>
      <c r="M72" s="1365">
        <f>+M67+M68+M70</f>
        <v>3096916933.2164207</v>
      </c>
      <c r="N72" s="1365"/>
      <c r="O72" s="1365"/>
      <c r="P72" s="1365"/>
      <c r="Q72" s="290"/>
    </row>
    <row r="73" spans="1:17">
      <c r="A73" s="367"/>
      <c r="B73" s="313"/>
      <c r="C73" s="314"/>
      <c r="D73" s="312"/>
      <c r="E73" s="314"/>
      <c r="F73" s="314"/>
      <c r="G73" s="372"/>
      <c r="H73" s="314"/>
      <c r="I73" s="312"/>
      <c r="J73" s="314"/>
      <c r="K73" s="331"/>
      <c r="L73" s="1370"/>
      <c r="M73" s="1365"/>
      <c r="N73" s="1365"/>
      <c r="O73" s="1365"/>
      <c r="P73" s="1365"/>
      <c r="Q73" s="290"/>
    </row>
    <row r="74" spans="1:17">
      <c r="A74" s="367"/>
      <c r="B74" s="313" t="s">
        <v>359</v>
      </c>
      <c r="C74" s="314"/>
      <c r="D74" s="312"/>
      <c r="E74" s="314"/>
      <c r="F74" s="314"/>
      <c r="G74" s="373"/>
      <c r="H74" s="314"/>
      <c r="I74" s="312"/>
      <c r="J74" s="314"/>
      <c r="K74" s="331"/>
      <c r="L74" s="1369"/>
      <c r="M74" s="1365"/>
      <c r="N74" s="1365"/>
      <c r="O74" s="1365"/>
      <c r="P74" s="1365"/>
      <c r="Q74" s="290"/>
    </row>
    <row r="75" spans="1:17">
      <c r="A75" s="367">
        <f>+A72+1</f>
        <v>7</v>
      </c>
      <c r="B75" s="738" t="s">
        <v>610</v>
      </c>
      <c r="C75" s="314" t="str">
        <f>+"WP04 PIS Line "&amp;IF($L$10=0,'WP04 PIS'!A$40,'WP04 PIS'!A$42)&amp;" Column "&amp;'WP04 PIS'!D$5</f>
        <v>WP04 PIS Line 35 Column C</v>
      </c>
      <c r="D75" s="312">
        <f>IF($L$10=0,'WP04 PIS'!D$40,'WP04 PIS'!D$42)</f>
        <v>5660527883</v>
      </c>
      <c r="E75" s="314"/>
      <c r="F75" s="314" t="s">
        <v>330</v>
      </c>
      <c r="G75" s="373" t="s">
        <v>65</v>
      </c>
      <c r="H75" s="314"/>
      <c r="I75" s="312"/>
      <c r="J75" s="314"/>
      <c r="K75" s="331"/>
      <c r="L75" s="1374"/>
      <c r="M75" s="1365"/>
      <c r="N75" s="1365"/>
      <c r="O75" s="1365"/>
      <c r="P75" s="1365"/>
      <c r="Q75" s="290"/>
    </row>
    <row r="76" spans="1:17">
      <c r="A76" s="367">
        <f t="shared" si="1"/>
        <v>8</v>
      </c>
      <c r="B76" s="738" t="s">
        <v>135</v>
      </c>
      <c r="C76" s="314" t="str">
        <f>+"WP04 PIS Line "&amp;IF($L$10=0,'WP04 PIS'!A$40,'WP04 PIS'!A$42)&amp;" Column "&amp;'WP04 PIS'!G$5</f>
        <v>WP04 PIS Line 35 Column F</v>
      </c>
      <c r="D76" s="312">
        <f>IF($L$10=0,'WP04 PIS'!G$40,'WP04 PIS'!G$42)</f>
        <v>1045526805</v>
      </c>
      <c r="E76" s="314"/>
      <c r="F76" s="314" t="s">
        <v>356</v>
      </c>
      <c r="G76" s="318">
        <f>+TP</f>
        <v>0.87949694543557011</v>
      </c>
      <c r="H76" s="319"/>
      <c r="I76" s="312">
        <f>+G76*D76</f>
        <v>919537631.36851096</v>
      </c>
      <c r="J76" s="314"/>
      <c r="K76" s="331"/>
      <c r="L76" s="1369"/>
      <c r="M76" s="1365">
        <f>+D76</f>
        <v>1045526805</v>
      </c>
      <c r="N76" s="1365">
        <f>+D76-M76</f>
        <v>0</v>
      </c>
      <c r="O76" s="1365"/>
      <c r="P76" s="1365"/>
      <c r="Q76" s="290"/>
    </row>
    <row r="77" spans="1:17">
      <c r="A77" s="367" t="str">
        <f>+A76&amp;"a"</f>
        <v>8a</v>
      </c>
      <c r="B77" s="738" t="s">
        <v>736</v>
      </c>
      <c r="C77" s="314"/>
      <c r="D77" s="312"/>
      <c r="E77" s="314"/>
      <c r="F77" s="314"/>
      <c r="G77" s="318"/>
      <c r="H77" s="319"/>
      <c r="I77" s="312"/>
      <c r="J77" s="314"/>
      <c r="K77" s="331"/>
      <c r="L77" s="1369"/>
      <c r="M77" s="1365"/>
      <c r="N77" s="1365"/>
      <c r="O77" s="1365"/>
      <c r="P77" s="1365"/>
      <c r="Q77" s="290"/>
    </row>
    <row r="78" spans="1:17">
      <c r="A78" s="367">
        <f>+A76+1</f>
        <v>9</v>
      </c>
      <c r="B78" s="738" t="s">
        <v>611</v>
      </c>
      <c r="C78" s="314" t="str">
        <f>+"WP04 PIS Line "&amp;IF($L$10=0,'WP04 PIS'!A$40,'WP04 PIS'!A$42)&amp;" Column "&amp;'WP04 PIS'!J$5</f>
        <v>WP04 PIS Line 35 Column I</v>
      </c>
      <c r="D78" s="312">
        <f>IF($L$10=0,'WP04 PIS'!J$40,'WP04 PIS'!J$42)</f>
        <v>1325651776</v>
      </c>
      <c r="E78" s="314"/>
      <c r="F78" s="314" t="s">
        <v>330</v>
      </c>
      <c r="G78" s="318" t="str">
        <f>+G69</f>
        <v xml:space="preserve"> </v>
      </c>
      <c r="H78" s="319"/>
      <c r="I78" s="312" t="s">
        <v>65</v>
      </c>
      <c r="J78" s="314"/>
      <c r="K78" s="331"/>
      <c r="L78" s="1369"/>
      <c r="M78" s="1365"/>
      <c r="N78" s="1365"/>
      <c r="O78" s="1365"/>
      <c r="P78" s="1365"/>
      <c r="Q78" s="290"/>
    </row>
    <row r="79" spans="1:17">
      <c r="A79" s="367">
        <f t="shared" si="1"/>
        <v>10</v>
      </c>
      <c r="B79" s="738" t="s">
        <v>603</v>
      </c>
      <c r="C79" s="314" t="str">
        <f>+"WP04 PIS Line "&amp;IF($L$10=0,'WP04 PIS'!A$40,'WP04 PIS'!A$42)&amp;" Column "&amp;'WP04 PIS'!C$5&amp;" &amp; "&amp;'WP04 PIS'!K5</f>
        <v>WP04 PIS Line 35 Column B &amp; J</v>
      </c>
      <c r="D79" s="312">
        <f>IF($L$10=0,('WP04 PIS'!C$40+'WP04 PIS'!K$40),('WP04 PIS'!C$42+'WP04 PIS'!K$42))</f>
        <v>535918133</v>
      </c>
      <c r="E79" s="314"/>
      <c r="F79" s="314" t="s">
        <v>357</v>
      </c>
      <c r="G79" s="318">
        <f>+WS</f>
        <v>6.4443581655153404E-2</v>
      </c>
      <c r="H79" s="319"/>
      <c r="I79" s="312">
        <f>+G79*D79</f>
        <v>34536483.964462861</v>
      </c>
      <c r="J79" s="314"/>
      <c r="K79" s="331"/>
      <c r="L79" s="1371">
        <f>+L70</f>
        <v>7.3273229645201082E-2</v>
      </c>
      <c r="M79" s="1365">
        <f>+D79*L79</f>
        <v>39268452.430336416</v>
      </c>
      <c r="N79" s="1365"/>
      <c r="O79" s="1365"/>
      <c r="P79" s="1365"/>
      <c r="Q79" s="290"/>
    </row>
    <row r="80" spans="1:17" ht="13.8" thickBot="1">
      <c r="A80" s="367">
        <f t="shared" si="1"/>
        <v>11</v>
      </c>
      <c r="B80" s="738" t="s">
        <v>843</v>
      </c>
      <c r="C80" s="314"/>
      <c r="D80" s="370"/>
      <c r="E80" s="314"/>
      <c r="F80" s="320"/>
      <c r="G80" s="318"/>
      <c r="H80" s="319"/>
      <c r="I80" s="370"/>
      <c r="J80" s="314"/>
      <c r="K80" s="331"/>
      <c r="L80" s="1369"/>
      <c r="M80" s="1365"/>
      <c r="N80" s="1365"/>
      <c r="O80" s="1365"/>
      <c r="P80" s="1365"/>
      <c r="Q80" s="290"/>
    </row>
    <row r="81" spans="1:17">
      <c r="A81" s="367">
        <f t="shared" si="1"/>
        <v>12</v>
      </c>
      <c r="B81" s="313" t="s">
        <v>360</v>
      </c>
      <c r="C81" s="304" t="str">
        <f>+"(Sum of Line "&amp;A75&amp;" to Line "&amp;A80&amp;")"</f>
        <v>(Sum of Line 7 to Line 11)</v>
      </c>
      <c r="D81" s="312">
        <f>SUM(D75:D80)</f>
        <v>8567624597</v>
      </c>
      <c r="E81" s="314"/>
      <c r="F81" s="314"/>
      <c r="G81" s="320"/>
      <c r="H81" s="319"/>
      <c r="I81" s="312">
        <f>SUM(I75:I80)</f>
        <v>954074115.33297384</v>
      </c>
      <c r="J81" s="314"/>
      <c r="K81" s="331"/>
      <c r="L81" s="1369"/>
      <c r="M81" s="1365">
        <f>+M76+M79</f>
        <v>1084795257.4303365</v>
      </c>
      <c r="N81" s="1365"/>
      <c r="O81" s="1365"/>
      <c r="P81" s="1365"/>
      <c r="Q81" s="290"/>
    </row>
    <row r="82" spans="1:17">
      <c r="A82" s="367"/>
      <c r="B82" s="325"/>
      <c r="C82" s="314" t="s">
        <v>65</v>
      </c>
      <c r="D82" s="312"/>
      <c r="E82" s="314"/>
      <c r="F82" s="314"/>
      <c r="G82" s="350"/>
      <c r="H82" s="314"/>
      <c r="I82" s="312"/>
      <c r="J82" s="314"/>
      <c r="K82" s="331"/>
      <c r="L82" s="1370"/>
      <c r="M82" s="1365"/>
      <c r="N82" s="1365"/>
      <c r="O82" s="1365"/>
      <c r="P82" s="1365"/>
      <c r="Q82" s="290"/>
    </row>
    <row r="83" spans="1:17">
      <c r="A83" s="367"/>
      <c r="B83" s="313" t="s">
        <v>361</v>
      </c>
      <c r="C83" s="314"/>
      <c r="D83" s="312"/>
      <c r="E83" s="314"/>
      <c r="F83" s="314"/>
      <c r="G83" s="320"/>
      <c r="H83" s="314"/>
      <c r="I83" s="312"/>
      <c r="J83" s="314"/>
      <c r="K83" s="331"/>
      <c r="L83" s="1369"/>
      <c r="M83" s="1365"/>
      <c r="N83" s="1365"/>
      <c r="O83" s="1365"/>
      <c r="P83" s="1365"/>
      <c r="Q83" s="290"/>
    </row>
    <row r="84" spans="1:17">
      <c r="A84" s="367">
        <f>+A81+1</f>
        <v>13</v>
      </c>
      <c r="B84" s="738" t="s">
        <v>610</v>
      </c>
      <c r="C84" s="314" t="str">
        <f>"(Line "&amp;A66&amp;" - Line "&amp;A75&amp;")"</f>
        <v>(Line 1 - Line 7)</v>
      </c>
      <c r="D84" s="312">
        <f t="shared" ref="D84:D88" si="2">D66-D75</f>
        <v>5204340388.4799995</v>
      </c>
      <c r="E84" s="319"/>
      <c r="F84" s="319"/>
      <c r="G84" s="350"/>
      <c r="H84" s="319"/>
      <c r="I84" s="312" t="s">
        <v>65</v>
      </c>
      <c r="J84" s="314"/>
      <c r="K84" s="331"/>
      <c r="L84" s="1370"/>
      <c r="M84" s="1365"/>
      <c r="N84" s="1365"/>
      <c r="O84" s="1365"/>
      <c r="P84" s="1365"/>
      <c r="Q84" s="290"/>
    </row>
    <row r="85" spans="1:17">
      <c r="A85" s="367">
        <f t="shared" si="1"/>
        <v>14</v>
      </c>
      <c r="B85" s="738" t="s">
        <v>135</v>
      </c>
      <c r="C85" s="314" t="str">
        <f>"(Line "&amp;A67&amp;" - Line "&amp;A76&amp;")"</f>
        <v>(Line 2 - Line 8)</v>
      </c>
      <c r="D85" s="312">
        <f t="shared" si="2"/>
        <v>1900398001.4499998</v>
      </c>
      <c r="E85" s="319"/>
      <c r="F85" s="319"/>
      <c r="G85" s="320"/>
      <c r="H85" s="319"/>
      <c r="I85" s="312">
        <f>I67-I76</f>
        <v>1671394237.3871372</v>
      </c>
      <c r="J85" s="314"/>
      <c r="K85" s="331"/>
      <c r="L85" s="1370"/>
      <c r="M85" s="1365">
        <f t="shared" ref="M85:M86" si="3">M67-M76</f>
        <v>1900398001.4499998</v>
      </c>
      <c r="N85" s="1365">
        <f>+D85-M85</f>
        <v>0</v>
      </c>
      <c r="O85" s="1365"/>
      <c r="P85" s="1365"/>
      <c r="Q85" s="290"/>
    </row>
    <row r="86" spans="1:17">
      <c r="A86" s="367" t="str">
        <f>+A85&amp;"a"</f>
        <v>14a</v>
      </c>
      <c r="B86" s="738" t="s">
        <v>736</v>
      </c>
      <c r="C86" s="314" t="str">
        <f>"(Line "&amp;A68&amp;" - Line "&amp;A77&amp;")"</f>
        <v>(Line 2a - Line 8a)</v>
      </c>
      <c r="D86" s="312">
        <f t="shared" si="2"/>
        <v>89762116.36083357</v>
      </c>
      <c r="E86" s="319"/>
      <c r="F86" s="319"/>
      <c r="G86" s="320"/>
      <c r="H86" s="319"/>
      <c r="I86" s="312">
        <f>I68-I77</f>
        <v>78945507.155185342</v>
      </c>
      <c r="J86" s="314"/>
      <c r="K86" s="331"/>
      <c r="L86" s="1370"/>
      <c r="M86" s="1365">
        <f t="shared" si="3"/>
        <v>89762116.36083357</v>
      </c>
      <c r="N86" s="1365"/>
      <c r="O86" s="1365"/>
      <c r="P86" s="1365"/>
      <c r="Q86" s="290"/>
    </row>
    <row r="87" spans="1:17">
      <c r="A87" s="367">
        <f>+A85+1</f>
        <v>15</v>
      </c>
      <c r="B87" s="738" t="s">
        <v>611</v>
      </c>
      <c r="C87" s="314" t="str">
        <f>"(Line "&amp;A69&amp;" - Line "&amp;A78&amp;")"</f>
        <v>(Line 3 - Line 9)</v>
      </c>
      <c r="D87" s="312">
        <f t="shared" si="2"/>
        <v>2624254401.5700002</v>
      </c>
      <c r="E87" s="319"/>
      <c r="F87" s="319"/>
      <c r="G87" s="350"/>
      <c r="H87" s="319"/>
      <c r="I87" s="312" t="s">
        <v>65</v>
      </c>
      <c r="J87" s="314"/>
      <c r="K87" s="331"/>
      <c r="L87" s="1370"/>
      <c r="M87" s="1365"/>
      <c r="N87" s="1365"/>
      <c r="O87" s="1365"/>
      <c r="P87" s="1365"/>
      <c r="Q87" s="290"/>
    </row>
    <row r="88" spans="1:17">
      <c r="A88" s="367">
        <f t="shared" si="1"/>
        <v>16</v>
      </c>
      <c r="B88" s="738" t="s">
        <v>603</v>
      </c>
      <c r="C88" s="314" t="str">
        <f>"(Line "&amp;A70&amp;" - Line "&amp;A79&amp;")"</f>
        <v>(Line 4 - Line 10)</v>
      </c>
      <c r="D88" s="312">
        <f t="shared" si="2"/>
        <v>299721440.99000001</v>
      </c>
      <c r="E88" s="319"/>
      <c r="F88" s="319"/>
      <c r="G88" s="350"/>
      <c r="H88" s="319"/>
      <c r="I88" s="312">
        <f>I70-I79</f>
        <v>19315123.156239308</v>
      </c>
      <c r="J88" s="314"/>
      <c r="K88" s="331"/>
      <c r="L88" s="1370"/>
      <c r="M88" s="1365">
        <f>M70-M79</f>
        <v>21961557.975250855</v>
      </c>
      <c r="N88" s="1365"/>
      <c r="O88" s="1365"/>
      <c r="P88" s="1365"/>
      <c r="Q88" s="290"/>
    </row>
    <row r="89" spans="1:17" ht="13.8" thickBot="1">
      <c r="A89" s="367">
        <f t="shared" si="1"/>
        <v>17</v>
      </c>
      <c r="B89" s="738" t="s">
        <v>843</v>
      </c>
      <c r="C89" s="314"/>
      <c r="D89" s="370"/>
      <c r="E89" s="319"/>
      <c r="F89" s="319"/>
      <c r="G89" s="350"/>
      <c r="H89" s="319"/>
      <c r="I89" s="370"/>
      <c r="J89" s="314"/>
      <c r="K89" s="331"/>
      <c r="L89" s="1370"/>
      <c r="M89" s="1365"/>
      <c r="N89" s="1365"/>
      <c r="O89" s="1365"/>
      <c r="P89" s="1365"/>
      <c r="Q89" s="290"/>
    </row>
    <row r="90" spans="1:17">
      <c r="A90" s="367">
        <f t="shared" si="1"/>
        <v>18</v>
      </c>
      <c r="B90" s="313" t="s">
        <v>362</v>
      </c>
      <c r="C90" s="304" t="str">
        <f>+"(Sum of Line "&amp;A84&amp;" to Line "&amp;A89&amp;")"</f>
        <v>(Sum of Line 13 to Line 17)</v>
      </c>
      <c r="D90" s="312">
        <f>SUM(D84:D89)</f>
        <v>10118476348.850832</v>
      </c>
      <c r="E90" s="319"/>
      <c r="F90" s="319"/>
      <c r="G90" s="371"/>
      <c r="H90" s="319"/>
      <c r="I90" s="312">
        <f>SUM(I84:I89)</f>
        <v>1769654867.6985619</v>
      </c>
      <c r="J90" s="314"/>
      <c r="K90" s="331"/>
      <c r="L90" s="1369"/>
      <c r="M90" s="1365">
        <f>SUM(M84:M89)</f>
        <v>2012121675.7860844</v>
      </c>
      <c r="N90" s="1365"/>
      <c r="O90" s="1365"/>
      <c r="P90" s="1365"/>
      <c r="Q90" s="290"/>
    </row>
    <row r="91" spans="1:17">
      <c r="A91" s="367"/>
      <c r="B91" s="313"/>
      <c r="C91" s="314"/>
      <c r="D91" s="312"/>
      <c r="E91" s="319"/>
      <c r="F91" s="319"/>
      <c r="G91" s="350"/>
      <c r="H91" s="319"/>
      <c r="I91" s="312"/>
      <c r="J91" s="314"/>
      <c r="K91" s="331"/>
      <c r="L91" s="1369"/>
      <c r="M91" s="1365"/>
      <c r="N91" s="1365"/>
      <c r="O91" s="1365"/>
      <c r="P91" s="1365"/>
      <c r="Q91" s="290"/>
    </row>
    <row r="92" spans="1:17" s="378" customFormat="1">
      <c r="A92" s="367" t="s">
        <v>643</v>
      </c>
      <c r="B92" s="1159" t="s">
        <v>843</v>
      </c>
      <c r="C92" s="376"/>
      <c r="D92" s="1160"/>
      <c r="E92" s="1161"/>
      <c r="F92" s="374"/>
      <c r="G92" s="1162"/>
      <c r="H92" s="374"/>
      <c r="I92" s="375"/>
      <c r="J92" s="376"/>
      <c r="K92" s="377"/>
      <c r="L92" s="1375"/>
      <c r="M92" s="1376"/>
      <c r="N92" s="1376"/>
      <c r="O92" s="1376"/>
      <c r="P92" s="1376"/>
    </row>
    <row r="93" spans="1:17">
      <c r="A93" s="367"/>
      <c r="B93" s="325"/>
      <c r="C93" s="314"/>
      <c r="D93" s="1458"/>
      <c r="E93" s="376"/>
      <c r="F93" s="1459"/>
      <c r="G93" s="325"/>
      <c r="H93" s="314"/>
      <c r="I93" s="312"/>
      <c r="J93" s="314"/>
      <c r="K93" s="331"/>
      <c r="L93" s="1370"/>
      <c r="M93" s="1365"/>
      <c r="N93" s="1365"/>
      <c r="O93" s="1365"/>
      <c r="P93" s="1365"/>
      <c r="Q93" s="290"/>
    </row>
    <row r="94" spans="1:17">
      <c r="A94" s="367"/>
      <c r="B94" s="297" t="s">
        <v>363</v>
      </c>
      <c r="C94" s="314"/>
      <c r="D94" s="312"/>
      <c r="E94" s="314"/>
      <c r="F94" s="314"/>
      <c r="G94" s="314"/>
      <c r="H94" s="314"/>
      <c r="I94" s="312"/>
      <c r="J94" s="314"/>
      <c r="K94" s="331"/>
      <c r="L94" s="1369"/>
      <c r="M94" s="1365"/>
      <c r="N94" s="1365"/>
      <c r="O94" s="1365"/>
      <c r="P94" s="1365"/>
      <c r="Q94" s="290"/>
    </row>
    <row r="95" spans="1:17">
      <c r="A95" s="367">
        <f>+A90+1</f>
        <v>19</v>
      </c>
      <c r="B95" s="738" t="s">
        <v>143</v>
      </c>
      <c r="C95" s="314" t="str">
        <f>+"Appendix A Line "&amp;'Appendix A'!A75&amp;" "&amp;$L$6&amp;" Column"</f>
        <v>Appendix A Line 43 Projected Column</v>
      </c>
      <c r="D95" s="312">
        <f>IF($L$10=0,'Appendix A'!$H$75,'Appendix A'!$G$75)</f>
        <v>68371829.054579809</v>
      </c>
      <c r="E95" s="314"/>
      <c r="F95" s="314" t="s">
        <v>356</v>
      </c>
      <c r="G95" s="1352">
        <f>+TP</f>
        <v>0.87949694543557011</v>
      </c>
      <c r="H95" s="319"/>
      <c r="I95" s="312">
        <f>+G95*D95</f>
        <v>60132814.807345904</v>
      </c>
      <c r="J95" s="314"/>
      <c r="K95" s="331"/>
      <c r="L95" s="1370"/>
      <c r="M95" s="1365">
        <f>+D95</f>
        <v>68371829.054579809</v>
      </c>
      <c r="N95" s="1365"/>
      <c r="O95" s="1365"/>
      <c r="P95" s="1365"/>
      <c r="Q95" s="290"/>
    </row>
    <row r="96" spans="1:17">
      <c r="B96" s="331"/>
      <c r="C96" s="331"/>
      <c r="D96" s="331"/>
      <c r="E96" s="331"/>
      <c r="F96" s="331"/>
      <c r="G96" s="331"/>
      <c r="H96" s="331"/>
      <c r="I96" s="331"/>
      <c r="L96" s="1365"/>
      <c r="M96" s="1365"/>
      <c r="N96" s="1365"/>
      <c r="O96" s="1366"/>
      <c r="P96" s="1365"/>
    </row>
    <row r="97" spans="1:17">
      <c r="A97" s="367">
        <f>+A95+1</f>
        <v>20</v>
      </c>
      <c r="B97" s="738" t="s">
        <v>843</v>
      </c>
      <c r="C97" s="314"/>
      <c r="D97" s="375"/>
      <c r="E97" s="314"/>
      <c r="F97" s="314"/>
      <c r="G97" s="379"/>
      <c r="H97" s="319"/>
      <c r="I97" s="312"/>
      <c r="J97" s="314"/>
      <c r="K97" s="331"/>
      <c r="L97" s="1370"/>
      <c r="M97" s="1365"/>
      <c r="N97" s="1365"/>
      <c r="O97" s="1365"/>
      <c r="P97" s="1365"/>
      <c r="Q97" s="290"/>
    </row>
    <row r="98" spans="1:17">
      <c r="A98" s="367">
        <f t="shared" si="1"/>
        <v>21</v>
      </c>
      <c r="B98" s="738" t="s">
        <v>843</v>
      </c>
      <c r="C98" s="314"/>
      <c r="D98" s="375"/>
      <c r="E98" s="314"/>
      <c r="F98" s="314"/>
      <c r="G98" s="379"/>
      <c r="H98" s="319"/>
      <c r="I98" s="312"/>
      <c r="J98" s="314"/>
      <c r="K98" s="331"/>
      <c r="L98" s="1370"/>
      <c r="M98" s="1365"/>
      <c r="N98" s="1365"/>
      <c r="O98" s="1365"/>
      <c r="P98" s="1365"/>
      <c r="Q98" s="290"/>
    </row>
    <row r="99" spans="1:17">
      <c r="A99" s="367">
        <f>+A98+1</f>
        <v>22</v>
      </c>
      <c r="B99" s="744" t="s">
        <v>305</v>
      </c>
      <c r="C99" s="314" t="str">
        <f>+"Appendix A Line "&amp;+'Appendix A'!A87&amp;" "&amp;$L$6&amp;" Column"</f>
        <v>Appendix A Line 52 Projected Column</v>
      </c>
      <c r="D99" s="312">
        <f>IF($L$10=0,'Appendix A'!H87,'Appendix A'!G87)</f>
        <v>17465633.905629348</v>
      </c>
      <c r="E99" s="314"/>
      <c r="F99" s="314" t="s">
        <v>356</v>
      </c>
      <c r="G99" s="1352">
        <f>+TP</f>
        <v>0.87949694543557011</v>
      </c>
      <c r="H99" s="319"/>
      <c r="I99" s="375">
        <f>+D99*G99</f>
        <v>15360971.670096938</v>
      </c>
      <c r="J99" s="314"/>
      <c r="K99" s="331"/>
      <c r="L99" s="1370"/>
      <c r="M99" s="1365">
        <f>+D99</f>
        <v>17465633.905629348</v>
      </c>
      <c r="N99" s="1365"/>
      <c r="O99" s="1365"/>
      <c r="P99" s="1365"/>
      <c r="Q99" s="290"/>
    </row>
    <row r="100" spans="1:17">
      <c r="A100" s="367">
        <f>+A99+1</f>
        <v>23</v>
      </c>
      <c r="B100" s="738" t="s">
        <v>843</v>
      </c>
      <c r="C100" s="314"/>
      <c r="D100" s="312"/>
      <c r="E100" s="374"/>
      <c r="F100" s="314"/>
      <c r="G100" s="379"/>
      <c r="H100" s="319"/>
      <c r="I100" s="375"/>
      <c r="J100" s="331"/>
      <c r="K100" s="331"/>
      <c r="L100" s="1370"/>
      <c r="M100" s="1365"/>
      <c r="N100" s="1365"/>
      <c r="O100" s="1365"/>
      <c r="P100" s="1365"/>
      <c r="Q100" s="290"/>
    </row>
    <row r="101" spans="1:17" s="378" customFormat="1" ht="13.8" thickBot="1">
      <c r="A101" s="367" t="str">
        <f>+A100&amp;"a"</f>
        <v>23a</v>
      </c>
      <c r="B101" s="1163" t="s">
        <v>843</v>
      </c>
      <c r="C101" s="314"/>
      <c r="D101" s="370"/>
      <c r="E101" s="374"/>
      <c r="F101" s="374"/>
      <c r="G101" s="1162"/>
      <c r="H101" s="374"/>
      <c r="I101" s="370"/>
      <c r="J101" s="377"/>
      <c r="K101" s="377"/>
      <c r="L101" s="1377"/>
      <c r="M101" s="1376"/>
      <c r="N101" s="1376"/>
      <c r="O101" s="1376"/>
      <c r="P101" s="1376"/>
    </row>
    <row r="102" spans="1:17">
      <c r="A102" s="367">
        <f>+A100+1</f>
        <v>24</v>
      </c>
      <c r="B102" s="313" t="s">
        <v>364</v>
      </c>
      <c r="C102" s="304" t="str">
        <f>+"(Sum of Line "&amp;A95&amp;" to Line "&amp;A101&amp;")"</f>
        <v>(Sum of Line 19 to Line 23a)</v>
      </c>
      <c r="D102" s="312">
        <f>SUM(D95:D101)</f>
        <v>85837462.960209161</v>
      </c>
      <c r="E102" s="314"/>
      <c r="F102" s="314"/>
      <c r="G102" s="319"/>
      <c r="H102" s="319"/>
      <c r="I102" s="312">
        <f>SUM(I95:I101)</f>
        <v>75493786.477442846</v>
      </c>
      <c r="J102" s="314"/>
      <c r="K102" s="331"/>
      <c r="L102" s="1369"/>
      <c r="M102" s="1365">
        <f>+D102</f>
        <v>85837462.960209161</v>
      </c>
      <c r="N102" s="1365"/>
      <c r="O102" s="1365"/>
      <c r="P102" s="1365"/>
      <c r="Q102" s="290"/>
    </row>
    <row r="103" spans="1:17">
      <c r="A103" s="367"/>
      <c r="B103" s="325"/>
      <c r="C103" s="314"/>
      <c r="D103" s="312"/>
      <c r="E103" s="314"/>
      <c r="F103" s="314"/>
      <c r="G103" s="380"/>
      <c r="H103" s="314"/>
      <c r="I103" s="312"/>
      <c r="J103" s="314"/>
      <c r="K103" s="331"/>
      <c r="L103" s="1370"/>
      <c r="M103" s="1365"/>
      <c r="N103" s="1365"/>
      <c r="O103" s="1365"/>
      <c r="P103" s="1365"/>
      <c r="Q103" s="290"/>
    </row>
    <row r="104" spans="1:17">
      <c r="A104" s="367">
        <f>+A102+1</f>
        <v>25</v>
      </c>
      <c r="B104" s="297" t="s">
        <v>365</v>
      </c>
      <c r="C104" s="314" t="str">
        <f>+"Appendix A Line "&amp;+'Appendix A'!A106&amp;" "&amp;$L$6&amp;" Column"</f>
        <v>Appendix A Line 66 Projected Column</v>
      </c>
      <c r="D104" s="312">
        <f>IF($L$10=0,'Appendix A'!H106,'Appendix A'!G106)</f>
        <v>2404681.41</v>
      </c>
      <c r="E104" s="314"/>
      <c r="F104" s="314" t="s">
        <v>356</v>
      </c>
      <c r="G104" s="318">
        <f>+TP</f>
        <v>0.87949694543557011</v>
      </c>
      <c r="H104" s="319"/>
      <c r="I104" s="312">
        <f>+G104*D104</f>
        <v>2114909.9548407001</v>
      </c>
      <c r="J104" s="314"/>
      <c r="K104" s="331"/>
      <c r="L104" s="1369"/>
      <c r="M104" s="1365">
        <f>+D104</f>
        <v>2404681.41</v>
      </c>
      <c r="N104" s="1365"/>
      <c r="O104" s="1365"/>
      <c r="P104" s="1365"/>
      <c r="Q104" s="290"/>
    </row>
    <row r="105" spans="1:17">
      <c r="A105" s="367"/>
      <c r="B105" s="313"/>
      <c r="C105" s="314"/>
      <c r="D105" s="312"/>
      <c r="E105" s="314"/>
      <c r="F105" s="314"/>
      <c r="G105" s="318"/>
      <c r="H105" s="319"/>
      <c r="I105" s="312"/>
      <c r="J105" s="314"/>
      <c r="K105" s="331"/>
      <c r="L105" s="1369"/>
      <c r="M105" s="1365"/>
      <c r="N105" s="1365"/>
      <c r="O105" s="1365"/>
      <c r="P105" s="1365"/>
      <c r="Q105" s="290"/>
    </row>
    <row r="106" spans="1:17">
      <c r="A106" s="367"/>
      <c r="B106" s="313" t="s">
        <v>366</v>
      </c>
      <c r="C106" s="314"/>
      <c r="D106" s="312"/>
      <c r="E106" s="314"/>
      <c r="F106" s="314"/>
      <c r="G106" s="318"/>
      <c r="H106" s="319"/>
      <c r="I106" s="312"/>
      <c r="J106" s="314"/>
      <c r="K106" s="331"/>
      <c r="L106" s="1369"/>
      <c r="M106" s="1365"/>
      <c r="N106" s="1365"/>
      <c r="O106" s="1365"/>
      <c r="P106" s="1365"/>
      <c r="Q106" s="290"/>
    </row>
    <row r="107" spans="1:17">
      <c r="A107" s="367">
        <f>+A104+1</f>
        <v>26</v>
      </c>
      <c r="B107" s="738" t="s">
        <v>843</v>
      </c>
      <c r="C107" s="325"/>
      <c r="D107" s="312"/>
      <c r="E107" s="314"/>
      <c r="F107" s="314"/>
      <c r="G107" s="381"/>
      <c r="H107" s="319"/>
      <c r="I107" s="312"/>
      <c r="J107" s="304"/>
      <c r="K107" s="331"/>
      <c r="L107" s="1370"/>
      <c r="M107" s="1365">
        <f>+I107</f>
        <v>0</v>
      </c>
      <c r="N107" s="1365"/>
      <c r="O107" s="1365"/>
      <c r="P107" s="1365"/>
      <c r="Q107" s="290"/>
    </row>
    <row r="108" spans="1:17">
      <c r="A108" s="367">
        <f t="shared" si="1"/>
        <v>27</v>
      </c>
      <c r="B108" s="738" t="s">
        <v>159</v>
      </c>
      <c r="C108" s="314" t="str">
        <f>+"Appendix A Line "&amp;+'Appendix A'!A94&amp;" "&amp;$L$6&amp;" Column"</f>
        <v>Appendix A Line 57 Projected Column</v>
      </c>
      <c r="D108" s="312">
        <f>IF($L$10=0,'Appendix A'!H94,'Appendix A'!G94)</f>
        <v>19588825.067524739</v>
      </c>
      <c r="E108" s="314"/>
      <c r="F108" s="314" t="s">
        <v>356</v>
      </c>
      <c r="G108" s="318">
        <f>+TP</f>
        <v>0.87949694543557011</v>
      </c>
      <c r="H108" s="319"/>
      <c r="I108" s="312">
        <f>+G108*D108</f>
        <v>17228311.811559733</v>
      </c>
      <c r="J108" s="314" t="s">
        <v>65</v>
      </c>
      <c r="K108" s="331"/>
      <c r="L108" s="1370"/>
      <c r="M108" s="1365">
        <f>+D108</f>
        <v>19588825.067524739</v>
      </c>
      <c r="N108" s="1365"/>
      <c r="O108" s="1365"/>
      <c r="P108" s="1365"/>
      <c r="Q108" s="290"/>
    </row>
    <row r="109" spans="1:17" ht="13.8" thickBot="1">
      <c r="A109" s="367">
        <f t="shared" si="1"/>
        <v>28</v>
      </c>
      <c r="B109" s="738" t="s">
        <v>609</v>
      </c>
      <c r="C109" s="314" t="str">
        <f>+"Appendix A Line "&amp;+'Appendix A'!A104&amp;" "&amp;$L$6&amp;" Column"</f>
        <v>Appendix A Line 65 Projected Column</v>
      </c>
      <c r="D109" s="370">
        <f>IF($L$10=0,'Appendix A'!H104,'Appendix A'!G104)</f>
        <v>1998078.7706256364</v>
      </c>
      <c r="E109" s="314"/>
      <c r="F109" s="314" t="s">
        <v>356</v>
      </c>
      <c r="G109" s="318">
        <f>+TP</f>
        <v>0.87949694543557011</v>
      </c>
      <c r="H109" s="319"/>
      <c r="I109" s="370">
        <f>+G109*D109</f>
        <v>1757304.1755049063</v>
      </c>
      <c r="J109" s="314"/>
      <c r="K109" s="331"/>
      <c r="L109" s="1370"/>
      <c r="M109" s="1378">
        <f>+D109</f>
        <v>1998078.7706256364</v>
      </c>
      <c r="N109" s="1365"/>
      <c r="O109" s="1365"/>
      <c r="P109" s="1365"/>
      <c r="Q109" s="290"/>
    </row>
    <row r="110" spans="1:17">
      <c r="A110" s="367">
        <f t="shared" si="1"/>
        <v>29</v>
      </c>
      <c r="B110" s="313" t="s">
        <v>367</v>
      </c>
      <c r="C110" s="304" t="str">
        <f>+"(Sum of Lines "&amp;A107&amp;" to "&amp;A109&amp;")"</f>
        <v>(Sum of Lines 26 to 28)</v>
      </c>
      <c r="D110" s="312">
        <f>SUM(D107:D109)</f>
        <v>21586903.838150375</v>
      </c>
      <c r="E110" s="304"/>
      <c r="F110" s="304"/>
      <c r="G110" s="382"/>
      <c r="H110" s="382"/>
      <c r="I110" s="312">
        <f>I107+I108+I109</f>
        <v>18985615.987064641</v>
      </c>
      <c r="J110" s="304"/>
      <c r="K110" s="331"/>
      <c r="L110" s="1379"/>
      <c r="M110" s="1365">
        <f>+M107+M108+M109</f>
        <v>21586903.838150375</v>
      </c>
      <c r="N110" s="1365"/>
      <c r="O110" s="1365"/>
      <c r="P110" s="1365"/>
      <c r="Q110" s="290"/>
    </row>
    <row r="111" spans="1:17" ht="13.8" thickBot="1">
      <c r="A111" s="367"/>
      <c r="B111" s="325"/>
      <c r="C111" s="314"/>
      <c r="D111" s="370"/>
      <c r="E111" s="314"/>
      <c r="F111" s="314"/>
      <c r="G111" s="314"/>
      <c r="H111" s="314"/>
      <c r="I111" s="370"/>
      <c r="J111" s="314"/>
      <c r="K111" s="331"/>
      <c r="L111" s="1369"/>
      <c r="M111" s="1365"/>
      <c r="N111" s="1365"/>
      <c r="O111" s="1365"/>
      <c r="P111" s="1365"/>
      <c r="Q111" s="290"/>
    </row>
    <row r="112" spans="1:17" ht="13.8" thickBot="1">
      <c r="A112" s="367">
        <f>+A110+1</f>
        <v>30</v>
      </c>
      <c r="B112" s="313" t="s">
        <v>368</v>
      </c>
      <c r="C112" s="314" t="str">
        <f>+"(Line "&amp;A90&amp;" + Line "&amp;A92&amp;" + Line "&amp;A102&amp;" + Line "&amp;A104&amp;" + Line "&amp;A110&amp;")"</f>
        <v>(Line 18 + Line 18a + Line 24 + Line 25 + Line 29)</v>
      </c>
      <c r="D112" s="383">
        <f>+D110+D104+D102+D90+D92</f>
        <v>10228305397.059191</v>
      </c>
      <c r="E112" s="319"/>
      <c r="F112" s="319"/>
      <c r="G112" s="384"/>
      <c r="H112" s="319"/>
      <c r="I112" s="383">
        <f>+I110+I104+I102+I90+I92</f>
        <v>1866249180.1179101</v>
      </c>
      <c r="J112" s="314"/>
      <c r="K112" s="331"/>
      <c r="L112" s="1370"/>
      <c r="M112" s="1380">
        <f>+M90+M92+M102+M104+M110</f>
        <v>2121950723.9944439</v>
      </c>
      <c r="N112" s="1365">
        <f>IF($L$10=0,'Appendix A'!H120,'Appendix A'!G120)</f>
        <v>2121950723.9944437</v>
      </c>
      <c r="O112" s="1367"/>
      <c r="P112" s="1365"/>
      <c r="Q112" s="290"/>
    </row>
    <row r="113" spans="1:18" ht="13.8" thickTop="1">
      <c r="A113" s="367"/>
      <c r="B113" s="313"/>
      <c r="C113" s="314"/>
      <c r="D113" s="385"/>
      <c r="E113" s="319"/>
      <c r="F113" s="319"/>
      <c r="G113" s="384"/>
      <c r="H113" s="319"/>
      <c r="I113" s="385"/>
      <c r="J113" s="314"/>
      <c r="K113" s="380"/>
      <c r="L113" s="1365"/>
      <c r="M113" s="1365"/>
      <c r="N113" s="1365"/>
      <c r="O113" s="1366"/>
      <c r="P113" s="1366"/>
      <c r="Q113" s="290"/>
    </row>
    <row r="114" spans="1:18">
      <c r="A114" s="367"/>
      <c r="B114" s="313"/>
      <c r="C114" s="314"/>
      <c r="D114" s="385"/>
      <c r="E114" s="319"/>
      <c r="F114" s="319"/>
      <c r="G114" s="384"/>
      <c r="H114" s="319"/>
      <c r="I114" s="385"/>
      <c r="J114" s="314"/>
      <c r="K114" s="360" t="str">
        <f>+K1</f>
        <v>Attachment O-ELL</v>
      </c>
      <c r="L114" s="1365"/>
      <c r="M114" s="1365"/>
      <c r="N114" s="1365"/>
      <c r="O114" s="1366"/>
      <c r="P114" s="1366"/>
      <c r="Q114" s="290"/>
    </row>
    <row r="115" spans="1:18">
      <c r="A115" s="367"/>
      <c r="B115" s="313"/>
      <c r="C115" s="314"/>
      <c r="D115" s="314"/>
      <c r="E115" s="314"/>
      <c r="F115" s="314"/>
      <c r="G115" s="314"/>
      <c r="H115" s="314"/>
      <c r="I115" s="314"/>
      <c r="J115" s="314"/>
      <c r="K115" s="386" t="s">
        <v>369</v>
      </c>
      <c r="L115" s="1365"/>
      <c r="M115" s="1365"/>
      <c r="N115" s="1365"/>
      <c r="O115" s="1366"/>
      <c r="P115" s="1366"/>
      <c r="Q115" s="290"/>
    </row>
    <row r="116" spans="1:18">
      <c r="A116" s="367"/>
      <c r="B116" s="313"/>
      <c r="C116" s="389" t="str">
        <f>+C$3</f>
        <v>MISO Cover</v>
      </c>
      <c r="D116" s="314"/>
      <c r="E116" s="314"/>
      <c r="F116" s="314"/>
      <c r="G116" s="314"/>
      <c r="H116" s="314"/>
      <c r="I116" s="314"/>
      <c r="J116" s="314"/>
      <c r="K116" s="386"/>
      <c r="L116" s="1365"/>
      <c r="M116" s="1365"/>
      <c r="N116" s="1365"/>
      <c r="O116" s="1366"/>
      <c r="P116" s="1366"/>
      <c r="Q116" s="290"/>
    </row>
    <row r="117" spans="1:18">
      <c r="A117" s="367"/>
      <c r="B117" s="313" t="s">
        <v>315</v>
      </c>
      <c r="C117" s="387" t="s">
        <v>316</v>
      </c>
      <c r="D117" s="331"/>
      <c r="E117" s="314"/>
      <c r="F117" s="314"/>
      <c r="G117" s="314"/>
      <c r="H117" s="314"/>
      <c r="I117" s="388"/>
      <c r="J117" s="314"/>
      <c r="K117" s="386" t="str">
        <f>K4</f>
        <v>For  the 12 Months Ended 12/31/2016</v>
      </c>
      <c r="L117" s="1365"/>
      <c r="M117" s="1365"/>
      <c r="N117" s="1365"/>
      <c r="O117" s="1366"/>
      <c r="P117" s="1365"/>
    </row>
    <row r="118" spans="1:18">
      <c r="A118" s="367"/>
      <c r="B118" s="313"/>
      <c r="C118" s="387" t="s">
        <v>317</v>
      </c>
      <c r="D118" s="331"/>
      <c r="E118" s="314"/>
      <c r="F118" s="314"/>
      <c r="G118" s="314"/>
      <c r="H118" s="314"/>
      <c r="I118" s="314"/>
      <c r="J118" s="314"/>
      <c r="K118" s="314"/>
      <c r="L118" s="1365"/>
      <c r="M118" s="1365"/>
      <c r="N118" s="1365"/>
      <c r="O118" s="1366"/>
      <c r="P118" s="1365"/>
    </row>
    <row r="119" spans="1:18">
      <c r="A119" s="367"/>
      <c r="B119" s="325"/>
      <c r="C119" s="387" t="str">
        <f>+C59</f>
        <v>Entergy Louisiana, LLC</v>
      </c>
      <c r="D119" s="331"/>
      <c r="E119" s="314"/>
      <c r="F119" s="314"/>
      <c r="G119" s="314"/>
      <c r="H119" s="314"/>
      <c r="I119" s="314"/>
      <c r="J119" s="314"/>
      <c r="K119" s="314"/>
      <c r="L119" s="1365"/>
      <c r="M119" s="1365"/>
      <c r="N119" s="1365"/>
      <c r="O119" s="1366"/>
      <c r="P119" s="1365"/>
    </row>
    <row r="120" spans="1:18">
      <c r="A120" s="974"/>
      <c r="B120" s="974"/>
      <c r="C120" s="387" t="str">
        <f>+C60</f>
        <v>Projected Rate</v>
      </c>
      <c r="D120" s="974"/>
      <c r="E120" s="974"/>
      <c r="F120" s="974"/>
      <c r="G120" s="974"/>
      <c r="H120" s="974"/>
      <c r="I120" s="974"/>
      <c r="J120" s="974"/>
      <c r="K120" s="974"/>
      <c r="L120" s="1365"/>
      <c r="M120" s="1365"/>
      <c r="N120" s="1365"/>
      <c r="O120" s="1366"/>
      <c r="P120" s="1365"/>
    </row>
    <row r="121" spans="1:18">
      <c r="A121" s="367"/>
      <c r="B121" s="389" t="s">
        <v>167</v>
      </c>
      <c r="C121" s="389" t="s">
        <v>319</v>
      </c>
      <c r="D121" s="389" t="s">
        <v>320</v>
      </c>
      <c r="E121" s="314" t="s">
        <v>65</v>
      </c>
      <c r="F121" s="314"/>
      <c r="G121" s="390" t="s">
        <v>321</v>
      </c>
      <c r="H121" s="314"/>
      <c r="I121" s="390" t="s">
        <v>322</v>
      </c>
      <c r="J121" s="314"/>
      <c r="K121" s="314"/>
      <c r="L121" s="1365"/>
      <c r="M121" s="1365"/>
      <c r="N121" s="1365"/>
      <c r="O121" s="1366"/>
      <c r="P121" s="1365"/>
    </row>
    <row r="122" spans="1:18">
      <c r="A122" s="367" t="s">
        <v>323</v>
      </c>
      <c r="B122" s="313"/>
      <c r="C122" s="391"/>
      <c r="D122" s="314"/>
      <c r="E122" s="314"/>
      <c r="F122" s="314"/>
      <c r="G122" s="367"/>
      <c r="H122" s="314"/>
      <c r="I122" s="392"/>
      <c r="J122" s="314"/>
      <c r="K122" s="392"/>
      <c r="L122" s="1365"/>
      <c r="M122" s="1365"/>
      <c r="N122" s="1365"/>
      <c r="O122" s="1366"/>
      <c r="P122" s="1365"/>
    </row>
    <row r="123" spans="1:18" ht="13.8" thickBot="1">
      <c r="A123" s="315" t="s">
        <v>325</v>
      </c>
      <c r="B123" s="313"/>
      <c r="C123" s="393" t="s">
        <v>156</v>
      </c>
      <c r="D123" s="392" t="s">
        <v>945</v>
      </c>
      <c r="E123" s="394"/>
      <c r="F123" s="392" t="s">
        <v>352</v>
      </c>
      <c r="G123" s="325"/>
      <c r="H123" s="394"/>
      <c r="I123" s="367" t="s">
        <v>353</v>
      </c>
      <c r="J123" s="314"/>
      <c r="K123" s="331"/>
      <c r="L123" s="1381"/>
      <c r="M123" s="1365"/>
      <c r="N123" s="1365"/>
      <c r="O123" s="1365"/>
      <c r="P123" s="1365"/>
    </row>
    <row r="124" spans="1:18">
      <c r="A124" s="367"/>
      <c r="B124" s="313" t="s">
        <v>126</v>
      </c>
      <c r="C124" s="314"/>
      <c r="D124" s="314"/>
      <c r="E124" s="314"/>
      <c r="F124" s="314"/>
      <c r="G124" s="314"/>
      <c r="H124" s="314"/>
      <c r="I124" s="314"/>
      <c r="J124" s="314"/>
      <c r="K124" s="331"/>
      <c r="L124" s="1369"/>
      <c r="M124" s="1365"/>
      <c r="N124" s="1365"/>
      <c r="O124" s="1365"/>
      <c r="P124" s="1365"/>
      <c r="Q124" s="369"/>
      <c r="R124" s="395"/>
    </row>
    <row r="125" spans="1:18">
      <c r="A125" s="367">
        <v>1</v>
      </c>
      <c r="B125" s="313" t="s">
        <v>370</v>
      </c>
      <c r="C125" s="314" t="str">
        <f>+"Appendix A Line "&amp;+'Appendix A'!A125&amp;" "&amp;$L$6&amp;" Column"</f>
        <v>Appendix A Line 75 Projected Column</v>
      </c>
      <c r="D125" s="312">
        <f>IF($L$10=0,'Appendix A'!H125,'Appendix A'!G125)</f>
        <v>83850940.67000033</v>
      </c>
      <c r="E125" s="314"/>
      <c r="F125" s="314" t="s">
        <v>356</v>
      </c>
      <c r="G125" s="318">
        <f>+TP</f>
        <v>0.87949694543557011</v>
      </c>
      <c r="H125" s="319"/>
      <c r="I125" s="312">
        <f t="shared" ref="I125:I132" si="4">+G125*D125</f>
        <v>73746646.191164508</v>
      </c>
      <c r="J125" s="396"/>
      <c r="K125" s="331"/>
      <c r="L125" s="1369"/>
      <c r="M125" s="1365">
        <f>+D125</f>
        <v>83850940.67000033</v>
      </c>
      <c r="N125" s="1365"/>
      <c r="O125" s="1365"/>
      <c r="P125" s="1365"/>
      <c r="Q125" s="369"/>
      <c r="R125" s="395"/>
    </row>
    <row r="126" spans="1:18">
      <c r="A126" s="397" t="s">
        <v>644</v>
      </c>
      <c r="B126" s="741" t="s">
        <v>605</v>
      </c>
      <c r="C126" s="428" t="str">
        <f>+"Appendix A Lines "&amp;+'Appendix A'!A126&amp;" - Line "&amp;'Appendix A'!A128&amp;" - Line "&amp;'Appendix A'!A129&amp;" "&amp;$L$6&amp;" Column"</f>
        <v>Appendix A Lines 76 - Line 78 - Line 79 Projected Column</v>
      </c>
      <c r="D126" s="1448">
        <f>IF($L$10=0,'Appendix A'!H126-'Appendix A'!H128-'Appendix A'!H129,'Appendix A'!G126-'Appendix A'!G128-'Appendix A'!G129)</f>
        <v>21679448.54529136</v>
      </c>
      <c r="E126" s="334"/>
      <c r="F126" s="334" t="str">
        <f>+F125</f>
        <v>TP</v>
      </c>
      <c r="G126" s="318">
        <f>+TP</f>
        <v>0.87949694543557011</v>
      </c>
      <c r="H126" s="334"/>
      <c r="I126" s="312">
        <f>+G126*D126</f>
        <v>19067008.774311364</v>
      </c>
      <c r="J126" s="398"/>
      <c r="K126" s="331"/>
      <c r="L126" s="1369"/>
      <c r="M126" s="1365">
        <f>+D126</f>
        <v>21679448.54529136</v>
      </c>
      <c r="N126" s="1365"/>
      <c r="O126" s="1365"/>
      <c r="P126" s="1365"/>
      <c r="Q126" s="369"/>
      <c r="R126" s="395"/>
    </row>
    <row r="127" spans="1:18">
      <c r="A127" s="397">
        <f>+A125+1</f>
        <v>2</v>
      </c>
      <c r="B127" s="738" t="s">
        <v>606</v>
      </c>
      <c r="C127" s="314" t="str">
        <f>+"Appendix A Line "&amp;+'Appendix A'!A127&amp;" "&amp;$L$6&amp;" Column"</f>
        <v>Appendix A Line 77 Projected Column</v>
      </c>
      <c r="D127" s="312">
        <f>IF($L$10=0,'Appendix A'!H127,'Appendix A'!G127)</f>
        <v>25244316.489999998</v>
      </c>
      <c r="E127" s="314"/>
      <c r="F127" s="314" t="str">
        <f>+F126</f>
        <v>TP</v>
      </c>
      <c r="G127" s="318">
        <f>+TP</f>
        <v>0.87949694543557011</v>
      </c>
      <c r="H127" s="319"/>
      <c r="I127" s="312">
        <f t="shared" si="4"/>
        <v>22202299.242563792</v>
      </c>
      <c r="J127" s="398"/>
      <c r="K127" s="331"/>
      <c r="L127" s="1369"/>
      <c r="M127" s="1365">
        <f>+D127</f>
        <v>25244316.489999998</v>
      </c>
      <c r="N127" s="1365">
        <f>+M125-M126-M127</f>
        <v>36927175.634708971</v>
      </c>
      <c r="O127" s="1365">
        <f>+M125-M126-M127-N127</f>
        <v>0</v>
      </c>
      <c r="P127" s="1365"/>
      <c r="Q127" s="369"/>
      <c r="R127" s="395"/>
    </row>
    <row r="128" spans="1:18">
      <c r="A128" s="397">
        <f t="shared" ref="A128:A137" si="5">+A127+1</f>
        <v>3</v>
      </c>
      <c r="B128" s="313" t="s">
        <v>371</v>
      </c>
      <c r="C128" s="314" t="str">
        <f>+"Appendix A Line "&amp;+'Appendix A'!A133&amp;" "&amp;$L$6&amp;" Column"</f>
        <v>Appendix A Line 81 Projected Column</v>
      </c>
      <c r="D128" s="312">
        <f>IF($L$10=0,+'Appendix A'!H133,'Appendix A'!G133)</f>
        <v>284407571</v>
      </c>
      <c r="E128" s="314"/>
      <c r="F128" s="314" t="s">
        <v>357</v>
      </c>
      <c r="G128" s="318">
        <f>+WS</f>
        <v>6.4443581655153404E-2</v>
      </c>
      <c r="H128" s="319"/>
      <c r="I128" s="312">
        <f t="shared" si="4"/>
        <v>18328242.525082339</v>
      </c>
      <c r="J128" s="396"/>
      <c r="K128" s="399"/>
      <c r="L128" s="1371">
        <f>+L79</f>
        <v>7.3273229645201082E-2</v>
      </c>
      <c r="M128" s="1365">
        <f>+L128*D128</f>
        <v>20839461.26271683</v>
      </c>
      <c r="N128" s="1365"/>
      <c r="O128" s="1365"/>
      <c r="P128" s="1365"/>
      <c r="Q128" s="369"/>
      <c r="R128" s="395"/>
    </row>
    <row r="129" spans="1:18">
      <c r="A129" s="397">
        <f t="shared" si="5"/>
        <v>4</v>
      </c>
      <c r="B129" s="738" t="s">
        <v>604</v>
      </c>
      <c r="C129" s="314" t="str">
        <f>+"Appendix A Line "&amp;+'Appendix A'!A154&amp;" "&amp;$L$6&amp;" Column"</f>
        <v>Appendix A Line 100 Projected Column</v>
      </c>
      <c r="D129" s="312">
        <f>IF($L$10=0,'Appendix A'!H154,'Appendix A'!G154)</f>
        <v>3093378.432075663</v>
      </c>
      <c r="E129" s="314"/>
      <c r="F129" s="314" t="str">
        <f>+F127</f>
        <v>TP</v>
      </c>
      <c r="G129" s="318">
        <f>+TP</f>
        <v>0.87949694543557011</v>
      </c>
      <c r="H129" s="319"/>
      <c r="I129" s="312">
        <f>+D129*G129</f>
        <v>2720616.8820868186</v>
      </c>
      <c r="J129" s="396"/>
      <c r="K129" s="312"/>
      <c r="L129" s="1382"/>
      <c r="M129" s="1365">
        <f>+D129</f>
        <v>3093378.432075663</v>
      </c>
      <c r="N129" s="1365"/>
      <c r="O129" s="1365"/>
      <c r="P129" s="1365"/>
      <c r="Q129" s="369"/>
      <c r="R129" s="395"/>
    </row>
    <row r="130" spans="1:18" s="736" customFormat="1" ht="25.95" customHeight="1">
      <c r="A130" s="856">
        <f t="shared" si="5"/>
        <v>5</v>
      </c>
      <c r="B130" s="1036" t="s">
        <v>816</v>
      </c>
      <c r="C130" s="1035" t="str">
        <f>+"Appendix A Sum of Lines "&amp;+'Appendix A'!A135&amp;" to Line "&amp;'Appendix A'!A139&amp;" - Line "&amp;'Appendix A'!A140&amp;" "&amp;$L$6&amp;" Column"</f>
        <v>Appendix A Sum of Lines 83 to Line 87 - Line 88 Projected Column</v>
      </c>
      <c r="D130" s="729">
        <f>IF($L$10=0,SUM('Appendix A'!H135:H139)-'Appendix A'!H140,SUM('Appendix A'!G135:G139)-'Appendix A'!G140)</f>
        <v>43793203.880000003</v>
      </c>
      <c r="E130" s="757"/>
      <c r="F130" s="757" t="s">
        <v>357</v>
      </c>
      <c r="G130" s="758">
        <f>+WS</f>
        <v>6.4443581655153404E-2</v>
      </c>
      <c r="H130" s="759"/>
      <c r="I130" s="729">
        <f t="shared" si="4"/>
        <v>2822190.910181561</v>
      </c>
      <c r="J130" s="1037"/>
      <c r="K130" s="734"/>
      <c r="L130" s="1383">
        <f>+L128</f>
        <v>7.3273229645201082E-2</v>
      </c>
      <c r="M130" s="1384">
        <f>+L130*D130</f>
        <v>3208869.4847983513</v>
      </c>
      <c r="N130" s="1384"/>
      <c r="O130" s="1384"/>
      <c r="P130" s="1384"/>
      <c r="Q130" s="761"/>
      <c r="R130" s="762"/>
    </row>
    <row r="131" spans="1:18" s="736" customFormat="1">
      <c r="A131" s="856" t="s">
        <v>645</v>
      </c>
      <c r="B131" s="763" t="s">
        <v>653</v>
      </c>
      <c r="C131" s="757" t="str">
        <f>+"Appendix A Lines "&amp;+'Appendix A'!A146&amp;" to "&amp;'Appendix A'!A147&amp;" "&amp;$L$6&amp;" Column"</f>
        <v>Appendix A Lines 92 to 93 Projected Column</v>
      </c>
      <c r="D131" s="729">
        <f>IF($L$10=0,SUM('Appendix A'!H146:H147),SUM('Appendix A'!G146:G147))</f>
        <v>17336</v>
      </c>
      <c r="E131" s="757"/>
      <c r="F131" s="757" t="str">
        <f>+F127</f>
        <v>TP</v>
      </c>
      <c r="G131" s="758">
        <f>+TP</f>
        <v>0.87949694543557011</v>
      </c>
      <c r="H131" s="759"/>
      <c r="I131" s="729">
        <f>+D131*G131</f>
        <v>15246.959046071044</v>
      </c>
      <c r="J131" s="760"/>
      <c r="K131" s="734"/>
      <c r="L131" s="1385"/>
      <c r="M131" s="1384">
        <f>+D131</f>
        <v>17336</v>
      </c>
      <c r="N131" s="1384"/>
      <c r="O131" s="1384"/>
      <c r="P131" s="1384"/>
      <c r="Q131" s="761"/>
      <c r="R131" s="762"/>
    </row>
    <row r="132" spans="1:18" s="404" customFormat="1">
      <c r="A132" s="397" t="s">
        <v>646</v>
      </c>
      <c r="B132" s="738" t="s">
        <v>780</v>
      </c>
      <c r="C132" s="314" t="str">
        <f>+"Appendix A Line "&amp;+'Appendix A'!A134&amp;" "&amp;$L$6&amp;" Column"</f>
        <v>Appendix A Line 82 Projected Column</v>
      </c>
      <c r="D132" s="312">
        <f>IF($L$10=0,'Appendix A'!H134,'Appendix A'!G134)</f>
        <v>-3730881.3396614939</v>
      </c>
      <c r="E132" s="314"/>
      <c r="F132" s="314" t="str">
        <f>+F130</f>
        <v>W/S</v>
      </c>
      <c r="G132" s="318">
        <f>+WS</f>
        <v>6.4443581655153404E-2</v>
      </c>
      <c r="H132" s="400"/>
      <c r="I132" s="312">
        <f t="shared" si="4"/>
        <v>-240431.35625816361</v>
      </c>
      <c r="J132" s="401"/>
      <c r="K132" s="402"/>
      <c r="L132" s="1371">
        <f>+L130</f>
        <v>7.3273229645201082E-2</v>
      </c>
      <c r="M132" s="1365">
        <f>+L132*D132</f>
        <v>-273373.72518001212</v>
      </c>
      <c r="N132" s="1386"/>
      <c r="O132" s="1386"/>
      <c r="P132" s="1365"/>
      <c r="Q132" s="369"/>
      <c r="R132" s="395"/>
    </row>
    <row r="133" spans="1:18">
      <c r="A133" s="397">
        <f>+A130+1</f>
        <v>6</v>
      </c>
      <c r="B133" s="738" t="s">
        <v>843</v>
      </c>
      <c r="C133" s="314"/>
      <c r="D133" s="314"/>
      <c r="E133" s="314"/>
      <c r="F133" s="314"/>
      <c r="G133" s="320"/>
      <c r="H133" s="319"/>
      <c r="I133" s="312"/>
      <c r="J133" s="300"/>
      <c r="L133" s="1369"/>
      <c r="M133" s="1365">
        <f>+D133</f>
        <v>0</v>
      </c>
      <c r="N133" s="1365"/>
      <c r="O133" s="1365"/>
      <c r="P133" s="1366"/>
      <c r="Q133" s="290"/>
    </row>
    <row r="134" spans="1:18">
      <c r="A134" s="397" t="s">
        <v>738</v>
      </c>
      <c r="B134" s="1164" t="s">
        <v>765</v>
      </c>
      <c r="C134" s="314" t="str">
        <f>+"Appendix A Line "&amp;'Appendix A'!A189&amp;" "&amp;$L$6&amp;" Column"</f>
        <v>Appendix A Line 125 Projected Column</v>
      </c>
      <c r="D134" s="312">
        <f>IF($L$10=0,'Appendix A'!H189,'Appendix A'!G189)</f>
        <v>0</v>
      </c>
      <c r="E134" s="312"/>
      <c r="F134" s="312" t="s">
        <v>356</v>
      </c>
      <c r="G134" s="318">
        <f>+TP</f>
        <v>0.87949694543557011</v>
      </c>
      <c r="H134" s="312"/>
      <c r="I134" s="312">
        <f>+D134*G134</f>
        <v>0</v>
      </c>
      <c r="J134" s="300"/>
      <c r="L134" s="1369"/>
      <c r="M134" s="1365">
        <f>+D134</f>
        <v>0</v>
      </c>
      <c r="N134" s="1365"/>
      <c r="O134" s="1365"/>
      <c r="P134" s="1366"/>
      <c r="Q134" s="290"/>
    </row>
    <row r="135" spans="1:18">
      <c r="A135" s="397" t="s">
        <v>739</v>
      </c>
      <c r="B135" s="1164" t="s">
        <v>766</v>
      </c>
      <c r="C135" s="314" t="str">
        <f>+"Appendix A Line "&amp;'Appendix A'!A192&amp;" "&amp;$L$6&amp;" Column"</f>
        <v>Appendix A Line 128 Projected Column</v>
      </c>
      <c r="D135" s="375">
        <f>IF($L$10=0,'Appendix A'!H192,'Appendix A'!G192)</f>
        <v>0</v>
      </c>
      <c r="E135" s="375"/>
      <c r="F135" s="375" t="s">
        <v>356</v>
      </c>
      <c r="G135" s="939">
        <f>+TP</f>
        <v>0.87949694543557011</v>
      </c>
      <c r="H135" s="375"/>
      <c r="I135" s="375">
        <f>+D135*G135</f>
        <v>0</v>
      </c>
      <c r="J135" s="300"/>
      <c r="L135" s="1369"/>
      <c r="M135" s="1365"/>
      <c r="N135" s="1365"/>
      <c r="O135" s="1365"/>
      <c r="P135" s="1366"/>
      <c r="Q135" s="290"/>
    </row>
    <row r="136" spans="1:18" ht="13.8" thickBot="1">
      <c r="A136" s="397">
        <f>+A133+1</f>
        <v>7</v>
      </c>
      <c r="B136" s="738" t="s">
        <v>843</v>
      </c>
      <c r="C136" s="314"/>
      <c r="D136" s="370"/>
      <c r="E136" s="1165"/>
      <c r="F136" s="1165"/>
      <c r="G136" s="939"/>
      <c r="H136" s="385"/>
      <c r="I136" s="370"/>
      <c r="J136" s="300"/>
      <c r="L136" s="1369"/>
      <c r="M136" s="1365">
        <f>+D136</f>
        <v>0</v>
      </c>
      <c r="N136" s="1365"/>
      <c r="O136" s="1365"/>
      <c r="P136" s="1366"/>
      <c r="Q136" s="290"/>
    </row>
    <row r="137" spans="1:18">
      <c r="A137" s="397">
        <f t="shared" si="5"/>
        <v>8</v>
      </c>
      <c r="B137" s="975" t="s">
        <v>372</v>
      </c>
      <c r="C137" s="1907"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12">
        <f>+D125 - D126 - D127 + D128 + D129 - D130 + D131 - D132 + D133 + D134 + D135 + D136</f>
        <v>284383138.52644616</v>
      </c>
      <c r="E137" s="312"/>
      <c r="F137" s="312"/>
      <c r="G137" s="312"/>
      <c r="H137" s="312"/>
      <c r="I137" s="312">
        <f>+I125 - I126 - I127 + I128 + I129 - I130 + I131 - I132 + I133 + I134 + I135 + I136</f>
        <v>50959684.986581191</v>
      </c>
      <c r="J137" s="300"/>
      <c r="K137" s="291"/>
      <c r="L137" s="1372">
        <f>+I137/M137</f>
        <v>0.87949694543557022</v>
      </c>
      <c r="M137" s="1365">
        <f>+M125-M126-M127+M128+M129-M130+M131-M132+M133+M134+M136</f>
        <v>57941855.56988313</v>
      </c>
      <c r="N137" s="1365">
        <f>IF($L$10=0,'Appendix A'!H156,'Appendix A'!G156)</f>
        <v>57941855.569883123</v>
      </c>
      <c r="O137" s="1365">
        <f>+M137-N137</f>
        <v>0</v>
      </c>
      <c r="P137" s="1387" t="s">
        <v>769</v>
      </c>
      <c r="Q137" s="290"/>
    </row>
    <row r="138" spans="1:18">
      <c r="A138" s="397"/>
      <c r="B138" s="325"/>
      <c r="C138" s="1907"/>
      <c r="D138" s="312"/>
      <c r="E138" s="312"/>
      <c r="F138" s="312"/>
      <c r="G138" s="312"/>
      <c r="H138" s="312"/>
      <c r="I138" s="312"/>
      <c r="J138" s="300"/>
      <c r="L138" s="1369"/>
      <c r="M138" s="1366"/>
      <c r="N138" s="1365"/>
      <c r="O138" s="1365"/>
      <c r="P138" s="1366"/>
      <c r="Q138" s="290"/>
    </row>
    <row r="139" spans="1:18">
      <c r="A139" s="397"/>
      <c r="B139" s="313" t="s">
        <v>373</v>
      </c>
      <c r="C139" s="314"/>
      <c r="D139" s="312"/>
      <c r="E139" s="312"/>
      <c r="F139" s="312"/>
      <c r="G139" s="312"/>
      <c r="H139" s="312"/>
      <c r="I139" s="312"/>
      <c r="J139" s="314"/>
      <c r="K139" s="331"/>
      <c r="L139" s="1369"/>
      <c r="M139" s="1365"/>
      <c r="N139" s="1365"/>
      <c r="O139" s="1365"/>
      <c r="P139" s="1366"/>
      <c r="Q139" s="290"/>
    </row>
    <row r="140" spans="1:18">
      <c r="A140" s="397">
        <f>+A137+1</f>
        <v>9</v>
      </c>
      <c r="B140" s="738" t="s">
        <v>602</v>
      </c>
      <c r="C140" s="314" t="str">
        <f>+"Appendix A Line "&amp;'Appendix A'!A161&amp;" "&amp;$L$6&amp;" Column"</f>
        <v>Appendix A Line 103 Projected Column</v>
      </c>
      <c r="D140" s="312">
        <f>IF($L$10=0,'Appendix A'!H161,'Appendix A'!G161)</f>
        <v>48195412.100000001</v>
      </c>
      <c r="E140" s="312"/>
      <c r="F140" s="312" t="s">
        <v>356</v>
      </c>
      <c r="G140" s="318">
        <f>+TP</f>
        <v>0.87949694543557011</v>
      </c>
      <c r="H140" s="312"/>
      <c r="I140" s="312">
        <f>+G140*D140</f>
        <v>42387717.725958519</v>
      </c>
      <c r="J140" s="314"/>
      <c r="K140" s="331"/>
      <c r="L140" s="1370"/>
      <c r="M140" s="1365">
        <f>+D140</f>
        <v>48195412.100000001</v>
      </c>
      <c r="N140" s="1365"/>
      <c r="O140" s="1365"/>
      <c r="P140" s="1366"/>
      <c r="Q140" s="290"/>
    </row>
    <row r="141" spans="1:18">
      <c r="A141" s="397">
        <f t="shared" ref="A141:A153" si="6">+A140+1</f>
        <v>10</v>
      </c>
      <c r="B141" s="740" t="s">
        <v>603</v>
      </c>
      <c r="C141" s="314" t="str">
        <f>+"Appendix A Line "&amp;+'Appendix A'!A168&amp;" "&amp;$L$6&amp;" Column"</f>
        <v>Appendix A Line 110 Projected Column</v>
      </c>
      <c r="D141" s="312">
        <f>IF($L$10=0,'Appendix A'!H168,'Appendix A'!G168)</f>
        <v>3614344.6690655281</v>
      </c>
      <c r="E141" s="312"/>
      <c r="F141" s="312" t="str">
        <f>+F140</f>
        <v>TP</v>
      </c>
      <c r="G141" s="318">
        <f>+TP</f>
        <v>0.87949694543557011</v>
      </c>
      <c r="H141" s="312"/>
      <c r="I141" s="312">
        <f>+G141*D141</f>
        <v>3178805.0961944684</v>
      </c>
      <c r="J141" s="314"/>
      <c r="K141" s="331"/>
      <c r="L141" s="1370"/>
      <c r="M141" s="1365">
        <f>+D141</f>
        <v>3614344.6690655281</v>
      </c>
      <c r="N141" s="1365"/>
      <c r="O141" s="1365"/>
      <c r="P141" s="1366"/>
      <c r="Q141" s="290"/>
    </row>
    <row r="142" spans="1:18" ht="13.8" thickBot="1">
      <c r="A142" s="397">
        <f t="shared" si="6"/>
        <v>11</v>
      </c>
      <c r="B142" s="738" t="s">
        <v>843</v>
      </c>
      <c r="C142" s="314"/>
      <c r="D142" s="370"/>
      <c r="E142" s="375"/>
      <c r="F142" s="312"/>
      <c r="G142" s="318"/>
      <c r="H142" s="375"/>
      <c r="I142" s="370"/>
      <c r="J142" s="314"/>
      <c r="K142" s="331"/>
      <c r="L142" s="1370"/>
      <c r="M142" s="1365">
        <f>+D142</f>
        <v>0</v>
      </c>
      <c r="N142" s="1365"/>
      <c r="O142" s="1365"/>
      <c r="P142" s="1366"/>
      <c r="Q142" s="290"/>
    </row>
    <row r="143" spans="1:18">
      <c r="A143" s="397">
        <f>+A142+1</f>
        <v>12</v>
      </c>
      <c r="B143" s="313" t="s">
        <v>374</v>
      </c>
      <c r="C143" s="314" t="str">
        <f>+"(Sum of Lines "&amp;A140&amp;" to Line "&amp;A142&amp;")"</f>
        <v>(Sum of Lines 9 to Line 11)</v>
      </c>
      <c r="D143" s="312">
        <f>SUM(D140:D142)</f>
        <v>51809756.769065529</v>
      </c>
      <c r="E143" s="312"/>
      <c r="F143" s="312"/>
      <c r="G143" s="318"/>
      <c r="H143" s="312"/>
      <c r="I143" s="312">
        <f>SUM(I140:I142)</f>
        <v>45566522.822152987</v>
      </c>
      <c r="J143" s="314"/>
      <c r="K143" s="331"/>
      <c r="L143" s="1372">
        <f>+I143/M143</f>
        <v>0.87949694543557011</v>
      </c>
      <c r="M143" s="1365">
        <f>SUM(M140:M142)</f>
        <v>51809756.769065529</v>
      </c>
      <c r="N143" s="1365">
        <f>IF($L$10=0,'Appendix A'!H170,'Appendix A'!G170)</f>
        <v>51809756.769065529</v>
      </c>
      <c r="O143" s="1365">
        <f>+M143-N143</f>
        <v>0</v>
      </c>
      <c r="P143" s="1366"/>
      <c r="Q143" s="290"/>
    </row>
    <row r="144" spans="1:18">
      <c r="A144" s="397"/>
      <c r="B144" s="313"/>
      <c r="C144" s="314"/>
      <c r="D144" s="312"/>
      <c r="E144" s="312"/>
      <c r="F144" s="312"/>
      <c r="G144" s="318"/>
      <c r="H144" s="312"/>
      <c r="I144" s="312"/>
      <c r="J144" s="314"/>
      <c r="K144" s="331"/>
      <c r="L144" s="1369"/>
      <c r="M144" s="1365"/>
      <c r="N144" s="1365"/>
      <c r="O144" s="1365"/>
      <c r="P144" s="1366"/>
      <c r="Q144" s="290"/>
    </row>
    <row r="145" spans="1:17">
      <c r="A145" s="397"/>
      <c r="B145" s="313" t="s">
        <v>375</v>
      </c>
      <c r="C145" s="325"/>
      <c r="D145" s="312"/>
      <c r="E145" s="312"/>
      <c r="F145" s="312"/>
      <c r="G145" s="318"/>
      <c r="H145" s="312"/>
      <c r="I145" s="312"/>
      <c r="J145" s="314"/>
      <c r="K145" s="331"/>
      <c r="L145" s="1369"/>
      <c r="M145" s="1365"/>
      <c r="N145" s="1365"/>
      <c r="O145" s="1365"/>
      <c r="P145" s="1366"/>
      <c r="Q145" s="290"/>
    </row>
    <row r="146" spans="1:17">
      <c r="A146" s="397">
        <f>+A143+1</f>
        <v>13</v>
      </c>
      <c r="B146" s="738" t="s">
        <v>376</v>
      </c>
      <c r="C146" s="314" t="str">
        <f>+"Appendix A Line "&amp;+'Appendix A'!A185&amp;" "&amp;$L$6&amp;" Column"</f>
        <v>Appendix A Line 124 Projected Column</v>
      </c>
      <c r="D146" s="312">
        <f>IF($L$10=0,'Appendix A'!H185,'Appendix A'!G185)</f>
        <v>19724059.385102592</v>
      </c>
      <c r="E146" s="312"/>
      <c r="F146" s="312" t="s">
        <v>356</v>
      </c>
      <c r="G146" s="371">
        <f>+TP</f>
        <v>0.87949694543557011</v>
      </c>
      <c r="H146" s="312"/>
      <c r="I146" s="312">
        <f>+G146*D146</f>
        <v>17347249.980787519</v>
      </c>
      <c r="J146" s="314"/>
      <c r="K146" s="331"/>
      <c r="L146" s="1370"/>
      <c r="M146" s="1365">
        <f t="shared" ref="M146:M152" si="7">+D146</f>
        <v>19724059.385102592</v>
      </c>
      <c r="N146" s="1365"/>
      <c r="O146" s="1365"/>
      <c r="P146" s="1366"/>
      <c r="Q146" s="290"/>
    </row>
    <row r="147" spans="1:17">
      <c r="A147" s="397">
        <f t="shared" si="6"/>
        <v>14</v>
      </c>
      <c r="B147" s="738" t="s">
        <v>843</v>
      </c>
      <c r="C147" s="314"/>
      <c r="D147" s="312"/>
      <c r="E147" s="312"/>
      <c r="F147" s="319"/>
      <c r="G147" s="381"/>
      <c r="H147" s="312"/>
      <c r="I147" s="1166"/>
      <c r="J147" s="314"/>
      <c r="K147" s="331"/>
      <c r="L147" s="1370"/>
      <c r="M147" s="1365">
        <f t="shared" si="7"/>
        <v>0</v>
      </c>
      <c r="N147" s="1365"/>
      <c r="O147" s="1365"/>
      <c r="P147" s="1366"/>
      <c r="Q147" s="290"/>
    </row>
    <row r="148" spans="1:17">
      <c r="A148" s="397">
        <f t="shared" si="6"/>
        <v>15</v>
      </c>
      <c r="B148" s="425" t="s">
        <v>647</v>
      </c>
      <c r="C148" s="314"/>
      <c r="D148" s="312"/>
      <c r="E148" s="312"/>
      <c r="F148" s="312"/>
      <c r="G148" s="318"/>
      <c r="H148" s="312"/>
      <c r="I148" s="312"/>
      <c r="J148" s="314"/>
      <c r="K148" s="331"/>
      <c r="L148" s="1370"/>
      <c r="M148" s="1365">
        <f t="shared" si="7"/>
        <v>0</v>
      </c>
      <c r="N148" s="1365"/>
      <c r="O148" s="1365"/>
      <c r="P148" s="1366"/>
      <c r="Q148" s="290"/>
    </row>
    <row r="149" spans="1:17">
      <c r="A149" s="397">
        <f t="shared" si="6"/>
        <v>16</v>
      </c>
      <c r="B149" s="738" t="s">
        <v>843</v>
      </c>
      <c r="C149" s="314"/>
      <c r="D149" s="312"/>
      <c r="E149" s="312"/>
      <c r="F149" s="319"/>
      <c r="G149" s="381"/>
      <c r="H149" s="312"/>
      <c r="I149" s="312"/>
      <c r="J149" s="314"/>
      <c r="K149" s="331"/>
      <c r="L149" s="1370"/>
      <c r="M149" s="1365">
        <f t="shared" si="7"/>
        <v>0</v>
      </c>
      <c r="N149" s="1365"/>
      <c r="O149" s="1365"/>
      <c r="P149" s="1366"/>
      <c r="Q149" s="290"/>
    </row>
    <row r="150" spans="1:17">
      <c r="A150" s="397">
        <f t="shared" si="6"/>
        <v>17</v>
      </c>
      <c r="B150" s="738" t="s">
        <v>843</v>
      </c>
      <c r="C150" s="314"/>
      <c r="D150" s="312"/>
      <c r="E150" s="312"/>
      <c r="F150" s="319"/>
      <c r="G150" s="381"/>
      <c r="H150" s="312"/>
      <c r="I150" s="312"/>
      <c r="J150" s="314"/>
      <c r="K150" s="331"/>
      <c r="L150" s="1370"/>
      <c r="M150" s="1365">
        <f>+D150</f>
        <v>0</v>
      </c>
      <c r="N150" s="1365"/>
      <c r="O150" s="1365"/>
      <c r="P150" s="1366"/>
      <c r="Q150" s="290"/>
    </row>
    <row r="151" spans="1:17">
      <c r="A151" s="397">
        <f t="shared" si="6"/>
        <v>18</v>
      </c>
      <c r="B151" s="738" t="s">
        <v>843</v>
      </c>
      <c r="C151" s="314"/>
      <c r="D151" s="312"/>
      <c r="E151" s="312"/>
      <c r="F151" s="319"/>
      <c r="G151" s="381"/>
      <c r="H151" s="312"/>
      <c r="I151" s="312"/>
      <c r="J151" s="314"/>
      <c r="K151" s="331"/>
      <c r="L151" s="1370"/>
      <c r="M151" s="1365">
        <f>+D151</f>
        <v>0</v>
      </c>
      <c r="N151" s="1365"/>
      <c r="O151" s="1365"/>
      <c r="P151" s="1366"/>
      <c r="Q151" s="290"/>
    </row>
    <row r="152" spans="1:17" ht="13.8" thickBot="1">
      <c r="A152" s="397">
        <f t="shared" si="6"/>
        <v>19</v>
      </c>
      <c r="B152" s="738" t="s">
        <v>843</v>
      </c>
      <c r="C152" s="314"/>
      <c r="D152" s="370"/>
      <c r="E152" s="312"/>
      <c r="F152" s="319"/>
      <c r="G152" s="381"/>
      <c r="H152" s="312"/>
      <c r="I152" s="370"/>
      <c r="J152" s="314"/>
      <c r="K152" s="331"/>
      <c r="L152" s="1370"/>
      <c r="M152" s="1365">
        <f t="shared" si="7"/>
        <v>0</v>
      </c>
      <c r="N152" s="1365"/>
      <c r="O152" s="1365"/>
      <c r="P152" s="1366"/>
      <c r="Q152" s="290"/>
    </row>
    <row r="153" spans="1:17">
      <c r="A153" s="397">
        <f t="shared" si="6"/>
        <v>20</v>
      </c>
      <c r="B153" s="313" t="s">
        <v>377</v>
      </c>
      <c r="C153" s="314" t="str">
        <f>+"(Sum of Line "&amp;A146&amp;" to Line "&amp;A152&amp;")"</f>
        <v>(Sum of Line 13 to Line 19)</v>
      </c>
      <c r="D153" s="312">
        <f>SUM(D146:D152)</f>
        <v>19724059.385102592</v>
      </c>
      <c r="E153" s="312"/>
      <c r="F153" s="312"/>
      <c r="G153" s="312"/>
      <c r="H153" s="312"/>
      <c r="I153" s="312">
        <f>SUM(I146:I152)</f>
        <v>17347249.980787519</v>
      </c>
      <c r="J153" s="314"/>
      <c r="K153" s="331"/>
      <c r="L153" s="1372">
        <f>+I153/M153</f>
        <v>0.87949694543557011</v>
      </c>
      <c r="M153" s="1365">
        <f>SUM(M146:M152)</f>
        <v>19724059.385102592</v>
      </c>
      <c r="N153" s="1365">
        <f>IF($L$10=0,'Appendix A'!H185,'Appendix A'!G185)</f>
        <v>19724059.385102592</v>
      </c>
      <c r="O153" s="1365">
        <f>+M153-N153</f>
        <v>0</v>
      </c>
      <c r="P153" s="1366"/>
      <c r="Q153" s="290"/>
    </row>
    <row r="154" spans="1:17">
      <c r="A154" s="397"/>
      <c r="B154" s="313"/>
      <c r="C154" s="314"/>
      <c r="D154" s="312"/>
      <c r="E154" s="312"/>
      <c r="F154" s="312"/>
      <c r="G154" s="312"/>
      <c r="H154" s="312"/>
      <c r="I154" s="312"/>
      <c r="J154" s="314"/>
      <c r="K154" s="331"/>
      <c r="L154" s="1372"/>
      <c r="M154" s="1365"/>
      <c r="N154" s="1365"/>
      <c r="O154" s="1365"/>
      <c r="P154" s="1366"/>
      <c r="Q154" s="290"/>
    </row>
    <row r="155" spans="1:17">
      <c r="A155" s="331"/>
      <c r="B155" s="313" t="s">
        <v>378</v>
      </c>
      <c r="C155" s="314" t="str">
        <f>""</f>
        <v/>
      </c>
      <c r="D155" s="314"/>
      <c r="E155" s="314"/>
      <c r="F155" s="325"/>
      <c r="G155" s="405"/>
      <c r="H155" s="314"/>
      <c r="I155" s="325"/>
      <c r="J155" s="314"/>
      <c r="K155" s="331"/>
      <c r="L155" s="1388"/>
      <c r="M155" s="1365"/>
      <c r="N155" s="1365"/>
      <c r="O155" s="1365"/>
      <c r="P155" s="1366"/>
      <c r="Q155" s="290"/>
    </row>
    <row r="156" spans="1:17">
      <c r="A156" s="397">
        <f>+A153+1</f>
        <v>21</v>
      </c>
      <c r="B156" s="738" t="s">
        <v>119</v>
      </c>
      <c r="C156" s="314" t="str">
        <f>+"Appendix A Line "&amp;+'Appendix A'!A239&amp;" "&amp;$L$6&amp;" Column"</f>
        <v>Appendix A Line 157 Projected Column</v>
      </c>
      <c r="D156" s="375">
        <f>IF($L$10=0,'Appendix A'!H239,'Appendix A'!G239)</f>
        <v>72210421.700931072</v>
      </c>
      <c r="E156" s="385"/>
      <c r="F156" s="375" t="s">
        <v>356</v>
      </c>
      <c r="G156" s="939">
        <f>+TP</f>
        <v>0.87949694543557011</v>
      </c>
      <c r="H156" s="385"/>
      <c r="I156" s="940">
        <f>+D156*G156</f>
        <v>63508845.314583287</v>
      </c>
      <c r="J156" s="314"/>
      <c r="K156" s="331"/>
      <c r="L156" s="1372">
        <f>+I156/M156</f>
        <v>0.87949694543557011</v>
      </c>
      <c r="M156" s="1365">
        <f>+D156</f>
        <v>72210421.700931072</v>
      </c>
      <c r="N156" s="1365">
        <f>IF($L$10=0,'Appendix A'!H239,'Appendix A'!G239)</f>
        <v>72210421.700931072</v>
      </c>
      <c r="O156" s="1365"/>
      <c r="P156" s="1366"/>
      <c r="Q156" s="290"/>
    </row>
    <row r="157" spans="1:17">
      <c r="A157" s="397">
        <f>+A156+1</f>
        <v>22</v>
      </c>
      <c r="B157" s="738" t="s">
        <v>843</v>
      </c>
      <c r="C157" s="314"/>
      <c r="D157" s="312"/>
      <c r="E157" s="385"/>
      <c r="F157" s="319"/>
      <c r="G157" s="381"/>
      <c r="H157" s="312"/>
      <c r="I157" s="312"/>
      <c r="J157" s="314"/>
      <c r="K157" s="331"/>
      <c r="L157" s="1372"/>
      <c r="M157" s="1365"/>
      <c r="N157" s="1365"/>
      <c r="O157" s="1365"/>
      <c r="P157" s="1366"/>
      <c r="Q157" s="290"/>
    </row>
    <row r="158" spans="1:17">
      <c r="A158" s="397">
        <f t="shared" ref="A158:A162" si="8">+A157+1</f>
        <v>23</v>
      </c>
      <c r="B158" s="738" t="s">
        <v>843</v>
      </c>
      <c r="C158" s="314"/>
      <c r="D158" s="312"/>
      <c r="E158" s="385"/>
      <c r="F158" s="319"/>
      <c r="G158" s="381"/>
      <c r="H158" s="312"/>
      <c r="I158" s="312"/>
      <c r="J158" s="314"/>
      <c r="K158" s="331"/>
      <c r="L158" s="1372"/>
      <c r="M158" s="1365"/>
      <c r="N158" s="1365"/>
      <c r="O158" s="1365"/>
      <c r="P158" s="1366"/>
      <c r="Q158" s="290"/>
    </row>
    <row r="159" spans="1:17">
      <c r="A159" s="397">
        <f t="shared" si="8"/>
        <v>24</v>
      </c>
      <c r="B159" s="738" t="s">
        <v>843</v>
      </c>
      <c r="C159" s="314"/>
      <c r="D159" s="312"/>
      <c r="E159" s="385"/>
      <c r="F159" s="319"/>
      <c r="G159" s="381"/>
      <c r="H159" s="312"/>
      <c r="I159" s="312"/>
      <c r="J159" s="314"/>
      <c r="K159" s="331"/>
      <c r="L159" s="1372"/>
      <c r="M159" s="1365"/>
      <c r="N159" s="1365"/>
      <c r="O159" s="1365"/>
      <c r="P159" s="1366"/>
      <c r="Q159" s="290"/>
    </row>
    <row r="160" spans="1:17">
      <c r="A160" s="397">
        <f t="shared" si="8"/>
        <v>25</v>
      </c>
      <c r="B160" s="738" t="s">
        <v>843</v>
      </c>
      <c r="C160" s="314"/>
      <c r="D160" s="312"/>
      <c r="E160" s="385"/>
      <c r="F160" s="319"/>
      <c r="G160" s="381"/>
      <c r="H160" s="312"/>
      <c r="I160" s="312"/>
      <c r="J160" s="314"/>
      <c r="K160" s="331"/>
      <c r="L160" s="1372"/>
      <c r="M160" s="1365"/>
      <c r="N160" s="1365"/>
      <c r="O160" s="1365"/>
      <c r="P160" s="1366"/>
      <c r="Q160" s="290"/>
    </row>
    <row r="161" spans="1:17" ht="13.8" thickBot="1">
      <c r="A161" s="397">
        <f t="shared" si="8"/>
        <v>26</v>
      </c>
      <c r="B161" s="738" t="s">
        <v>843</v>
      </c>
      <c r="C161" s="314"/>
      <c r="D161" s="370"/>
      <c r="E161" s="385"/>
      <c r="F161" s="319"/>
      <c r="G161" s="381"/>
      <c r="H161" s="312"/>
      <c r="I161" s="370"/>
      <c r="J161" s="314"/>
      <c r="K161" s="331"/>
      <c r="L161" s="1372"/>
      <c r="M161" s="1365"/>
      <c r="N161" s="1365"/>
      <c r="O161" s="1365"/>
      <c r="P161" s="1366"/>
      <c r="Q161" s="290"/>
    </row>
    <row r="162" spans="1:17">
      <c r="A162" s="397">
        <f t="shared" si="8"/>
        <v>27</v>
      </c>
      <c r="B162" s="738" t="s">
        <v>50</v>
      </c>
      <c r="C162" s="314" t="str">
        <f>+"(Sum of Line "&amp;A156&amp;" to Line "&amp;A161&amp;")"</f>
        <v>(Sum of Line 21 to Line 26)</v>
      </c>
      <c r="D162" s="312">
        <f>SUM(D156:D161)</f>
        <v>72210421.700931072</v>
      </c>
      <c r="E162" s="331"/>
      <c r="F162" s="331"/>
      <c r="G162" s="331"/>
      <c r="H162" s="331"/>
      <c r="I162" s="312">
        <f>SUM(I156:I161)</f>
        <v>63508845.314583287</v>
      </c>
      <c r="L162" s="1366"/>
      <c r="M162" s="1366"/>
      <c r="N162" s="1366"/>
      <c r="O162" s="1366"/>
      <c r="P162" s="1366"/>
      <c r="Q162" s="290"/>
    </row>
    <row r="163" spans="1:17">
      <c r="A163" s="397"/>
      <c r="B163" s="325"/>
      <c r="C163" s="406"/>
      <c r="D163" s="312"/>
      <c r="E163" s="314"/>
      <c r="F163" s="314"/>
      <c r="G163" s="326"/>
      <c r="H163" s="314"/>
      <c r="I163" s="312"/>
      <c r="J163" s="314"/>
      <c r="K163" s="331"/>
      <c r="L163" s="1369"/>
      <c r="M163" s="1365"/>
      <c r="N163" s="1365"/>
      <c r="O163" s="1365"/>
      <c r="P163" s="1366"/>
      <c r="Q163" s="290"/>
    </row>
    <row r="164" spans="1:17">
      <c r="A164" s="397"/>
      <c r="B164" s="313" t="s">
        <v>379</v>
      </c>
      <c r="C164" s="331"/>
      <c r="D164" s="331"/>
      <c r="E164" s="331"/>
      <c r="F164" s="331"/>
      <c r="G164" s="331"/>
      <c r="H164" s="331"/>
      <c r="I164" s="1252"/>
      <c r="J164" s="314"/>
      <c r="K164" s="331"/>
      <c r="L164" s="1388"/>
      <c r="M164" s="1365"/>
      <c r="N164" s="1365"/>
      <c r="O164" s="1365"/>
      <c r="P164" s="1366"/>
      <c r="Q164" s="290"/>
    </row>
    <row r="165" spans="1:17">
      <c r="A165" s="397">
        <v>28</v>
      </c>
      <c r="B165" s="739" t="s">
        <v>380</v>
      </c>
      <c r="C165" s="314" t="str">
        <f>+"Appendix A Line "&amp;+'Appendix A'!A217&amp;" "&amp;$L$6&amp;" Column"</f>
        <v>Appendix A Line 146 Projected Column</v>
      </c>
      <c r="D165" s="312">
        <f>IF($L$10=0,'Appendix A'!H217,'Appendix A'!G217)</f>
        <v>162053334.94079268</v>
      </c>
      <c r="E165" s="319"/>
      <c r="F165" s="312" t="s">
        <v>356</v>
      </c>
      <c r="G165" s="318">
        <f>+TP</f>
        <v>0.87949694543557011</v>
      </c>
      <c r="H165" s="319"/>
      <c r="I165" s="312">
        <f>+D165*G165</f>
        <v>142525413.07807451</v>
      </c>
      <c r="J165" s="331"/>
      <c r="K165" s="331"/>
      <c r="L165" s="1372">
        <f>+I165/M165</f>
        <v>0.87949694543557011</v>
      </c>
      <c r="M165" s="1365">
        <f>+D165</f>
        <v>162053334.94079268</v>
      </c>
      <c r="N165" s="1365">
        <f>IF($L$10=0,'Appendix A'!H217,'Appendix A'!G217)</f>
        <v>162053334.94079268</v>
      </c>
      <c r="O165" s="1365">
        <f>+M165-N165</f>
        <v>0</v>
      </c>
      <c r="P165" s="1366"/>
      <c r="Q165" s="290"/>
    </row>
    <row r="166" spans="1:17">
      <c r="A166" s="397"/>
      <c r="B166" s="313"/>
      <c r="C166" s="325"/>
      <c r="D166" s="375"/>
      <c r="E166" s="319"/>
      <c r="F166" s="319"/>
      <c r="G166" s="407"/>
      <c r="H166" s="319"/>
      <c r="I166" s="375"/>
      <c r="J166" s="314"/>
      <c r="K166" s="331"/>
      <c r="L166" s="1370"/>
      <c r="M166" s="1365"/>
      <c r="N166" s="1365"/>
      <c r="O166" s="1365"/>
      <c r="P166" s="1366"/>
      <c r="Q166" s="290"/>
    </row>
    <row r="167" spans="1:17" ht="13.8" thickBot="1">
      <c r="A167" s="397">
        <f>A165+1</f>
        <v>29</v>
      </c>
      <c r="B167" s="313" t="s">
        <v>381</v>
      </c>
      <c r="C167" s="314" t="str">
        <f>+"(Line "&amp;A137&amp;" + Line "&amp;A143&amp;" + Line "&amp;A153&amp;" + Line "&amp;A162&amp;" + Line "&amp;A165&amp;")"</f>
        <v>(Line 8 + Line 12 + Line 20 + Line 27 + Line 28)</v>
      </c>
      <c r="D167" s="408">
        <f>+D137+D143+D153+D162+D165</f>
        <v>590180711.3223381</v>
      </c>
      <c r="E167" s="319"/>
      <c r="F167" s="319"/>
      <c r="G167" s="385"/>
      <c r="H167" s="319"/>
      <c r="I167" s="408">
        <f>+I137+I143+I153+I162+I165</f>
        <v>319907716.18217951</v>
      </c>
      <c r="J167" s="304"/>
      <c r="K167" s="331"/>
      <c r="L167" s="1379"/>
      <c r="M167" s="1389">
        <f>+M137+M143+M153+M156+M165</f>
        <v>363739428.36577499</v>
      </c>
      <c r="N167" s="1365">
        <f>IF($L$10=0,'Appendix A'!H257,'Appendix A'!G257)</f>
        <v>363739428.36577499</v>
      </c>
      <c r="O167" s="1365">
        <f>+M167-N167</f>
        <v>0</v>
      </c>
      <c r="P167" s="1366"/>
      <c r="Q167" s="290"/>
    </row>
    <row r="168" spans="1:17" ht="13.8" thickTop="1">
      <c r="A168" s="397"/>
      <c r="B168" s="313"/>
      <c r="C168" s="314"/>
      <c r="D168" s="385"/>
      <c r="E168" s="319"/>
      <c r="F168" s="319"/>
      <c r="G168" s="385"/>
      <c r="H168" s="319"/>
      <c r="I168" s="375"/>
      <c r="J168" s="304"/>
      <c r="K168" s="331"/>
      <c r="L168" s="1379"/>
      <c r="M168" s="1365"/>
      <c r="N168" s="1365"/>
      <c r="O168" s="1365"/>
      <c r="P168" s="1366"/>
      <c r="Q168" s="290"/>
    </row>
    <row r="169" spans="1:17" s="736" customFormat="1">
      <c r="A169" s="857">
        <f>+A167+1</f>
        <v>30</v>
      </c>
      <c r="B169" s="730" t="s">
        <v>754</v>
      </c>
      <c r="C169" s="859"/>
      <c r="D169" s="728"/>
      <c r="E169" s="729"/>
      <c r="F169" s="729"/>
      <c r="G169" s="729"/>
      <c r="H169" s="729"/>
      <c r="I169" s="728"/>
      <c r="J169" s="734"/>
      <c r="K169" s="734"/>
      <c r="L169" s="1390"/>
      <c r="M169" s="1384"/>
      <c r="N169" s="1384"/>
      <c r="O169" s="1384"/>
      <c r="P169" s="1391"/>
    </row>
    <row r="170" spans="1:17" s="736" customFormat="1">
      <c r="A170" s="857"/>
      <c r="B170" s="730" t="s">
        <v>755</v>
      </c>
      <c r="C170" s="757" t="str">
        <f>+"Appendix A Line "&amp;+'Appendix A'!A254&amp;" "&amp;$L$6&amp;" Column"</f>
        <v>Appendix A Line 167 Projected Column</v>
      </c>
      <c r="D170" s="729">
        <f>IF($L$10=0,'Appendix A'!H254,'Appendix A'!G254)</f>
        <v>0</v>
      </c>
      <c r="E170" s="729"/>
      <c r="F170" s="729" t="s">
        <v>329</v>
      </c>
      <c r="G170" s="999">
        <v>1</v>
      </c>
      <c r="H170" s="729"/>
      <c r="I170" s="728">
        <f>+D170</f>
        <v>0</v>
      </c>
      <c r="J170" s="734"/>
      <c r="K170" s="1000"/>
      <c r="L170" s="1384"/>
      <c r="M170" s="1384"/>
      <c r="N170" s="1384"/>
      <c r="O170" s="1391"/>
      <c r="P170" s="1391"/>
    </row>
    <row r="171" spans="1:17">
      <c r="A171" s="355"/>
      <c r="B171" s="340"/>
      <c r="C171" s="346"/>
      <c r="D171" s="375"/>
      <c r="E171" s="312"/>
      <c r="F171" s="312"/>
      <c r="G171" s="312"/>
      <c r="H171" s="312"/>
      <c r="I171" s="375"/>
      <c r="J171" s="331"/>
      <c r="K171" s="341"/>
      <c r="L171" s="1365"/>
      <c r="M171" s="1365"/>
      <c r="N171" s="1365"/>
      <c r="O171" s="1366"/>
      <c r="P171" s="1366"/>
      <c r="Q171" s="290"/>
    </row>
    <row r="172" spans="1:17">
      <c r="A172" s="858" t="s">
        <v>648</v>
      </c>
      <c r="B172" s="730" t="s">
        <v>753</v>
      </c>
      <c r="C172" s="731"/>
      <c r="D172" s="732"/>
      <c r="E172" s="733"/>
      <c r="F172" s="733"/>
      <c r="G172" s="733"/>
      <c r="H172" s="733"/>
      <c r="I172" s="732"/>
      <c r="J172" s="331"/>
      <c r="K172" s="341"/>
      <c r="L172" s="1365"/>
      <c r="M172" s="1365"/>
      <c r="N172" s="1365"/>
      <c r="O172" s="1366"/>
      <c r="P172" s="1366"/>
      <c r="Q172" s="290"/>
    </row>
    <row r="173" spans="1:17" s="736" customFormat="1" ht="13.8" thickBot="1">
      <c r="A173" s="857"/>
      <c r="B173" s="730" t="s">
        <v>756</v>
      </c>
      <c r="C173" s="757" t="str">
        <f>+"Appendix A Line "&amp;+'Appendix A'!A255&amp;" "&amp;$L$6&amp;" Column"</f>
        <v>Appendix A Line 168 Projected Column</v>
      </c>
      <c r="D173" s="1167">
        <f>IF($L$10=0,'Appendix A'!H255,'Appendix A'!G255)</f>
        <v>0</v>
      </c>
      <c r="E173" s="729"/>
      <c r="F173" s="729" t="s">
        <v>329</v>
      </c>
      <c r="G173" s="999">
        <v>1</v>
      </c>
      <c r="H173" s="729"/>
      <c r="I173" s="728">
        <f>+D173</f>
        <v>0</v>
      </c>
      <c r="J173" s="734"/>
      <c r="K173" s="1000"/>
      <c r="L173" s="1384"/>
      <c r="M173" s="1384"/>
      <c r="N173" s="1384"/>
      <c r="O173" s="1391"/>
      <c r="P173" s="1384"/>
      <c r="Q173" s="735"/>
    </row>
    <row r="174" spans="1:17" ht="13.8" thickBot="1">
      <c r="A174" s="355">
        <f>+A169+1</f>
        <v>31</v>
      </c>
      <c r="B174" s="340" t="s">
        <v>382</v>
      </c>
      <c r="C174" s="340" t="str">
        <f>+"(Line "&amp;A167&amp;" - Line "&amp;A169&amp;" - Line "&amp;A172&amp;")"</f>
        <v>(Line 29 - Line 30 - Line 30a)</v>
      </c>
      <c r="D174" s="409">
        <f>+D167-D170-D173</f>
        <v>590180711.3223381</v>
      </c>
      <c r="E174" s="312"/>
      <c r="F174" s="312"/>
      <c r="G174" s="312"/>
      <c r="H174" s="312"/>
      <c r="I174" s="409">
        <f>+I167-I170-I173</f>
        <v>319907716.18217951</v>
      </c>
      <c r="J174" s="331"/>
      <c r="K174" s="341"/>
      <c r="L174" s="1365">
        <f>+'Appendix A'!H265</f>
        <v>319907716.18217945</v>
      </c>
      <c r="M174" s="1365">
        <f>+L174-I174</f>
        <v>0</v>
      </c>
      <c r="N174" s="1365"/>
      <c r="O174" s="1365"/>
      <c r="P174" s="1365"/>
    </row>
    <row r="175" spans="1:17" ht="13.8" thickTop="1">
      <c r="L175" s="1365"/>
      <c r="M175" s="1365"/>
      <c r="N175" s="1365"/>
      <c r="O175" s="1366"/>
      <c r="P175" s="1365"/>
    </row>
    <row r="176" spans="1:17">
      <c r="A176" s="397"/>
      <c r="B176" s="410"/>
      <c r="C176" s="319"/>
      <c r="D176" s="385"/>
      <c r="E176" s="385"/>
      <c r="F176" s="385"/>
      <c r="G176" s="385"/>
      <c r="H176" s="385"/>
      <c r="I176" s="385"/>
      <c r="J176" s="304"/>
      <c r="K176" s="360" t="str">
        <f>+K1</f>
        <v>Attachment O-ELL</v>
      </c>
      <c r="L176" s="1365"/>
      <c r="M176" s="1365"/>
      <c r="N176" s="1365"/>
      <c r="O176" s="1366"/>
      <c r="P176" s="1365"/>
    </row>
    <row r="177" spans="1:19">
      <c r="A177" s="367"/>
      <c r="B177" s="325"/>
      <c r="C177" s="325"/>
      <c r="D177" s="325"/>
      <c r="E177" s="325"/>
      <c r="F177" s="325"/>
      <c r="G177" s="325"/>
      <c r="H177" s="325"/>
      <c r="I177" s="325"/>
      <c r="J177" s="314"/>
      <c r="K177" s="386" t="s">
        <v>383</v>
      </c>
    </row>
    <row r="178" spans="1:19">
      <c r="A178" s="367"/>
      <c r="B178" s="325"/>
      <c r="C178" s="389" t="str">
        <f>+C$3</f>
        <v>MISO Cover</v>
      </c>
      <c r="D178" s="325"/>
      <c r="E178" s="325"/>
      <c r="F178" s="325"/>
      <c r="G178" s="325"/>
      <c r="H178" s="325"/>
      <c r="I178" s="325"/>
      <c r="J178" s="314"/>
      <c r="K178" s="314"/>
    </row>
    <row r="179" spans="1:19">
      <c r="A179" s="367"/>
      <c r="B179" s="313" t="s">
        <v>315</v>
      </c>
      <c r="C179" s="411" t="s">
        <v>316</v>
      </c>
      <c r="D179" s="331"/>
      <c r="E179" s="325"/>
      <c r="F179" s="325"/>
      <c r="G179" s="325"/>
      <c r="H179" s="325"/>
      <c r="I179" s="388"/>
      <c r="J179" s="314"/>
      <c r="K179" s="412" t="str">
        <f>K4</f>
        <v>For  the 12 Months Ended 12/31/2016</v>
      </c>
    </row>
    <row r="180" spans="1:19">
      <c r="A180" s="367"/>
      <c r="B180" s="313"/>
      <c r="C180" s="411" t="s">
        <v>317</v>
      </c>
      <c r="D180" s="331"/>
      <c r="E180" s="325"/>
      <c r="F180" s="325"/>
      <c r="G180" s="325"/>
      <c r="H180" s="325"/>
      <c r="I180" s="325"/>
      <c r="J180" s="314"/>
      <c r="K180" s="314"/>
    </row>
    <row r="181" spans="1:19">
      <c r="A181" s="367"/>
      <c r="B181" s="325"/>
      <c r="C181" s="411" t="str">
        <f>+C119</f>
        <v>Entergy Louisiana, LLC</v>
      </c>
      <c r="D181" s="331"/>
      <c r="E181" s="325"/>
      <c r="F181" s="325"/>
      <c r="G181" s="325"/>
      <c r="H181" s="325"/>
      <c r="I181" s="325"/>
      <c r="J181" s="314"/>
      <c r="K181" s="314"/>
    </row>
    <row r="182" spans="1:19">
      <c r="A182" s="974"/>
      <c r="B182" s="974"/>
      <c r="C182" s="411" t="str">
        <f>+C120</f>
        <v>Projected Rate</v>
      </c>
      <c r="D182" s="974"/>
      <c r="E182" s="974"/>
      <c r="F182" s="974"/>
      <c r="G182" s="974"/>
      <c r="H182" s="974"/>
      <c r="I182" s="974"/>
      <c r="J182" s="974"/>
      <c r="K182" s="974"/>
    </row>
    <row r="183" spans="1:19" s="404" customFormat="1">
      <c r="A183" s="413"/>
      <c r="B183" s="389" t="s">
        <v>167</v>
      </c>
      <c r="C183" s="389" t="s">
        <v>319</v>
      </c>
      <c r="D183" s="389" t="s">
        <v>320</v>
      </c>
      <c r="E183" s="314" t="s">
        <v>65</v>
      </c>
      <c r="F183" s="314"/>
      <c r="G183" s="390" t="s">
        <v>321</v>
      </c>
      <c r="H183" s="314"/>
      <c r="I183" s="390" t="s">
        <v>322</v>
      </c>
      <c r="J183" s="401"/>
      <c r="K183" s="401"/>
      <c r="L183" s="403"/>
      <c r="M183" s="403"/>
      <c r="N183" s="403"/>
      <c r="P183" s="403"/>
      <c r="Q183" s="403"/>
    </row>
    <row r="184" spans="1:19">
      <c r="A184" s="367"/>
      <c r="B184" s="325"/>
      <c r="C184" s="313"/>
      <c r="D184" s="313"/>
      <c r="E184" s="313"/>
      <c r="F184" s="313"/>
      <c r="G184" s="313"/>
      <c r="H184" s="313"/>
      <c r="I184" s="313"/>
      <c r="J184" s="313"/>
      <c r="K184" s="313"/>
    </row>
    <row r="185" spans="1:19">
      <c r="A185" s="1906" t="s">
        <v>384</v>
      </c>
      <c r="B185" s="1906"/>
      <c r="C185" s="1906"/>
      <c r="D185" s="1906"/>
      <c r="E185" s="1906"/>
      <c r="F185" s="1906"/>
      <c r="G185" s="1906"/>
      <c r="H185" s="1906"/>
      <c r="I185" s="1906"/>
      <c r="J185" s="1906"/>
      <c r="K185" s="1906"/>
    </row>
    <row r="186" spans="1:19">
      <c r="A186" s="367" t="s">
        <v>323</v>
      </c>
      <c r="B186" s="414"/>
      <c r="C186" s="304"/>
      <c r="D186" s="304"/>
      <c r="E186" s="304"/>
      <c r="F186" s="304"/>
      <c r="G186" s="304"/>
      <c r="H186" s="304"/>
      <c r="I186" s="304"/>
      <c r="J186" s="314"/>
      <c r="K186" s="314"/>
    </row>
    <row r="187" spans="1:19" ht="13.8" thickBot="1">
      <c r="A187" s="315" t="s">
        <v>325</v>
      </c>
      <c r="B187" s="297" t="s">
        <v>385</v>
      </c>
      <c r="C187" s="304"/>
      <c r="D187" s="304"/>
      <c r="E187" s="304"/>
      <c r="F187" s="304"/>
      <c r="G187" s="304"/>
      <c r="H187" s="325"/>
      <c r="I187" s="325"/>
      <c r="J187" s="314"/>
      <c r="K187" s="314"/>
    </row>
    <row r="188" spans="1:19">
      <c r="A188" s="367">
        <v>1</v>
      </c>
      <c r="B188" s="737" t="s">
        <v>386</v>
      </c>
      <c r="C188" s="314" t="str">
        <f>+"Appendix A Line "&amp;+'Appendix A'!A260&amp;" "&amp;$L$6&amp;" Column"</f>
        <v>Appendix A Line 170 Projected Column</v>
      </c>
      <c r="D188" s="314"/>
      <c r="E188" s="314"/>
      <c r="F188" s="314"/>
      <c r="G188" s="314"/>
      <c r="H188" s="314"/>
      <c r="I188" s="312">
        <f>IF($L$10=0,'Appendix A'!H260,'Appendix A'!G260)</f>
        <v>3035686922.8108335</v>
      </c>
      <c r="J188" s="314"/>
      <c r="K188" s="314"/>
      <c r="N188" s="378"/>
      <c r="O188" s="378"/>
      <c r="P188" s="378"/>
      <c r="Q188" s="378"/>
      <c r="R188" s="378"/>
      <c r="S188" s="378"/>
    </row>
    <row r="189" spans="1:19">
      <c r="A189" s="367">
        <f>+A188+1</f>
        <v>2</v>
      </c>
      <c r="B189" s="737" t="s">
        <v>387</v>
      </c>
      <c r="C189" s="314" t="str">
        <f>+"Appendix A Line "&amp;+'Appendix A'!A261&amp;" "&amp;$L$6&amp;" Column"</f>
        <v>Appendix A Line 171 Projected Column</v>
      </c>
      <c r="D189" s="325"/>
      <c r="E189" s="325"/>
      <c r="F189" s="325"/>
      <c r="G189" s="325"/>
      <c r="H189" s="325"/>
      <c r="I189" s="312">
        <f>IF($L$10=0,'Appendix A'!H261,'Appendix A'!G261)</f>
        <v>365809546.90000004</v>
      </c>
      <c r="J189" s="314"/>
      <c r="K189" s="314"/>
      <c r="N189" s="378"/>
      <c r="O189" s="378"/>
      <c r="P189" s="378"/>
      <c r="Q189" s="378"/>
      <c r="R189" s="378"/>
      <c r="S189" s="378"/>
    </row>
    <row r="190" spans="1:19" ht="13.8" thickBot="1">
      <c r="A190" s="367">
        <f t="shared" ref="A190:A214" si="9">+A189+1</f>
        <v>3</v>
      </c>
      <c r="B190" s="738" t="s">
        <v>843</v>
      </c>
      <c r="C190" s="415"/>
      <c r="D190" s="388"/>
      <c r="E190" s="314"/>
      <c r="F190" s="314"/>
      <c r="G190" s="387"/>
      <c r="H190" s="314"/>
      <c r="I190" s="370"/>
      <c r="J190" s="314"/>
      <c r="K190" s="314"/>
      <c r="N190" s="378"/>
      <c r="O190" s="378"/>
      <c r="P190" s="378"/>
      <c r="Q190" s="378"/>
      <c r="R190" s="378"/>
      <c r="S190" s="378"/>
    </row>
    <row r="191" spans="1:19">
      <c r="A191" s="367">
        <f t="shared" si="9"/>
        <v>4</v>
      </c>
      <c r="B191" s="737" t="s">
        <v>388</v>
      </c>
      <c r="C191" s="304" t="str">
        <f>+"(Line "&amp;A188&amp;" - Line "&amp;A189&amp;" - Line "&amp;A190&amp;")"</f>
        <v>(Line 1 - Line 2 - Line 3)</v>
      </c>
      <c r="D191" s="314"/>
      <c r="E191" s="314"/>
      <c r="F191" s="314"/>
      <c r="G191" s="387"/>
      <c r="H191" s="314"/>
      <c r="I191" s="312">
        <f>I188-I189-I190</f>
        <v>2669877375.9108334</v>
      </c>
      <c r="J191" s="314"/>
      <c r="K191" s="314"/>
      <c r="N191" s="378"/>
      <c r="O191" s="378"/>
      <c r="P191" s="378"/>
      <c r="Q191" s="378"/>
      <c r="R191" s="378"/>
      <c r="S191" s="378"/>
    </row>
    <row r="192" spans="1:19">
      <c r="A192" s="367"/>
      <c r="B192" s="325"/>
      <c r="C192" s="304"/>
      <c r="D192" s="314"/>
      <c r="E192" s="314"/>
      <c r="F192" s="314"/>
      <c r="G192" s="387"/>
      <c r="H192" s="314"/>
      <c r="I192" s="312"/>
      <c r="J192" s="314"/>
      <c r="K192" s="314"/>
      <c r="N192" s="378"/>
      <c r="O192" s="378"/>
      <c r="P192" s="378"/>
      <c r="Q192" s="378"/>
      <c r="R192" s="378"/>
      <c r="S192" s="378"/>
    </row>
    <row r="193" spans="1:19">
      <c r="A193" s="367">
        <f>+A191+1</f>
        <v>5</v>
      </c>
      <c r="B193" s="737" t="s">
        <v>389</v>
      </c>
      <c r="C193" s="304" t="str">
        <f>+"(Line "&amp;A191&amp;" / Line "&amp;A188&amp;")"</f>
        <v>(Line 4 / Line 1)</v>
      </c>
      <c r="D193" s="416"/>
      <c r="E193" s="416"/>
      <c r="F193" s="416"/>
      <c r="G193" s="1168" t="s">
        <v>835</v>
      </c>
      <c r="H193" s="314" t="s">
        <v>390</v>
      </c>
      <c r="I193" s="381">
        <f>IF(I188&gt;0,I191/I188,0)</f>
        <v>0.87949694543557011</v>
      </c>
      <c r="J193" s="314"/>
      <c r="K193" s="314"/>
      <c r="N193" s="378"/>
      <c r="O193" s="378"/>
      <c r="P193" s="378"/>
      <c r="Q193" s="378"/>
      <c r="R193" s="378"/>
      <c r="S193" s="378"/>
    </row>
    <row r="194" spans="1:19">
      <c r="A194" s="367"/>
      <c r="B194" s="737"/>
      <c r="C194" s="304"/>
      <c r="D194" s="416"/>
      <c r="E194" s="416"/>
      <c r="F194" s="416"/>
      <c r="G194" s="390"/>
      <c r="H194" s="314"/>
      <c r="I194" s="381"/>
      <c r="J194" s="314"/>
      <c r="K194" s="314"/>
      <c r="N194" s="378"/>
      <c r="O194" s="378"/>
      <c r="P194" s="378"/>
      <c r="Q194" s="378"/>
      <c r="R194" s="378"/>
      <c r="S194" s="378"/>
    </row>
    <row r="195" spans="1:19">
      <c r="A195" s="852" t="s">
        <v>654</v>
      </c>
      <c r="B195" s="313" t="s">
        <v>391</v>
      </c>
      <c r="C195" s="325"/>
      <c r="D195" s="325"/>
      <c r="E195" s="325"/>
      <c r="F195" s="325"/>
      <c r="G195" s="325"/>
      <c r="H195" s="325"/>
      <c r="I195" s="325"/>
      <c r="J195" s="325"/>
      <c r="K195" s="325"/>
      <c r="N195" s="378"/>
      <c r="O195" s="378"/>
      <c r="P195" s="378"/>
      <c r="Q195" s="378"/>
      <c r="R195" s="378"/>
      <c r="S195" s="378"/>
    </row>
    <row r="196" spans="1:19" ht="13.8" thickBot="1">
      <c r="B196" s="331"/>
      <c r="C196" s="417" t="s">
        <v>392</v>
      </c>
      <c r="D196" s="418" t="s">
        <v>393</v>
      </c>
      <c r="E196" s="331"/>
      <c r="F196" s="418" t="s">
        <v>356</v>
      </c>
      <c r="G196" s="418" t="s">
        <v>120</v>
      </c>
      <c r="H196" s="314"/>
      <c r="I196" s="314"/>
      <c r="J196" s="314"/>
      <c r="K196" s="314"/>
      <c r="N196" s="378"/>
      <c r="O196" s="378"/>
      <c r="P196" s="378"/>
      <c r="Q196" s="378"/>
      <c r="R196" s="378"/>
      <c r="S196" s="378"/>
    </row>
    <row r="197" spans="1:19">
      <c r="A197" s="367">
        <v>12</v>
      </c>
      <c r="B197" s="738" t="s">
        <v>600</v>
      </c>
      <c r="C197" s="314" t="str">
        <f>+"Appendix A Line "&amp;+'Appendix A'!A11&amp;" "&amp;$L$6&amp;" Column"</f>
        <v>Appendix A Line 1 Projected Column</v>
      </c>
      <c r="D197" s="312">
        <f>IF($L$10=0,'Appendix A'!H11,'Appendix A'!G11)</f>
        <v>16191345.89999998</v>
      </c>
      <c r="E197" s="331"/>
      <c r="F197" s="318">
        <f>+TP</f>
        <v>0.87949694543557011</v>
      </c>
      <c r="G197" s="312">
        <f>+D197*F197</f>
        <v>14240239.261540724</v>
      </c>
      <c r="H197" s="319"/>
      <c r="I197" s="319"/>
      <c r="J197" s="314"/>
      <c r="K197" s="314"/>
      <c r="N197" s="378"/>
      <c r="O197" s="378"/>
      <c r="P197" s="378"/>
      <c r="Q197" s="378"/>
      <c r="R197" s="378"/>
      <c r="S197" s="378"/>
    </row>
    <row r="198" spans="1:19">
      <c r="A198" s="367">
        <f t="shared" si="9"/>
        <v>13</v>
      </c>
      <c r="B198" s="738" t="s">
        <v>601</v>
      </c>
      <c r="C198" s="314" t="str">
        <f>+"Appendix A Line "&amp;+'Appendix A'!A12&amp;" "&amp;$L$6&amp;" Column"</f>
        <v>Appendix A Line 2 Projected Column</v>
      </c>
      <c r="D198" s="312">
        <f>IF($L$10=0,'Appendix A'!H12,'Appendix A'!G12)</f>
        <v>334269.3921184119</v>
      </c>
      <c r="E198" s="331"/>
      <c r="F198" s="318">
        <f>+TP</f>
        <v>0.87949694543557011</v>
      </c>
      <c r="G198" s="312">
        <f>+D198*F198</f>
        <v>293988.90932074812</v>
      </c>
      <c r="H198" s="319"/>
      <c r="I198" s="319"/>
      <c r="J198" s="314"/>
      <c r="K198" s="314"/>
      <c r="L198" s="291">
        <f>+D198/D201</f>
        <v>1.4821232068578819E-3</v>
      </c>
      <c r="N198" s="378"/>
      <c r="O198" s="378"/>
      <c r="P198" s="378"/>
      <c r="Q198" s="378"/>
      <c r="R198" s="378"/>
      <c r="S198" s="378"/>
    </row>
    <row r="199" spans="1:19">
      <c r="A199" s="367">
        <f t="shared" si="9"/>
        <v>14</v>
      </c>
      <c r="B199" s="738" t="s">
        <v>843</v>
      </c>
      <c r="C199" s="314"/>
      <c r="D199" s="312"/>
      <c r="E199" s="331"/>
      <c r="F199" s="419"/>
      <c r="G199" s="312"/>
      <c r="H199" s="319"/>
      <c r="I199" s="420" t="s">
        <v>394</v>
      </c>
      <c r="J199" s="314"/>
      <c r="K199" s="314"/>
      <c r="L199" s="291">
        <f>+I193</f>
        <v>0.87949694543557011</v>
      </c>
      <c r="N199" s="378"/>
      <c r="O199" s="378"/>
      <c r="P199" s="378"/>
      <c r="Q199" s="378"/>
      <c r="R199" s="378"/>
      <c r="S199" s="378"/>
    </row>
    <row r="200" spans="1:19" ht="13.8" thickBot="1">
      <c r="A200" s="367">
        <f t="shared" si="9"/>
        <v>15</v>
      </c>
      <c r="B200" s="738" t="s">
        <v>843</v>
      </c>
      <c r="C200" s="314"/>
      <c r="D200" s="370"/>
      <c r="E200" s="331"/>
      <c r="F200" s="419"/>
      <c r="G200" s="370"/>
      <c r="H200" s="319"/>
      <c r="I200" s="421" t="s">
        <v>395</v>
      </c>
      <c r="J200" s="314"/>
      <c r="K200" s="314"/>
      <c r="L200" s="291">
        <f>+L198*L199</f>
        <v>1.3035228331906787E-3</v>
      </c>
      <c r="N200" s="378"/>
      <c r="O200" s="378"/>
      <c r="P200" s="378"/>
      <c r="Q200" s="378"/>
      <c r="R200" s="378"/>
      <c r="S200" s="378"/>
    </row>
    <row r="201" spans="1:19">
      <c r="A201" s="367">
        <f t="shared" si="9"/>
        <v>16</v>
      </c>
      <c r="B201" s="738" t="s">
        <v>505</v>
      </c>
      <c r="C201" s="314" t="str">
        <f>+"Appendix A Line "&amp;+'Appendix A'!A23&amp;" "&amp;$L$6&amp;" Column"</f>
        <v>Appendix A Line 10 Projected Column</v>
      </c>
      <c r="D201" s="312">
        <f>IF($L$10=0,'Appendix A'!H23,'Appendix A'!G23)</f>
        <v>225534146.26511842</v>
      </c>
      <c r="E201" s="314"/>
      <c r="F201" s="314"/>
      <c r="G201" s="312">
        <f>SUM(G197:G200)</f>
        <v>14534228.170861471</v>
      </c>
      <c r="H201" s="422" t="s">
        <v>396</v>
      </c>
      <c r="I201" s="423">
        <f>IF(G201&gt;0,G201/D201,0)</f>
        <v>6.4443581655153404E-2</v>
      </c>
      <c r="J201" s="387" t="s">
        <v>396</v>
      </c>
      <c r="K201" s="314" t="s">
        <v>397</v>
      </c>
      <c r="N201" s="378"/>
      <c r="O201" s="378"/>
      <c r="P201" s="378"/>
      <c r="Q201" s="378"/>
      <c r="R201" s="378"/>
      <c r="S201" s="378"/>
    </row>
    <row r="202" spans="1:19">
      <c r="A202" s="367"/>
      <c r="B202" s="313" t="s">
        <v>65</v>
      </c>
      <c r="C202" s="314" t="s">
        <v>65</v>
      </c>
      <c r="D202" s="325"/>
      <c r="E202" s="314"/>
      <c r="F202" s="314"/>
      <c r="G202" s="325"/>
      <c r="H202" s="325"/>
      <c r="I202" s="325"/>
      <c r="J202" s="325"/>
      <c r="K202" s="314"/>
      <c r="N202" s="378"/>
      <c r="O202" s="378"/>
      <c r="P202" s="378"/>
      <c r="Q202" s="378"/>
      <c r="R202" s="378"/>
      <c r="S202" s="378"/>
    </row>
    <row r="203" spans="1:19">
      <c r="A203" s="367"/>
      <c r="B203" s="313" t="s">
        <v>843</v>
      </c>
      <c r="C203" s="331"/>
      <c r="D203" s="391" t="s">
        <v>393</v>
      </c>
      <c r="E203" s="314"/>
      <c r="F203" s="314"/>
      <c r="G203" s="386"/>
      <c r="H203" s="405"/>
      <c r="I203" s="380"/>
      <c r="J203" s="314"/>
      <c r="K203" s="314"/>
      <c r="M203" s="290"/>
      <c r="N203" s="378"/>
      <c r="O203" s="378"/>
      <c r="P203" s="378"/>
      <c r="Q203" s="378"/>
      <c r="R203" s="378"/>
      <c r="S203" s="378"/>
    </row>
    <row r="204" spans="1:19">
      <c r="A204" s="367">
        <f>+A201+1</f>
        <v>17</v>
      </c>
      <c r="B204" s="738" t="s">
        <v>843</v>
      </c>
      <c r="C204" s="314"/>
      <c r="D204" s="312">
        <v>0</v>
      </c>
      <c r="E204" s="314"/>
      <c r="F204" s="325"/>
      <c r="G204" s="854"/>
      <c r="H204" s="424"/>
      <c r="I204" s="367"/>
      <c r="J204" s="314"/>
      <c r="K204" s="425"/>
      <c r="M204" s="290"/>
      <c r="N204" s="290"/>
      <c r="P204" s="290"/>
      <c r="Q204" s="290"/>
    </row>
    <row r="205" spans="1:19">
      <c r="A205" s="367">
        <f t="shared" si="9"/>
        <v>18</v>
      </c>
      <c r="B205" s="738" t="s">
        <v>843</v>
      </c>
      <c r="C205" s="314"/>
      <c r="D205" s="312">
        <v>0</v>
      </c>
      <c r="E205" s="314"/>
      <c r="F205" s="325"/>
      <c r="G205" s="423"/>
      <c r="H205" s="426" t="s">
        <v>266</v>
      </c>
      <c r="I205" s="423"/>
      <c r="J205" s="426"/>
      <c r="K205" s="423"/>
      <c r="L205" s="290"/>
      <c r="M205" s="290"/>
      <c r="N205" s="290"/>
      <c r="P205" s="290"/>
      <c r="Q205" s="290"/>
    </row>
    <row r="206" spans="1:19" ht="13.8" thickBot="1">
      <c r="A206" s="367">
        <f t="shared" si="9"/>
        <v>19</v>
      </c>
      <c r="B206" s="742" t="s">
        <v>843</v>
      </c>
      <c r="C206" s="417"/>
      <c r="D206" s="370">
        <v>0</v>
      </c>
      <c r="E206" s="314"/>
      <c r="F206" s="314"/>
      <c r="G206" s="314" t="s">
        <v>65</v>
      </c>
      <c r="H206" s="314"/>
      <c r="I206" s="314"/>
      <c r="J206" s="314"/>
      <c r="K206" s="314"/>
      <c r="L206" s="290"/>
      <c r="M206" s="290"/>
      <c r="N206" s="290"/>
      <c r="P206" s="290"/>
      <c r="Q206" s="290"/>
    </row>
    <row r="207" spans="1:19">
      <c r="A207" s="367">
        <f t="shared" si="9"/>
        <v>20</v>
      </c>
      <c r="B207" s="313" t="s">
        <v>113</v>
      </c>
      <c r="C207" s="325" t="str">
        <f>+"(Sum of Line "&amp;A204&amp;" to Line "&amp;A206&amp;")"</f>
        <v>(Sum of Line 17 to Line 19)</v>
      </c>
      <c r="D207" s="312">
        <f>D204+D205+D206</f>
        <v>0</v>
      </c>
      <c r="E207" s="314"/>
      <c r="F207" s="314"/>
      <c r="G207" s="314"/>
      <c r="H207" s="314"/>
      <c r="I207" s="314"/>
      <c r="J207" s="314"/>
      <c r="K207" s="314"/>
      <c r="L207" s="290"/>
      <c r="M207" s="290"/>
      <c r="N207" s="290"/>
      <c r="P207" s="290"/>
      <c r="Q207" s="290"/>
    </row>
    <row r="208" spans="1:19">
      <c r="A208" s="367"/>
      <c r="B208" s="313"/>
      <c r="C208" s="314"/>
      <c r="D208" s="325"/>
      <c r="E208" s="314"/>
      <c r="F208" s="314"/>
      <c r="G208" s="314"/>
      <c r="H208" s="314"/>
      <c r="I208" s="314"/>
      <c r="J208" s="314"/>
      <c r="K208" s="314"/>
      <c r="L208" s="290"/>
      <c r="M208" s="290"/>
      <c r="N208" s="290"/>
      <c r="P208" s="290"/>
      <c r="Q208" s="290"/>
    </row>
    <row r="209" spans="1:17">
      <c r="A209" s="853" t="s">
        <v>655</v>
      </c>
      <c r="B209" s="297" t="s">
        <v>398</v>
      </c>
      <c r="C209" s="314"/>
      <c r="D209" s="314"/>
      <c r="E209" s="314"/>
      <c r="F209" s="314"/>
      <c r="G209" s="387" t="s">
        <v>399</v>
      </c>
      <c r="H209" s="314"/>
      <c r="I209" s="314"/>
      <c r="J209" s="314"/>
      <c r="K209" s="314"/>
      <c r="L209" s="290"/>
      <c r="M209" s="290"/>
      <c r="N209" s="290"/>
      <c r="P209" s="290"/>
      <c r="Q209" s="290"/>
    </row>
    <row r="210" spans="1:17" ht="13.8" thickBot="1">
      <c r="A210" s="367"/>
      <c r="B210" s="313"/>
      <c r="C210" s="314"/>
      <c r="D210" s="315" t="s">
        <v>393</v>
      </c>
      <c r="E210" s="331"/>
      <c r="F210" s="315" t="s">
        <v>400</v>
      </c>
      <c r="G210" s="411"/>
      <c r="H210" s="314"/>
      <c r="I210" s="315" t="s">
        <v>401</v>
      </c>
      <c r="J210" s="314"/>
      <c r="K210" s="314"/>
      <c r="L210" s="290"/>
      <c r="M210" s="290"/>
      <c r="N210" s="290"/>
      <c r="P210" s="290"/>
      <c r="Q210" s="290"/>
    </row>
    <row r="211" spans="1:17">
      <c r="A211" s="367">
        <v>27</v>
      </c>
      <c r="B211" s="737" t="s">
        <v>607</v>
      </c>
      <c r="C211" s="314" t="str">
        <f>+"Appendix A Line "&amp;+'Appendix A'!A197&amp;" "&amp;$L$6&amp;" Column"</f>
        <v>Appendix A Line 130 Projected Column</v>
      </c>
      <c r="D211" s="312">
        <f>IF($L$10=0,'Appendix A'!H197,'Appendix A'!G197)</f>
        <v>5545704491.96</v>
      </c>
      <c r="E211" s="331"/>
      <c r="F211" s="1353">
        <f>IF(D$214=0,0,+D211/D$214)</f>
        <v>0.51789029754511318</v>
      </c>
      <c r="G211" s="399">
        <f>IF($L$10=0,'Appendix A'!H208,'Appendix A'!G208)</f>
        <v>4.6739069232209066E-2</v>
      </c>
      <c r="H211" s="320"/>
      <c r="I211" s="427">
        <f>F211*G211</f>
        <v>2.4205710471650398E-2</v>
      </c>
      <c r="J211" s="426" t="s">
        <v>396</v>
      </c>
      <c r="K211" s="428" t="s">
        <v>402</v>
      </c>
      <c r="L211" s="290"/>
      <c r="M211" s="290"/>
      <c r="N211" s="290"/>
      <c r="P211" s="290"/>
      <c r="Q211" s="290"/>
    </row>
    <row r="212" spans="1:17">
      <c r="A212" s="367">
        <f t="shared" si="9"/>
        <v>28</v>
      </c>
      <c r="B212" s="737" t="s">
        <v>608</v>
      </c>
      <c r="C212" s="314" t="str">
        <f>+"Appendix A Line "&amp;+'Appendix A'!A200&amp;" "&amp;$L$6&amp;" Column"</f>
        <v>Appendix A Line 133 Projected Column</v>
      </c>
      <c r="D212" s="312">
        <f>IF($L$10=0,'Appendix A'!H200,'Appendix A'!G200)</f>
        <v>0</v>
      </c>
      <c r="E212" s="331"/>
      <c r="F212" s="1353">
        <f t="shared" ref="F212:F213" si="10">IF(D$214=0,0,+D212/D$214)</f>
        <v>0</v>
      </c>
      <c r="G212" s="399">
        <f>IF($L$10=0,'Appendix A'!H209,'Appendix A'!G209)</f>
        <v>0</v>
      </c>
      <c r="H212" s="320"/>
      <c r="I212" s="427">
        <f>F212*G212</f>
        <v>0</v>
      </c>
      <c r="J212" s="314"/>
      <c r="K212" s="325"/>
      <c r="L212" s="290"/>
      <c r="M212" s="290"/>
      <c r="N212" s="290"/>
      <c r="P212" s="290"/>
      <c r="Q212" s="290"/>
    </row>
    <row r="213" spans="1:17" ht="13.8" thickBot="1">
      <c r="A213" s="367">
        <f t="shared" si="9"/>
        <v>29</v>
      </c>
      <c r="B213" s="737" t="s">
        <v>53</v>
      </c>
      <c r="C213" s="314" t="str">
        <f>+"Appendix A Line "&amp;+'Appendix A'!A202&amp;" "&amp;$L$6&amp;" Column"</f>
        <v>Appendix A Line 135 Projected Column</v>
      </c>
      <c r="D213" s="370">
        <f>IF($L$10=0,'Appendix A'!H202,'Appendix A'!G202)</f>
        <v>5162556539.8600006</v>
      </c>
      <c r="E213" s="331"/>
      <c r="F213" s="1353">
        <f t="shared" si="10"/>
        <v>0.48210970245488693</v>
      </c>
      <c r="G213" s="399">
        <f>IF($L$10=0,'Appendix A'!H210,'Appendix A'!G210)</f>
        <v>0.1082</v>
      </c>
      <c r="H213" s="325"/>
      <c r="I213" s="429">
        <f>F213*G213</f>
        <v>5.2164269805618765E-2</v>
      </c>
      <c r="J213" s="314"/>
      <c r="K213" s="325"/>
      <c r="L213" s="1658" t="s">
        <v>1809</v>
      </c>
      <c r="N213" s="290"/>
      <c r="P213" s="290"/>
      <c r="Q213" s="290"/>
    </row>
    <row r="214" spans="1:17">
      <c r="A214" s="367">
        <f t="shared" si="9"/>
        <v>30</v>
      </c>
      <c r="B214" s="313" t="s">
        <v>9</v>
      </c>
      <c r="C214" s="325" t="str">
        <f>+"(Sum of Lines "&amp;A211&amp;" to "&amp;A213&amp;")"</f>
        <v>(Sum of Lines 27 to 29)</v>
      </c>
      <c r="D214" s="430">
        <f>SUM(D211:D213)</f>
        <v>10708261031.82</v>
      </c>
      <c r="E214" s="320" t="s">
        <v>65</v>
      </c>
      <c r="F214" s="320"/>
      <c r="G214" s="314"/>
      <c r="H214" s="314"/>
      <c r="I214" s="427">
        <f>SUM(I211:I213)</f>
        <v>7.6369980277269156E-2</v>
      </c>
      <c r="J214" s="426" t="s">
        <v>396</v>
      </c>
      <c r="K214" s="325" t="s">
        <v>224</v>
      </c>
      <c r="L214" s="290"/>
      <c r="M214" s="290"/>
      <c r="N214" s="290"/>
      <c r="P214" s="290"/>
      <c r="Q214" s="290"/>
    </row>
    <row r="215" spans="1:17">
      <c r="A215" s="367"/>
      <c r="B215" s="325"/>
      <c r="C215" s="325"/>
      <c r="D215" s="325"/>
      <c r="E215" s="314"/>
      <c r="F215" s="314"/>
      <c r="G215" s="314"/>
      <c r="H215" s="314"/>
      <c r="I215" s="325"/>
      <c r="J215" s="325"/>
      <c r="K215" s="325"/>
      <c r="L215" s="290"/>
      <c r="M215" s="290"/>
      <c r="N215" s="290"/>
      <c r="P215" s="290"/>
      <c r="Q215" s="290"/>
    </row>
    <row r="216" spans="1:17">
      <c r="A216" s="367"/>
      <c r="B216" s="297" t="s">
        <v>403</v>
      </c>
      <c r="C216" s="298"/>
      <c r="D216" s="298"/>
      <c r="E216" s="298"/>
      <c r="F216" s="298"/>
      <c r="G216" s="298"/>
      <c r="H216" s="298"/>
      <c r="I216" s="298"/>
      <c r="J216" s="298"/>
      <c r="K216" s="298"/>
      <c r="L216" s="290"/>
      <c r="M216" s="290"/>
      <c r="N216" s="290"/>
      <c r="P216" s="290"/>
      <c r="Q216" s="290"/>
    </row>
    <row r="217" spans="1:17">
      <c r="A217" s="367"/>
      <c r="B217" s="297"/>
      <c r="C217" s="297"/>
      <c r="D217" s="297"/>
      <c r="E217" s="297"/>
      <c r="F217" s="297"/>
      <c r="G217" s="297"/>
      <c r="H217" s="297"/>
      <c r="I217" s="433"/>
      <c r="J217" s="335"/>
      <c r="K217" s="325"/>
      <c r="L217" s="290"/>
      <c r="M217" s="290"/>
      <c r="N217" s="290"/>
      <c r="P217" s="290"/>
      <c r="Q217" s="290"/>
    </row>
    <row r="218" spans="1:17">
      <c r="A218" s="367"/>
      <c r="B218" s="297" t="s">
        <v>404</v>
      </c>
      <c r="C218" s="298"/>
      <c r="D218" s="298"/>
      <c r="E218" s="298"/>
      <c r="F218" s="298"/>
      <c r="G218" s="431" t="s">
        <v>65</v>
      </c>
      <c r="H218" s="432"/>
      <c r="I218" s="433"/>
      <c r="J218" s="433"/>
      <c r="K218" s="325"/>
      <c r="L218" s="290"/>
      <c r="M218" s="290"/>
      <c r="N218" s="290"/>
      <c r="P218" s="290"/>
      <c r="Q218" s="290"/>
    </row>
    <row r="219" spans="1:17">
      <c r="A219" s="367">
        <f>+A214+1</f>
        <v>31</v>
      </c>
      <c r="B219" s="738" t="s">
        <v>843</v>
      </c>
      <c r="C219" s="298"/>
      <c r="D219" s="298"/>
      <c r="E219" s="325"/>
      <c r="F219" s="298"/>
      <c r="G219" s="325"/>
      <c r="H219" s="432"/>
      <c r="I219" s="434"/>
      <c r="J219" s="435"/>
      <c r="K219" s="325"/>
      <c r="L219" s="290"/>
      <c r="M219" s="290"/>
      <c r="N219" s="290"/>
      <c r="P219" s="290"/>
      <c r="Q219" s="290"/>
    </row>
    <row r="220" spans="1:17" ht="13.8" thickBot="1">
      <c r="A220" s="367">
        <f>+A219+1</f>
        <v>32</v>
      </c>
      <c r="B220" s="742" t="s">
        <v>843</v>
      </c>
      <c r="C220" s="417"/>
      <c r="D220" s="992"/>
      <c r="E220" s="993"/>
      <c r="F220" s="993"/>
      <c r="G220" s="993"/>
      <c r="H220" s="298"/>
      <c r="I220" s="436"/>
      <c r="J220" s="437"/>
      <c r="K220" s="325"/>
      <c r="N220" s="290"/>
      <c r="P220" s="290"/>
      <c r="Q220" s="290"/>
    </row>
    <row r="221" spans="1:17">
      <c r="A221" s="367">
        <f>+A220+1</f>
        <v>33</v>
      </c>
      <c r="B221" s="337" t="s">
        <v>113</v>
      </c>
      <c r="C221" s="325" t="str">
        <f>+"(Sum of Line "&amp;A219&amp;" + Line "&amp;A220&amp;")"</f>
        <v>(Sum of Line 31 + Line 32)</v>
      </c>
      <c r="D221" s="325"/>
      <c r="E221" s="298"/>
      <c r="F221" s="298"/>
      <c r="G221" s="298"/>
      <c r="H221" s="298"/>
      <c r="I221" s="1169">
        <f>I219+I220</f>
        <v>0</v>
      </c>
      <c r="J221" s="435"/>
      <c r="K221" s="325"/>
      <c r="N221" s="290"/>
      <c r="P221" s="290"/>
      <c r="Q221" s="290"/>
    </row>
    <row r="222" spans="1:17">
      <c r="A222" s="367"/>
      <c r="B222" s="337"/>
      <c r="C222" s="304"/>
      <c r="D222" s="325"/>
      <c r="E222" s="298"/>
      <c r="F222" s="298"/>
      <c r="G222" s="298"/>
      <c r="H222" s="298"/>
      <c r="I222" s="438"/>
      <c r="J222" s="433"/>
      <c r="K222" s="325"/>
      <c r="N222" s="290"/>
      <c r="P222" s="290"/>
      <c r="Q222" s="290"/>
    </row>
    <row r="223" spans="1:17">
      <c r="A223" s="367">
        <f>+A221+1</f>
        <v>34</v>
      </c>
      <c r="B223" s="976" t="s">
        <v>740</v>
      </c>
      <c r="C223" s="304" t="str">
        <f>+"Appendix A Line "&amp;+'Appendix A'!A273&amp;" "&amp;$L$6&amp;" Column"</f>
        <v>Appendix A Line 180 Projected Column</v>
      </c>
      <c r="D223" s="331"/>
      <c r="E223" s="298"/>
      <c r="F223" s="298"/>
      <c r="G223" s="439"/>
      <c r="H223" s="298"/>
      <c r="I223" s="312">
        <f>IF($L$10=0,'Appendix A'!H273,'Appendix A'!G273)</f>
        <v>993641.04950960015</v>
      </c>
      <c r="J223" s="433"/>
      <c r="K223" s="440"/>
      <c r="N223" s="290"/>
      <c r="P223" s="290"/>
      <c r="Q223" s="290"/>
    </row>
    <row r="224" spans="1:17">
      <c r="A224" s="367"/>
      <c r="B224" s="976"/>
      <c r="C224" s="304"/>
      <c r="D224" s="331"/>
      <c r="E224" s="298"/>
      <c r="F224" s="298"/>
      <c r="G224" s="439"/>
      <c r="H224" s="298"/>
      <c r="I224" s="312"/>
      <c r="J224" s="433"/>
      <c r="K224" s="440"/>
      <c r="N224" s="290"/>
      <c r="P224" s="290"/>
      <c r="Q224" s="290"/>
    </row>
    <row r="225" spans="1:17">
      <c r="A225" s="367"/>
      <c r="B225" s="976" t="s">
        <v>775</v>
      </c>
      <c r="C225" s="298"/>
      <c r="D225" s="298"/>
      <c r="E225" s="298"/>
      <c r="F225" s="298"/>
      <c r="G225" s="298"/>
      <c r="H225" s="298"/>
      <c r="I225" s="438"/>
      <c r="J225" s="433"/>
      <c r="K225" s="440"/>
      <c r="N225" s="290"/>
      <c r="P225" s="290"/>
      <c r="Q225" s="290"/>
    </row>
    <row r="226" spans="1:17">
      <c r="A226" s="367">
        <f>+A223+1</f>
        <v>35</v>
      </c>
      <c r="B226" s="737" t="s">
        <v>801</v>
      </c>
      <c r="C226" s="314" t="str">
        <f>+"Appendix A Line "&amp;+'Appendix A'!A282&amp;" "&amp;$L$6&amp;" Column"</f>
        <v>Appendix A Line 187 Projected Column</v>
      </c>
      <c r="D226" s="331"/>
      <c r="E226" s="314"/>
      <c r="F226" s="314"/>
      <c r="G226" s="314"/>
      <c r="H226" s="314"/>
      <c r="I226" s="312">
        <f>IF($L$10=0,'Appendix A'!H282,'Appendix A'!G282)</f>
        <v>73554616.300000012</v>
      </c>
      <c r="J226" s="442"/>
      <c r="K226" s="441"/>
      <c r="N226" s="290"/>
      <c r="P226" s="290"/>
      <c r="Q226" s="290"/>
    </row>
    <row r="227" spans="1:17">
      <c r="A227" s="367">
        <f>+A226+1</f>
        <v>36</v>
      </c>
      <c r="B227" s="738" t="s">
        <v>805</v>
      </c>
      <c r="C227" s="314" t="str">
        <f>+"Appendix A Line "&amp;+'Appendix A'!A283&amp;" "&amp;$L$6&amp;" Column"</f>
        <v>Appendix A Line 188 Projected Column</v>
      </c>
      <c r="D227" s="314"/>
      <c r="E227" s="314"/>
      <c r="F227" s="314"/>
      <c r="G227" s="314"/>
      <c r="H227" s="314"/>
      <c r="I227" s="312">
        <f>IF($L$10=0,'Appendix A'!H283,'Appendix A'!G283)</f>
        <v>67238687.344148561</v>
      </c>
      <c r="J227" s="442"/>
      <c r="K227" s="441"/>
      <c r="N227" s="290"/>
      <c r="P227" s="290"/>
      <c r="Q227" s="290"/>
    </row>
    <row r="228" spans="1:17">
      <c r="A228" s="367" t="s">
        <v>656</v>
      </c>
      <c r="B228" s="738" t="s">
        <v>741</v>
      </c>
      <c r="C228" s="314" t="str">
        <f>+"Appendix A Line "&amp;+'Appendix A'!A284&amp;" "&amp;$L$6&amp;" Column"</f>
        <v>Appendix A Line 189 Projected Column</v>
      </c>
      <c r="D228" s="314"/>
      <c r="E228" s="314"/>
      <c r="F228" s="314"/>
      <c r="G228" s="314"/>
      <c r="H228" s="314"/>
      <c r="I228" s="312">
        <f>IF($L$10=0,'Appendix A'!H284,'Appendix A'!G284)</f>
        <v>0</v>
      </c>
      <c r="J228" s="442"/>
      <c r="K228" s="441"/>
      <c r="N228" s="290"/>
      <c r="P228" s="290"/>
      <c r="Q228" s="290"/>
    </row>
    <row r="229" spans="1:17" ht="13.8" thickBot="1">
      <c r="A229" s="367" t="s">
        <v>657</v>
      </c>
      <c r="B229" s="742" t="s">
        <v>742</v>
      </c>
      <c r="C229" s="417" t="str">
        <f>+"Appendix A Line "&amp;+'Appendix A'!A285&amp;" "&amp;$L$6&amp;" Column"</f>
        <v>Appendix A Line 190 Projected Column</v>
      </c>
      <c r="D229" s="417"/>
      <c r="E229" s="417"/>
      <c r="F229" s="417"/>
      <c r="G229" s="417"/>
      <c r="H229" s="314"/>
      <c r="I229" s="436">
        <f>IF($L$10=0,'Appendix A'!H285,'Appendix A'!G285)</f>
        <v>0</v>
      </c>
      <c r="J229" s="442"/>
      <c r="K229" s="441"/>
      <c r="N229" s="290"/>
      <c r="P229" s="290"/>
      <c r="Q229" s="290"/>
    </row>
    <row r="230" spans="1:17">
      <c r="A230" s="367">
        <f>+A227+1</f>
        <v>37</v>
      </c>
      <c r="B230" s="855" t="s">
        <v>113</v>
      </c>
      <c r="C230" s="314" t="str">
        <f>+"(Line "&amp;A226&amp;" - Line "&amp;A227&amp;" - Line "&amp;A228&amp;" - Line "&amp;A229&amp;")"</f>
        <v>(Line 35 - Line 36 - Line 36a - Line 36b)</v>
      </c>
      <c r="D230" s="314"/>
      <c r="E230" s="314"/>
      <c r="F230" s="314"/>
      <c r="G230" s="314"/>
      <c r="H230" s="298"/>
      <c r="I230" s="443">
        <f>+I226-I227-I228-I229</f>
        <v>6315928.9558514506</v>
      </c>
      <c r="J230" s="442"/>
      <c r="K230" s="442"/>
      <c r="N230" s="290"/>
      <c r="P230" s="290"/>
      <c r="Q230" s="290"/>
    </row>
    <row r="231" spans="1:17">
      <c r="A231" s="367"/>
      <c r="B231" s="331"/>
      <c r="C231" s="367"/>
      <c r="D231" s="314"/>
      <c r="E231" s="314"/>
      <c r="F231" s="314"/>
      <c r="G231" s="314"/>
      <c r="H231" s="298"/>
      <c r="I231" s="444"/>
      <c r="J231" s="442"/>
      <c r="K231" s="442"/>
      <c r="N231" s="290"/>
      <c r="P231" s="290"/>
      <c r="Q231" s="290"/>
    </row>
    <row r="232" spans="1:17">
      <c r="A232" s="331"/>
      <c r="B232" s="331" t="s">
        <v>405</v>
      </c>
      <c r="C232" s="331"/>
      <c r="D232" s="331"/>
      <c r="E232" s="331"/>
      <c r="F232" s="331"/>
      <c r="G232" s="331"/>
      <c r="H232" s="331"/>
      <c r="I232" s="331"/>
      <c r="J232" s="331"/>
      <c r="K232" s="331"/>
      <c r="N232" s="290"/>
      <c r="P232" s="290"/>
      <c r="Q232" s="290"/>
    </row>
    <row r="233" spans="1:17" ht="15.6">
      <c r="A233" s="367">
        <f>+A230+1</f>
        <v>38</v>
      </c>
      <c r="B233" s="743" t="s">
        <v>406</v>
      </c>
      <c r="C233" s="314" t="str">
        <f>+"Appendix A Line "&amp;+'Appendix A'!A222&amp;" "&amp;$L$6&amp;" Column"</f>
        <v>Appendix A Line 147 Projected Column</v>
      </c>
      <c r="D233" s="399">
        <f>IF($L$10=0,'Appendix A'!H222,'Appendix A'!G222)</f>
        <v>0.35</v>
      </c>
      <c r="E233" s="445"/>
      <c r="F233" s="331"/>
      <c r="G233" s="445"/>
      <c r="H233" s="446"/>
      <c r="I233" s="446"/>
      <c r="J233" s="446"/>
      <c r="K233" s="446"/>
      <c r="N233" s="290"/>
      <c r="P233" s="290"/>
      <c r="Q233" s="290"/>
    </row>
    <row r="234" spans="1:17" ht="15.6">
      <c r="A234" s="367">
        <f>+A233+1</f>
        <v>39</v>
      </c>
      <c r="B234" s="743" t="s">
        <v>407</v>
      </c>
      <c r="C234" s="314" t="str">
        <f>+"Appendix A Line "&amp;+'Appendix A'!A223&amp;" "&amp;$L$6&amp;" Column"</f>
        <v>Appendix A Line 148 Projected Column</v>
      </c>
      <c r="D234" s="399">
        <f>IF($L$10=0,'Appendix A'!H223,'Appendix A'!G223)</f>
        <v>0.08</v>
      </c>
      <c r="E234" s="331"/>
      <c r="F234" s="832" t="s">
        <v>408</v>
      </c>
      <c r="G234" s="445"/>
      <c r="H234" s="445"/>
      <c r="I234" s="445"/>
      <c r="J234" s="445"/>
      <c r="K234" s="445"/>
      <c r="L234" s="447"/>
      <c r="M234" s="447"/>
      <c r="N234" s="290"/>
      <c r="P234" s="290"/>
      <c r="Q234" s="290"/>
    </row>
    <row r="235" spans="1:17" ht="15.6">
      <c r="A235" s="367">
        <f>+A234+1</f>
        <v>40</v>
      </c>
      <c r="B235" s="743" t="s">
        <v>409</v>
      </c>
      <c r="C235" s="314" t="str">
        <f>+"Appendix A Line "&amp;+'Appendix A'!A224&amp;" "&amp;$L$6&amp;" Column"</f>
        <v>Appendix A Line 149 Projected Column</v>
      </c>
      <c r="D235" s="399">
        <f>IF($L$10=0,'Appendix A'!H224,'Appendix A'!G224)</f>
        <v>1</v>
      </c>
      <c r="E235" s="331"/>
      <c r="F235" s="832" t="s">
        <v>612</v>
      </c>
      <c r="G235" s="445"/>
      <c r="H235" s="445"/>
      <c r="I235" s="445"/>
      <c r="J235" s="445"/>
      <c r="K235" s="445"/>
      <c r="L235" s="448"/>
      <c r="M235" s="448"/>
      <c r="N235" s="290"/>
      <c r="P235" s="290"/>
      <c r="Q235" s="290"/>
    </row>
    <row r="236" spans="1:17" ht="10.5" customHeight="1">
      <c r="A236" s="331"/>
      <c r="B236" s="331"/>
      <c r="C236" s="331"/>
      <c r="D236" s="331"/>
      <c r="E236" s="331"/>
      <c r="F236" s="331"/>
      <c r="G236" s="331"/>
      <c r="H236" s="331"/>
      <c r="I236" s="331"/>
      <c r="J236" s="331"/>
      <c r="L236" s="448"/>
      <c r="M236" s="448"/>
    </row>
    <row r="237" spans="1:17">
      <c r="A237" s="331" t="s">
        <v>298</v>
      </c>
      <c r="B237" s="331"/>
      <c r="C237" s="331"/>
      <c r="D237" s="331"/>
      <c r="E237" s="331"/>
      <c r="F237" s="331"/>
      <c r="G237" s="331"/>
      <c r="H237" s="331"/>
      <c r="I237" s="331"/>
      <c r="J237" s="331"/>
    </row>
    <row r="238" spans="1:17">
      <c r="A238" s="1170" t="s">
        <v>167</v>
      </c>
      <c r="B238" s="331" t="s">
        <v>844</v>
      </c>
      <c r="C238" s="331"/>
      <c r="D238" s="331"/>
      <c r="E238" s="331"/>
      <c r="F238" s="331"/>
      <c r="G238" s="331"/>
      <c r="H238" s="331"/>
      <c r="I238" s="331"/>
      <c r="J238" s="331"/>
    </row>
    <row r="239" spans="1:17">
      <c r="A239" s="331"/>
      <c r="B239" s="331"/>
      <c r="C239" s="331"/>
      <c r="D239" s="331"/>
      <c r="E239" s="331"/>
      <c r="F239" s="331"/>
      <c r="G239" s="331"/>
      <c r="H239" s="331"/>
      <c r="I239" s="331"/>
      <c r="J239" s="331"/>
    </row>
  </sheetData>
  <mergeCells count="4">
    <mergeCell ref="A185:K185"/>
    <mergeCell ref="C137:C138"/>
    <mergeCell ref="L4:O5"/>
    <mergeCell ref="F63:G63"/>
  </mergeCells>
  <dataValidations count="1">
    <dataValidation type="list" allowBlank="1" showInputMessage="1" showErrorMessage="1" sqref="L6">
      <formula1>$L$8:$L$9</formula1>
    </dataValidation>
  </dataValidations>
  <printOptions horizontalCentered="1"/>
  <pageMargins left="0.5" right="0.5" top="0.6" bottom="0.65" header="0.5" footer="0.5"/>
  <pageSetup scale="65" fitToHeight="0" orientation="landscape" r:id="rId1"/>
  <rowBreaks count="2" manualBreakCount="2">
    <brk id="53" max="10" man="1"/>
    <brk id="113" max="10" man="1"/>
  </rowBreaks>
  <ignoredErrors>
    <ignoredError sqref="B9:I9 B61:I61 B183:I183 B121:I121" numberStoredAsText="1"/>
    <ignoredError sqref="A15:A37 B39 A38:A42 I28 A46:A81 A84:A90 A95:A137 A140:A174 A189:A193 A198:A227 A230:A235 I229 I51:I52" unlockedFormula="1"/>
    <ignoredError sqref="G129:I131 M129:M131"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H54"/>
  <sheetViews>
    <sheetView zoomScale="80" zoomScaleNormal="80" workbookViewId="0">
      <selection activeCell="A21" sqref="A21"/>
    </sheetView>
  </sheetViews>
  <sheetFormatPr defaultColWidth="8.88671875" defaultRowHeight="13.8"/>
  <cols>
    <col min="1" max="1" width="4.88671875" style="211" customWidth="1"/>
    <col min="2" max="2" width="50" style="211" customWidth="1"/>
    <col min="3" max="3" width="13.33203125" style="211" customWidth="1"/>
    <col min="4" max="4" width="13.33203125" style="512" bestFit="1" customWidth="1"/>
    <col min="5" max="5" width="12.33203125" style="512" bestFit="1" customWidth="1"/>
    <col min="6" max="6" width="12.44140625" style="512" customWidth="1"/>
    <col min="7" max="7" width="12.33203125" style="512" bestFit="1" customWidth="1"/>
    <col min="8" max="8" width="10.6640625" style="215" bestFit="1" customWidth="1"/>
    <col min="9" max="34" width="8.88671875" style="1889"/>
    <col min="35" max="16384" width="8.88671875" style="211"/>
  </cols>
  <sheetData>
    <row r="1" spans="1:34">
      <c r="A1" s="1983" t="str">
        <f>+'MISO Cover'!C6</f>
        <v>Entergy Louisiana, LLC</v>
      </c>
      <c r="B1" s="1983"/>
      <c r="C1" s="1983"/>
      <c r="D1" s="1983"/>
      <c r="E1" s="1983"/>
      <c r="F1" s="1983"/>
      <c r="G1" s="1983"/>
      <c r="H1" s="1983"/>
      <c r="I1" s="1888"/>
    </row>
    <row r="2" spans="1:34" s="212" customFormat="1">
      <c r="A2" s="1984" t="s">
        <v>659</v>
      </c>
      <c r="B2" s="1984"/>
      <c r="C2" s="1984"/>
      <c r="D2" s="1984"/>
      <c r="E2" s="1984"/>
      <c r="F2" s="1984"/>
      <c r="G2" s="1984"/>
      <c r="H2" s="1984"/>
      <c r="I2" s="1890"/>
      <c r="J2" s="1891"/>
      <c r="K2" s="1891"/>
      <c r="L2" s="1891"/>
      <c r="M2" s="1891"/>
      <c r="N2" s="1891"/>
      <c r="O2" s="1891"/>
      <c r="P2" s="1891"/>
      <c r="Q2" s="1891"/>
      <c r="R2" s="1891"/>
      <c r="S2" s="1891"/>
      <c r="T2" s="1891"/>
      <c r="U2" s="1891"/>
      <c r="V2" s="1891"/>
      <c r="W2" s="1891"/>
      <c r="X2" s="1891"/>
      <c r="Y2" s="1891"/>
      <c r="Z2" s="1891"/>
      <c r="AA2" s="1891"/>
      <c r="AB2" s="1891"/>
      <c r="AC2" s="1891"/>
      <c r="AD2" s="1891"/>
      <c r="AE2" s="1891"/>
      <c r="AF2" s="1891"/>
      <c r="AG2" s="1891"/>
      <c r="AH2" s="1891"/>
    </row>
    <row r="3" spans="1:34" s="212" customFormat="1">
      <c r="A3" s="1984" t="str">
        <f>+'MISO Cover'!K4</f>
        <v>For  the 12 Months Ended 12/31/2016</v>
      </c>
      <c r="B3" s="1984"/>
      <c r="C3" s="1984"/>
      <c r="D3" s="1984"/>
      <c r="E3" s="1984"/>
      <c r="F3" s="1984"/>
      <c r="G3" s="1984"/>
      <c r="H3" s="1984"/>
      <c r="I3" s="1890"/>
      <c r="J3" s="1891"/>
      <c r="K3" s="1891"/>
      <c r="L3" s="1891"/>
      <c r="M3" s="1891"/>
      <c r="N3" s="1891"/>
      <c r="O3" s="1891"/>
      <c r="P3" s="1891"/>
      <c r="Q3" s="1891"/>
      <c r="R3" s="1891"/>
      <c r="S3" s="1891"/>
      <c r="T3" s="1891"/>
      <c r="U3" s="1891"/>
      <c r="V3" s="1891"/>
      <c r="W3" s="1891"/>
      <c r="X3" s="1891"/>
      <c r="Y3" s="1891"/>
      <c r="Z3" s="1891"/>
      <c r="AA3" s="1891"/>
      <c r="AB3" s="1891"/>
      <c r="AC3" s="1891"/>
      <c r="AD3" s="1891"/>
      <c r="AE3" s="1891"/>
      <c r="AF3" s="1891"/>
      <c r="AG3" s="1891"/>
      <c r="AH3" s="1891"/>
    </row>
    <row r="4" spans="1:34" s="212" customFormat="1">
      <c r="A4" s="680"/>
      <c r="B4" s="680"/>
      <c r="C4" s="680"/>
      <c r="D4" s="680"/>
      <c r="E4" s="680"/>
      <c r="F4" s="680"/>
      <c r="G4" s="680"/>
      <c r="H4" s="680"/>
      <c r="I4" s="1890"/>
      <c r="J4" s="1891"/>
      <c r="K4" s="1891"/>
      <c r="L4" s="1891"/>
      <c r="M4" s="1891"/>
      <c r="N4" s="1891"/>
      <c r="O4" s="1891"/>
      <c r="P4" s="1891"/>
      <c r="Q4" s="1891"/>
      <c r="R4" s="1891"/>
      <c r="S4" s="1891"/>
      <c r="T4" s="1891"/>
      <c r="U4" s="1891"/>
      <c r="V4" s="1891"/>
      <c r="W4" s="1891"/>
      <c r="X4" s="1891"/>
      <c r="Y4" s="1891"/>
      <c r="Z4" s="1891"/>
      <c r="AA4" s="1891"/>
      <c r="AB4" s="1891"/>
      <c r="AC4" s="1891"/>
      <c r="AD4" s="1891"/>
      <c r="AE4" s="1891"/>
      <c r="AF4" s="1891"/>
      <c r="AG4" s="1891"/>
      <c r="AH4" s="1891"/>
    </row>
    <row r="5" spans="1:34" s="212" customFormat="1">
      <c r="A5" s="510" t="s">
        <v>279</v>
      </c>
      <c r="B5" s="510" t="s">
        <v>67</v>
      </c>
      <c r="C5" s="510" t="s">
        <v>114</v>
      </c>
      <c r="D5" s="584" t="s">
        <v>55</v>
      </c>
      <c r="E5" s="584" t="s">
        <v>68</v>
      </c>
      <c r="F5" s="496" t="s">
        <v>66</v>
      </c>
      <c r="G5" s="496" t="s">
        <v>154</v>
      </c>
      <c r="H5" s="513" t="s">
        <v>69</v>
      </c>
      <c r="I5" s="1890"/>
      <c r="J5" s="1891"/>
      <c r="K5" s="1891"/>
      <c r="L5" s="1891"/>
      <c r="M5" s="1891"/>
      <c r="N5" s="1891"/>
      <c r="O5" s="1891"/>
      <c r="P5" s="1891"/>
      <c r="Q5" s="1891"/>
      <c r="R5" s="1891"/>
      <c r="S5" s="1891"/>
      <c r="T5" s="1891"/>
      <c r="U5" s="1891"/>
      <c r="V5" s="1891"/>
      <c r="W5" s="1891"/>
      <c r="X5" s="1891"/>
      <c r="Y5" s="1891"/>
      <c r="Z5" s="1891"/>
      <c r="AA5" s="1891"/>
      <c r="AB5" s="1891"/>
      <c r="AC5" s="1891"/>
      <c r="AD5" s="1891"/>
      <c r="AE5" s="1891"/>
      <c r="AF5" s="1891"/>
      <c r="AG5" s="1891"/>
      <c r="AH5" s="1891"/>
    </row>
    <row r="6" spans="1:34">
      <c r="A6" s="568"/>
      <c r="B6" s="540"/>
      <c r="C6" s="540"/>
      <c r="D6" s="585"/>
      <c r="E6" s="582"/>
      <c r="F6" s="582"/>
      <c r="G6" s="582"/>
      <c r="H6" s="540"/>
      <c r="I6" s="1888"/>
    </row>
    <row r="7" spans="1:34" ht="27.6" customHeight="1">
      <c r="A7" s="833">
        <v>1</v>
      </c>
      <c r="B7" s="1478" t="s">
        <v>10</v>
      </c>
      <c r="C7" s="1146" t="s">
        <v>146</v>
      </c>
      <c r="D7" s="1479" t="s">
        <v>722</v>
      </c>
      <c r="E7" s="1479" t="s">
        <v>724</v>
      </c>
      <c r="F7" s="1480" t="s">
        <v>723</v>
      </c>
      <c r="G7" s="1480" t="s">
        <v>725</v>
      </c>
      <c r="H7" s="1146" t="s">
        <v>139</v>
      </c>
      <c r="I7" s="1888"/>
    </row>
    <row r="8" spans="1:34">
      <c r="A8" s="834">
        <f>+A7+0.01</f>
        <v>1.01</v>
      </c>
      <c r="B8" s="1248" t="s">
        <v>258</v>
      </c>
      <c r="C8" s="1618">
        <v>-365648865.21000004</v>
      </c>
      <c r="D8" s="1202">
        <f>+C8</f>
        <v>-365648865.21000004</v>
      </c>
      <c r="E8" s="1202"/>
      <c r="F8" s="1202"/>
      <c r="G8" s="1202"/>
      <c r="H8" s="1300" t="s">
        <v>1995</v>
      </c>
      <c r="I8" s="1358"/>
    </row>
    <row r="9" spans="1:34">
      <c r="A9" s="834">
        <f t="shared" ref="A9:A35" si="0">+A8+0.01</f>
        <v>1.02</v>
      </c>
      <c r="B9" s="1249" t="s">
        <v>11</v>
      </c>
      <c r="C9" s="1277">
        <v>5858254</v>
      </c>
      <c r="D9" s="1502"/>
      <c r="E9" s="1502"/>
      <c r="F9" s="1502"/>
      <c r="G9" s="1502">
        <f>+C9</f>
        <v>5858254</v>
      </c>
      <c r="H9" s="1300" t="s">
        <v>1996</v>
      </c>
      <c r="I9" s="1358"/>
    </row>
    <row r="10" spans="1:34">
      <c r="A10" s="834">
        <f>+A9+0.01</f>
        <v>1.03</v>
      </c>
      <c r="B10" s="1249" t="s">
        <v>1312</v>
      </c>
      <c r="C10" s="1277">
        <v>37367</v>
      </c>
      <c r="D10" s="1502"/>
      <c r="E10" s="1502"/>
      <c r="F10" s="1502"/>
      <c r="G10" s="1502">
        <f>+C10</f>
        <v>37367</v>
      </c>
      <c r="H10" s="1300" t="s">
        <v>1997</v>
      </c>
      <c r="I10" s="277" t="s">
        <v>1994</v>
      </c>
    </row>
    <row r="11" spans="1:34">
      <c r="A11" s="834">
        <f>+A10+0.01</f>
        <v>1.04</v>
      </c>
      <c r="B11" s="1249" t="s">
        <v>17</v>
      </c>
      <c r="C11" s="1277">
        <v>2691</v>
      </c>
      <c r="D11" s="1502"/>
      <c r="E11" s="1502"/>
      <c r="F11" s="1502">
        <f>+C11</f>
        <v>2691</v>
      </c>
      <c r="G11" s="1502"/>
      <c r="H11" s="1300" t="s">
        <v>1998</v>
      </c>
      <c r="I11" s="1358"/>
    </row>
    <row r="12" spans="1:34">
      <c r="A12" s="834">
        <f t="shared" si="0"/>
        <v>1.05</v>
      </c>
      <c r="B12" s="1248" t="s">
        <v>259</v>
      </c>
      <c r="C12" s="1277">
        <v>7848315.830000001</v>
      </c>
      <c r="D12" s="1502">
        <f t="shared" ref="D12" si="1">+C12</f>
        <v>7848315.830000001</v>
      </c>
      <c r="E12" s="1502"/>
      <c r="F12" s="1502"/>
      <c r="G12" s="1502"/>
      <c r="H12" s="1300" t="s">
        <v>1999</v>
      </c>
      <c r="I12" s="1358"/>
    </row>
    <row r="13" spans="1:34" s="213" customFormat="1">
      <c r="A13" s="834">
        <f t="shared" si="0"/>
        <v>1.06</v>
      </c>
      <c r="B13" s="1249" t="s">
        <v>12</v>
      </c>
      <c r="C13" s="1277">
        <v>4104</v>
      </c>
      <c r="D13" s="1502"/>
      <c r="E13" s="1502"/>
      <c r="F13" s="1502"/>
      <c r="G13" s="1502">
        <f>+C13</f>
        <v>4104</v>
      </c>
      <c r="H13" s="1300" t="s">
        <v>2000</v>
      </c>
      <c r="I13" s="1358"/>
      <c r="J13" s="1889"/>
      <c r="K13" s="1889"/>
      <c r="L13" s="1889"/>
      <c r="M13" s="1889"/>
      <c r="N13" s="1889"/>
      <c r="O13" s="1889"/>
      <c r="P13" s="1889"/>
      <c r="Q13" s="1889"/>
      <c r="R13" s="1889"/>
      <c r="S13" s="1889"/>
      <c r="T13" s="1889"/>
      <c r="U13" s="1889"/>
      <c r="V13" s="1889"/>
      <c r="W13" s="1889"/>
      <c r="X13" s="1889"/>
      <c r="Y13" s="1889"/>
      <c r="Z13" s="1889"/>
      <c r="AA13" s="1889"/>
      <c r="AB13" s="1889"/>
      <c r="AC13" s="1889"/>
      <c r="AD13" s="1889"/>
      <c r="AE13" s="1889"/>
      <c r="AF13" s="1889"/>
      <c r="AG13" s="1889"/>
      <c r="AH13" s="1889"/>
    </row>
    <row r="14" spans="1:34" s="213" customFormat="1">
      <c r="A14" s="834">
        <f t="shared" si="0"/>
        <v>1.07</v>
      </c>
      <c r="B14" s="1249" t="s">
        <v>1028</v>
      </c>
      <c r="C14" s="1277">
        <v>2409648.2400000002</v>
      </c>
      <c r="D14" s="1502"/>
      <c r="E14" s="1502"/>
      <c r="F14" s="1502">
        <f>+C14</f>
        <v>2409648.2400000002</v>
      </c>
      <c r="G14" s="1502"/>
      <c r="H14" s="1300" t="s">
        <v>2001</v>
      </c>
      <c r="I14" s="1358"/>
      <c r="J14" s="1889"/>
      <c r="K14" s="1889"/>
      <c r="L14" s="1889"/>
      <c r="M14" s="1889"/>
      <c r="N14" s="1889"/>
      <c r="O14" s="1889"/>
      <c r="P14" s="1889"/>
      <c r="Q14" s="1889"/>
      <c r="R14" s="1889"/>
      <c r="S14" s="1889"/>
      <c r="T14" s="1889"/>
      <c r="U14" s="1889"/>
      <c r="V14" s="1889"/>
      <c r="W14" s="1889"/>
      <c r="X14" s="1889"/>
      <c r="Y14" s="1889"/>
      <c r="Z14" s="1889"/>
      <c r="AA14" s="1889"/>
      <c r="AB14" s="1889"/>
      <c r="AC14" s="1889"/>
      <c r="AD14" s="1889"/>
      <c r="AE14" s="1889"/>
      <c r="AF14" s="1889"/>
      <c r="AG14" s="1889"/>
      <c r="AH14" s="1889"/>
    </row>
    <row r="15" spans="1:34">
      <c r="A15" s="834">
        <f t="shared" si="0"/>
        <v>1.08</v>
      </c>
      <c r="B15" s="1249" t="s">
        <v>18</v>
      </c>
      <c r="C15" s="1277">
        <v>0</v>
      </c>
      <c r="D15" s="1502">
        <f t="shared" ref="D15" si="2">+C15</f>
        <v>0</v>
      </c>
      <c r="E15" s="1502"/>
      <c r="F15" s="1502"/>
      <c r="G15" s="1502"/>
      <c r="H15" s="1297"/>
      <c r="I15" s="1358"/>
    </row>
    <row r="16" spans="1:34">
      <c r="A16" s="834">
        <f t="shared" si="0"/>
        <v>1.0900000000000001</v>
      </c>
      <c r="B16" s="1249" t="s">
        <v>14</v>
      </c>
      <c r="C16" s="1277">
        <v>0</v>
      </c>
      <c r="D16" s="1502">
        <f t="shared" ref="D16" si="3">+C16</f>
        <v>0</v>
      </c>
      <c r="E16" s="1502"/>
      <c r="F16" s="1502"/>
      <c r="G16" s="1502"/>
      <c r="H16" s="1297"/>
      <c r="I16" s="1358"/>
    </row>
    <row r="17" spans="1:15">
      <c r="A17" s="834">
        <f t="shared" si="0"/>
        <v>1.1000000000000001</v>
      </c>
      <c r="B17" s="1249" t="s">
        <v>13</v>
      </c>
      <c r="C17" s="1277">
        <v>103200</v>
      </c>
      <c r="D17" s="1502">
        <f t="shared" ref="D17" si="4">+C17</f>
        <v>103200</v>
      </c>
      <c r="E17" s="1502"/>
      <c r="F17" s="1502"/>
      <c r="G17" s="1502"/>
      <c r="H17" s="1300" t="s">
        <v>2002</v>
      </c>
      <c r="I17" s="1358"/>
    </row>
    <row r="18" spans="1:15">
      <c r="A18" s="834">
        <f t="shared" si="0"/>
        <v>1.1100000000000001</v>
      </c>
      <c r="B18" s="1249" t="s">
        <v>1027</v>
      </c>
      <c r="C18" s="1277">
        <v>587180</v>
      </c>
      <c r="D18" s="1502">
        <f t="shared" ref="D18" si="5">+C18</f>
        <v>587180</v>
      </c>
      <c r="E18" s="1502"/>
      <c r="F18" s="1502"/>
      <c r="G18" s="1502"/>
      <c r="H18" s="1300" t="s">
        <v>2003</v>
      </c>
      <c r="I18" s="1358"/>
    </row>
    <row r="19" spans="1:15">
      <c r="A19" s="834">
        <f t="shared" si="0"/>
        <v>1.1200000000000001</v>
      </c>
      <c r="B19" s="1249" t="s">
        <v>15</v>
      </c>
      <c r="C19" s="1277">
        <v>0</v>
      </c>
      <c r="D19" s="1502">
        <f t="shared" ref="D19" si="6">+C19</f>
        <v>0</v>
      </c>
      <c r="E19" s="1502"/>
      <c r="F19" s="1502"/>
      <c r="G19" s="1502"/>
      <c r="H19" s="1297"/>
      <c r="I19" s="1358"/>
    </row>
    <row r="20" spans="1:15">
      <c r="A20" s="834">
        <f t="shared" si="0"/>
        <v>1.1300000000000001</v>
      </c>
      <c r="B20" s="1249" t="s">
        <v>265</v>
      </c>
      <c r="C20" s="1277">
        <v>104409761.89999999</v>
      </c>
      <c r="E20" s="1502"/>
      <c r="F20" s="1502">
        <f>+C20</f>
        <v>104409761.89999999</v>
      </c>
      <c r="G20" s="1502"/>
      <c r="H20" s="1300" t="s">
        <v>2004</v>
      </c>
      <c r="I20" s="1358"/>
      <c r="M20" s="557" t="s">
        <v>1316</v>
      </c>
    </row>
    <row r="21" spans="1:15">
      <c r="A21" s="834">
        <f t="shared" si="0"/>
        <v>1.1400000000000001</v>
      </c>
      <c r="B21" s="1249" t="s">
        <v>1600</v>
      </c>
      <c r="C21" s="1277">
        <v>30720732.150000002</v>
      </c>
      <c r="D21" s="1502">
        <f>+C21</f>
        <v>30720732.150000002</v>
      </c>
      <c r="E21" s="1502"/>
      <c r="G21" s="1502"/>
      <c r="H21" s="1300" t="s">
        <v>2005</v>
      </c>
      <c r="I21" s="1358"/>
      <c r="M21" s="557" t="s">
        <v>1316</v>
      </c>
    </row>
    <row r="22" spans="1:15">
      <c r="A22" s="834">
        <f t="shared" si="0"/>
        <v>1.1500000000000001</v>
      </c>
      <c r="B22" s="1249" t="s">
        <v>16</v>
      </c>
      <c r="C22" s="1277">
        <v>199786.05</v>
      </c>
      <c r="E22" s="1502"/>
      <c r="F22" s="1502">
        <f>+C22</f>
        <v>199786.05</v>
      </c>
      <c r="G22" s="1502"/>
      <c r="H22" s="1300" t="s">
        <v>2006</v>
      </c>
      <c r="I22" s="1358"/>
      <c r="M22" s="557" t="s">
        <v>1316</v>
      </c>
    </row>
    <row r="23" spans="1:15">
      <c r="A23" s="834">
        <f t="shared" si="0"/>
        <v>1.1600000000000001</v>
      </c>
      <c r="B23" s="1249" t="s">
        <v>19</v>
      </c>
      <c r="C23" s="1277">
        <v>686000</v>
      </c>
      <c r="D23" s="1502"/>
      <c r="E23" s="1502"/>
      <c r="F23" s="1502">
        <f>+C23</f>
        <v>686000</v>
      </c>
      <c r="G23" s="1502"/>
      <c r="H23" s="1300" t="s">
        <v>2007</v>
      </c>
      <c r="I23" s="1358"/>
      <c r="M23" s="557" t="s">
        <v>1316</v>
      </c>
    </row>
    <row r="24" spans="1:15">
      <c r="A24" s="834">
        <f t="shared" si="0"/>
        <v>1.1700000000000002</v>
      </c>
      <c r="B24" s="1249" t="s">
        <v>882</v>
      </c>
      <c r="C24" s="1277">
        <v>0</v>
      </c>
      <c r="D24" s="1502">
        <f t="shared" ref="D24" si="7">+C24</f>
        <v>0</v>
      </c>
      <c r="E24" s="1502"/>
      <c r="F24" s="1502"/>
      <c r="G24" s="1502"/>
      <c r="H24" s="1297"/>
      <c r="I24" s="1358"/>
    </row>
    <row r="25" spans="1:15">
      <c r="A25" s="834">
        <f t="shared" si="0"/>
        <v>1.1800000000000002</v>
      </c>
      <c r="B25" s="1250" t="str">
        <f>+"Entergy Services, Inc. 408110 Employment Taxes  (Ln "&amp;A$41&amp;")"</f>
        <v>Entergy Services, Inc. 408110 Employment Taxes  (Ln 4)</v>
      </c>
      <c r="C25" s="1277">
        <v>14812181.120000008</v>
      </c>
      <c r="D25" s="1502"/>
      <c r="E25" s="1502"/>
      <c r="F25" s="1502"/>
      <c r="G25" s="1502">
        <f>+C25</f>
        <v>14812181.120000008</v>
      </c>
      <c r="H25" s="1297" t="s">
        <v>2010</v>
      </c>
      <c r="I25" s="1358"/>
      <c r="J25" s="1892"/>
      <c r="K25" s="1892"/>
      <c r="L25" s="1892"/>
      <c r="M25" s="1892"/>
      <c r="N25" s="1892"/>
      <c r="O25" s="1893"/>
    </row>
    <row r="26" spans="1:15">
      <c r="A26" s="834">
        <f t="shared" si="0"/>
        <v>1.1900000000000002</v>
      </c>
      <c r="B26" s="1249" t="str">
        <f>+"Entergy Services, Inc. 408122 Excise Tax- State  (Ln "&amp;A$41&amp;")"</f>
        <v>Entergy Services, Inc. 408122 Excise Tax- State  (Ln 4)</v>
      </c>
      <c r="C26" s="1277">
        <v>323.20999999999998</v>
      </c>
      <c r="D26" s="1502"/>
      <c r="E26" s="1502"/>
      <c r="F26" s="1502">
        <f t="shared" ref="F26:F29" si="8">+C26</f>
        <v>323.20999999999998</v>
      </c>
      <c r="G26" s="1502"/>
      <c r="H26" s="1297" t="s">
        <v>2010</v>
      </c>
      <c r="I26" s="1358"/>
    </row>
    <row r="27" spans="1:15">
      <c r="A27" s="834">
        <f t="shared" si="0"/>
        <v>1.2000000000000002</v>
      </c>
      <c r="B27" s="1249" t="str">
        <f>+"Entergy Services, Inc. 408123 Excise Tax Federal  (Ln "&amp;A$41&amp;")"</f>
        <v>Entergy Services, Inc. 408123 Excise Tax Federal  (Ln 4)</v>
      </c>
      <c r="C27" s="1277">
        <v>266.71000000000004</v>
      </c>
      <c r="D27" s="1502"/>
      <c r="E27" s="1502"/>
      <c r="F27" s="1502">
        <f t="shared" si="8"/>
        <v>266.71000000000004</v>
      </c>
      <c r="G27" s="1502"/>
      <c r="H27" s="1297" t="s">
        <v>2010</v>
      </c>
      <c r="I27" s="1358"/>
    </row>
    <row r="28" spans="1:15">
      <c r="A28" s="834">
        <f t="shared" si="0"/>
        <v>1.2100000000000002</v>
      </c>
      <c r="B28" s="1249" t="str">
        <f>+"Entergy Services, Inc. 408142 Ad Valorem  (Ln "&amp;A$41&amp;")"</f>
        <v>Entergy Services, Inc. 408142 Ad Valorem  (Ln 4)</v>
      </c>
      <c r="C28" s="1277">
        <v>1723574.4099999997</v>
      </c>
      <c r="D28" s="1502"/>
      <c r="E28" s="1502"/>
      <c r="F28" s="1502">
        <f t="shared" si="8"/>
        <v>1723574.4099999997</v>
      </c>
      <c r="G28" s="1502"/>
      <c r="H28" s="1297" t="s">
        <v>2010</v>
      </c>
      <c r="I28" s="1358"/>
    </row>
    <row r="29" spans="1:15">
      <c r="A29" s="834">
        <f t="shared" si="0"/>
        <v>1.2200000000000002</v>
      </c>
      <c r="B29" s="1249" t="str">
        <f>+"Entergy Services, Inc. 408152 Franchise Tax State  (Ln "&amp;A$41&amp;")"</f>
        <v>Entergy Services, Inc. 408152 Franchise Tax State  (Ln 4)</v>
      </c>
      <c r="C29" s="1277">
        <v>312688.55</v>
      </c>
      <c r="D29" s="1502"/>
      <c r="E29" s="1502"/>
      <c r="F29" s="1502">
        <f t="shared" si="8"/>
        <v>312688.55</v>
      </c>
      <c r="G29" s="1502"/>
      <c r="H29" s="1297" t="s">
        <v>2010</v>
      </c>
      <c r="I29" s="1358"/>
    </row>
    <row r="30" spans="1:15">
      <c r="A30" s="834">
        <f t="shared" si="0"/>
        <v>1.2300000000000002</v>
      </c>
      <c r="B30" s="1249" t="str">
        <f>+"Entergy Services, Inc. 408165 City Occupation Tax  (Ln "&amp;A$41&amp;")"</f>
        <v>Entergy Services, Inc. 408165 City Occupation Tax  (Ln 4)</v>
      </c>
      <c r="C30" s="1277">
        <v>686.74</v>
      </c>
      <c r="D30" s="1502">
        <f>C30</f>
        <v>686.74</v>
      </c>
      <c r="E30" s="1502"/>
      <c r="F30" s="1502"/>
      <c r="G30" s="1502"/>
      <c r="H30" s="1297" t="s">
        <v>2010</v>
      </c>
      <c r="J30" s="1358" t="s">
        <v>810</v>
      </c>
    </row>
    <row r="31" spans="1:15">
      <c r="A31" s="834">
        <f t="shared" si="0"/>
        <v>1.2400000000000002</v>
      </c>
      <c r="B31" s="1249" t="s">
        <v>883</v>
      </c>
      <c r="C31" s="1277">
        <v>0</v>
      </c>
      <c r="D31" s="1502"/>
      <c r="E31" s="1502"/>
      <c r="F31" s="1502">
        <f>+C31</f>
        <v>0</v>
      </c>
      <c r="G31" s="1502"/>
      <c r="H31" s="1297" t="s">
        <v>2010</v>
      </c>
      <c r="I31" s="1358"/>
    </row>
    <row r="32" spans="1:15">
      <c r="A32" s="834">
        <f t="shared" si="0"/>
        <v>1.2500000000000002</v>
      </c>
      <c r="B32" s="1249" t="s">
        <v>586</v>
      </c>
      <c r="C32" s="1277">
        <v>5939870.3900000015</v>
      </c>
      <c r="D32" s="1502">
        <f t="shared" ref="D32:D33" si="9">+C32</f>
        <v>5939870.3900000015</v>
      </c>
      <c r="E32" s="1502"/>
      <c r="F32" s="1502"/>
      <c r="G32" s="1502"/>
      <c r="H32" s="1300" t="s">
        <v>2008</v>
      </c>
      <c r="I32" s="1358"/>
    </row>
    <row r="33" spans="1:34">
      <c r="A33" s="834">
        <f t="shared" si="0"/>
        <v>1.2600000000000002</v>
      </c>
      <c r="B33" s="1249" t="s">
        <v>1313</v>
      </c>
      <c r="C33" s="1277">
        <v>0</v>
      </c>
      <c r="D33" s="1560">
        <f t="shared" si="9"/>
        <v>0</v>
      </c>
      <c r="E33" s="1560"/>
      <c r="F33" s="1560"/>
      <c r="G33" s="1560"/>
      <c r="H33" s="1297"/>
      <c r="I33" s="1358"/>
      <c r="J33" s="1358" t="s">
        <v>1302</v>
      </c>
      <c r="M33" s="557" t="s">
        <v>1317</v>
      </c>
    </row>
    <row r="34" spans="1:34">
      <c r="A34" s="834">
        <f t="shared" si="0"/>
        <v>1.2700000000000002</v>
      </c>
      <c r="B34" s="1249" t="s">
        <v>1314</v>
      </c>
      <c r="C34" s="1277">
        <v>0</v>
      </c>
      <c r="D34" s="1560"/>
      <c r="E34" s="1560"/>
      <c r="F34" s="1502">
        <f>+C34</f>
        <v>0</v>
      </c>
      <c r="G34" s="1560"/>
      <c r="H34" s="1297"/>
      <c r="I34" s="1358"/>
      <c r="J34" s="1358" t="s">
        <v>1302</v>
      </c>
      <c r="M34" s="557" t="s">
        <v>1317</v>
      </c>
    </row>
    <row r="35" spans="1:34">
      <c r="A35" s="834">
        <f t="shared" si="0"/>
        <v>1.2800000000000002</v>
      </c>
      <c r="B35" s="1249" t="s">
        <v>1311</v>
      </c>
      <c r="C35" s="1277">
        <v>0</v>
      </c>
      <c r="D35" s="1560"/>
      <c r="E35" s="1560"/>
      <c r="F35" s="1560">
        <f>+C35</f>
        <v>0</v>
      </c>
      <c r="G35" s="1560"/>
      <c r="H35" s="1297"/>
      <c r="I35" s="1358"/>
      <c r="J35" s="1358" t="s">
        <v>1302</v>
      </c>
      <c r="M35" s="557" t="s">
        <v>1317</v>
      </c>
    </row>
    <row r="36" spans="1:34">
      <c r="A36" s="1293">
        <f>+A35+0.01</f>
        <v>1.2900000000000003</v>
      </c>
      <c r="B36" s="1294" t="s">
        <v>936</v>
      </c>
      <c r="C36" s="1295">
        <v>0</v>
      </c>
      <c r="D36" s="1296"/>
      <c r="E36" s="1296"/>
      <c r="F36" s="1296"/>
      <c r="G36" s="1296"/>
      <c r="H36" s="1297"/>
      <c r="I36" s="1358"/>
    </row>
    <row r="37" spans="1:34">
      <c r="A37" s="1293" t="s">
        <v>927</v>
      </c>
      <c r="B37" s="1294" t="s">
        <v>936</v>
      </c>
      <c r="C37" s="1295">
        <v>0</v>
      </c>
      <c r="D37" s="1296"/>
      <c r="E37" s="1296"/>
      <c r="F37" s="1296"/>
      <c r="G37" s="1296"/>
      <c r="H37" s="1297"/>
      <c r="I37" s="1358"/>
    </row>
    <row r="38" spans="1:34" ht="15.6">
      <c r="A38" s="1293" t="s">
        <v>931</v>
      </c>
      <c r="B38" s="1294" t="s">
        <v>936</v>
      </c>
      <c r="C38" s="1244">
        <v>0</v>
      </c>
      <c r="D38" s="1298"/>
      <c r="E38" s="1299"/>
      <c r="F38" s="1299"/>
      <c r="G38" s="1299"/>
      <c r="H38" s="1300"/>
      <c r="I38" s="1358"/>
    </row>
    <row r="39" spans="1:34" ht="14.4" thickBot="1">
      <c r="A39" s="835">
        <f>+A7+1</f>
        <v>2</v>
      </c>
      <c r="B39" s="214" t="str">
        <f>+"Sum Line "&amp;A7&amp;" Subparts"</f>
        <v>Sum Line 1 Subparts</v>
      </c>
      <c r="C39" s="641">
        <f>+SUM(C8:C38)</f>
        <v>-189992233.91</v>
      </c>
      <c r="D39" s="641">
        <f>+SUM(D8:D38)</f>
        <v>-320448880.10000008</v>
      </c>
      <c r="E39" s="641">
        <f>+SUM(E8:E38)</f>
        <v>0</v>
      </c>
      <c r="F39" s="641">
        <f>+SUM(F8:F38)</f>
        <v>109744740.06999996</v>
      </c>
      <c r="G39" s="641">
        <f>+SUM(G8:G38)</f>
        <v>20711906.120000008</v>
      </c>
      <c r="H39" s="516" t="s">
        <v>452</v>
      </c>
      <c r="I39" s="1888"/>
    </row>
    <row r="40" spans="1:34" ht="14.4" thickTop="1">
      <c r="A40" s="911">
        <f>+A39+1</f>
        <v>3</v>
      </c>
      <c r="B40" s="214"/>
      <c r="C40" s="514"/>
      <c r="D40" s="514"/>
      <c r="F40" s="587"/>
      <c r="G40" s="587"/>
      <c r="H40" s="516"/>
      <c r="I40" s="1888"/>
    </row>
    <row r="41" spans="1:34">
      <c r="A41" s="911">
        <f>+A40+1</f>
        <v>4</v>
      </c>
      <c r="B41" s="838" t="s">
        <v>721</v>
      </c>
      <c r="C41" s="1277">
        <v>16849720.739999957</v>
      </c>
      <c r="D41" s="839"/>
      <c r="E41" s="839"/>
      <c r="F41" s="839"/>
      <c r="G41" s="839"/>
      <c r="H41" s="1300" t="s">
        <v>2009</v>
      </c>
      <c r="I41" s="515"/>
    </row>
    <row r="42" spans="1:34">
      <c r="A42" s="911"/>
      <c r="B42" s="838"/>
      <c r="C42" s="1764"/>
      <c r="D42" s="839"/>
      <c r="E42" s="839"/>
      <c r="F42" s="839"/>
      <c r="G42" s="1764"/>
      <c r="H42" s="839"/>
      <c r="I42" s="515"/>
    </row>
    <row r="43" spans="1:34" s="176" customFormat="1" ht="13.2">
      <c r="A43" s="795" t="s">
        <v>561</v>
      </c>
      <c r="B43" s="177"/>
      <c r="C43" s="177"/>
      <c r="D43" s="77"/>
      <c r="E43" s="583"/>
      <c r="F43" s="583"/>
      <c r="G43" s="583"/>
      <c r="H43" s="836"/>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row>
    <row r="44" spans="1:34" s="176" customFormat="1" ht="53.25" customHeight="1">
      <c r="A44" s="837" t="s">
        <v>167</v>
      </c>
      <c r="B44" s="1978" t="s">
        <v>714</v>
      </c>
      <c r="C44" s="1978"/>
      <c r="D44" s="1978"/>
      <c r="E44" s="1978"/>
      <c r="F44" s="1978"/>
      <c r="G44" s="1978"/>
      <c r="H44" s="1978"/>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row>
    <row r="45" spans="1:34" s="176" customFormat="1" ht="27" customHeight="1">
      <c r="A45" s="837" t="s">
        <v>319</v>
      </c>
      <c r="B45" s="1978" t="s">
        <v>811</v>
      </c>
      <c r="C45" s="1978"/>
      <c r="D45" s="1978"/>
      <c r="E45" s="1978"/>
      <c r="F45" s="1978"/>
      <c r="G45" s="1978"/>
      <c r="H45" s="1978"/>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row>
    <row r="46" spans="1:34" s="176" customFormat="1" ht="13.2" customHeight="1">
      <c r="A46" s="837" t="s">
        <v>320</v>
      </c>
      <c r="B46" s="1978" t="s">
        <v>715</v>
      </c>
      <c r="C46" s="1978"/>
      <c r="D46" s="1978"/>
      <c r="E46" s="1978"/>
      <c r="F46" s="1978"/>
      <c r="G46" s="1978"/>
      <c r="H46" s="1978"/>
      <c r="I46" s="515"/>
      <c r="J46" s="515"/>
      <c r="K46" s="515"/>
      <c r="L46" s="515"/>
      <c r="M46" s="515"/>
      <c r="N46" s="515"/>
      <c r="O46" s="515"/>
      <c r="P46" s="515"/>
      <c r="Q46" s="515"/>
      <c r="R46" s="515"/>
      <c r="S46" s="515"/>
      <c r="T46" s="515"/>
      <c r="U46" s="515"/>
      <c r="V46" s="515"/>
      <c r="W46" s="515"/>
      <c r="X46" s="515"/>
      <c r="Y46" s="515"/>
      <c r="Z46" s="515"/>
      <c r="AA46" s="515"/>
      <c r="AB46" s="515"/>
      <c r="AC46" s="515"/>
      <c r="AD46" s="515"/>
      <c r="AE46" s="515"/>
      <c r="AF46" s="515"/>
      <c r="AG46" s="515"/>
      <c r="AH46" s="515"/>
    </row>
    <row r="47" spans="1:34" s="176" customFormat="1" ht="13.2">
      <c r="A47" s="837" t="s">
        <v>321</v>
      </c>
      <c r="B47" s="1911" t="s">
        <v>733</v>
      </c>
      <c r="C47" s="1911"/>
      <c r="D47" s="1911"/>
      <c r="E47" s="1911"/>
      <c r="F47" s="1911"/>
      <c r="G47" s="1911"/>
      <c r="H47" s="1911"/>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row>
    <row r="48" spans="1:34" ht="26.25" customHeight="1">
      <c r="A48" s="837" t="s">
        <v>322</v>
      </c>
      <c r="B48" s="1978" t="s">
        <v>716</v>
      </c>
      <c r="C48" s="1978"/>
      <c r="D48" s="1978"/>
      <c r="E48" s="1978"/>
      <c r="F48" s="1978"/>
      <c r="G48" s="1978"/>
      <c r="H48" s="1978"/>
    </row>
    <row r="49" spans="1:9" ht="28.2" customHeight="1">
      <c r="A49" s="837" t="s">
        <v>717</v>
      </c>
      <c r="B49" s="1911" t="s">
        <v>718</v>
      </c>
      <c r="C49" s="1911"/>
      <c r="D49" s="1911"/>
      <c r="E49" s="1911"/>
      <c r="F49" s="1911"/>
      <c r="G49" s="1911"/>
      <c r="H49" s="1911"/>
      <c r="I49" s="1888"/>
    </row>
    <row r="50" spans="1:9" ht="28.2" customHeight="1">
      <c r="A50" s="837" t="s">
        <v>719</v>
      </c>
      <c r="B50" s="1911" t="s">
        <v>720</v>
      </c>
      <c r="C50" s="1911"/>
      <c r="D50" s="1911"/>
      <c r="E50" s="1911"/>
      <c r="F50" s="1911"/>
      <c r="G50" s="1911"/>
      <c r="H50" s="1911"/>
      <c r="I50" s="1888"/>
    </row>
    <row r="51" spans="1:9">
      <c r="A51" s="1226"/>
      <c r="B51" s="1226"/>
      <c r="C51" s="1226"/>
      <c r="D51" s="1227"/>
      <c r="E51" s="1228"/>
      <c r="F51" s="1228"/>
      <c r="G51" s="1228"/>
      <c r="H51" s="1229"/>
      <c r="I51" s="1888"/>
    </row>
    <row r="52" spans="1:9">
      <c r="A52" s="1226"/>
      <c r="B52" s="1226"/>
      <c r="C52" s="1226"/>
      <c r="D52" s="1227"/>
      <c r="E52" s="1228"/>
      <c r="F52" s="1228"/>
      <c r="G52" s="1228"/>
      <c r="H52" s="1229"/>
    </row>
    <row r="53" spans="1:9">
      <c r="A53" s="1226"/>
      <c r="B53" s="1230"/>
      <c r="C53" s="1230"/>
      <c r="D53" s="1228"/>
      <c r="E53" s="1228"/>
      <c r="F53" s="1228"/>
      <c r="G53" s="1228"/>
      <c r="H53" s="1229"/>
    </row>
    <row r="54" spans="1:9">
      <c r="A54" s="1226"/>
      <c r="B54" s="1230"/>
      <c r="C54" s="1230"/>
      <c r="D54" s="1228"/>
      <c r="E54" s="1228"/>
      <c r="F54" s="1228"/>
      <c r="G54" s="1228"/>
      <c r="H54" s="1229"/>
    </row>
  </sheetData>
  <mergeCells count="10">
    <mergeCell ref="A1:H1"/>
    <mergeCell ref="A3:H3"/>
    <mergeCell ref="A2:H2"/>
    <mergeCell ref="B49:H49"/>
    <mergeCell ref="B47:H47"/>
    <mergeCell ref="B50:H50"/>
    <mergeCell ref="B44:H44"/>
    <mergeCell ref="B45:H45"/>
    <mergeCell ref="B46:H46"/>
    <mergeCell ref="B48:H48"/>
  </mergeCells>
  <phoneticPr fontId="106" type="noConversion"/>
  <printOptions horizontalCentered="1"/>
  <pageMargins left="0.5" right="0.5" top="0.5" bottom="0.5" header="0.3" footer="0.5"/>
  <pageSetup scale="75" orientation="portrait"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7"/>
  <sheetViews>
    <sheetView zoomScaleNormal="100" zoomScaleSheetLayoutView="100" workbookViewId="0">
      <selection activeCell="A21" sqref="A21"/>
    </sheetView>
  </sheetViews>
  <sheetFormatPr defaultColWidth="9.109375" defaultRowHeight="13.2"/>
  <cols>
    <col min="1" max="1" width="4.44140625" style="688" customWidth="1"/>
    <col min="2" max="2" width="49.109375" style="42" customWidth="1"/>
    <col min="3" max="3" width="26.44140625" style="42" customWidth="1"/>
    <col min="4" max="4" width="14" style="41" customWidth="1"/>
    <col min="5" max="15" width="14.33203125" style="41" customWidth="1"/>
    <col min="16" max="16" width="14" style="42" bestFit="1" customWidth="1"/>
    <col min="17" max="17" width="14.109375" style="249" bestFit="1" customWidth="1"/>
    <col min="18" max="16384" width="9.109375" style="42"/>
  </cols>
  <sheetData>
    <row r="1" spans="1:19">
      <c r="A1" s="1964" t="str">
        <f>+'MISO Cover'!C6</f>
        <v>Entergy Louisiana, LLC</v>
      </c>
      <c r="B1" s="1964"/>
      <c r="C1" s="1964"/>
      <c r="D1" s="184"/>
      <c r="E1" s="184"/>
      <c r="F1" s="184"/>
      <c r="G1" s="184"/>
      <c r="H1" s="184"/>
      <c r="I1" s="184"/>
      <c r="J1" s="184"/>
      <c r="K1" s="184"/>
      <c r="L1" s="184"/>
      <c r="M1" s="184"/>
      <c r="N1" s="184"/>
      <c r="O1" s="184"/>
      <c r="P1" s="184"/>
      <c r="Q1" s="224"/>
    </row>
    <row r="2" spans="1:19" s="41" customFormat="1">
      <c r="A2" s="1957" t="s">
        <v>665</v>
      </c>
      <c r="B2" s="1957"/>
      <c r="C2" s="1957"/>
      <c r="D2" s="178"/>
      <c r="E2" s="178"/>
      <c r="F2" s="178"/>
      <c r="G2" s="178"/>
      <c r="H2" s="178"/>
      <c r="I2" s="178"/>
      <c r="J2" s="178"/>
      <c r="K2" s="178"/>
      <c r="L2" s="178"/>
      <c r="M2" s="178"/>
      <c r="N2" s="178"/>
      <c r="O2" s="178"/>
      <c r="P2" s="178"/>
      <c r="Q2" s="179"/>
    </row>
    <row r="3" spans="1:19">
      <c r="A3" s="1977" t="str">
        <f>+'MISO Cover'!K4</f>
        <v>For  the 12 Months Ended 12/31/2016</v>
      </c>
      <c r="B3" s="1977"/>
      <c r="C3" s="1977"/>
      <c r="D3" s="931"/>
      <c r="E3" s="931"/>
      <c r="F3" s="931"/>
      <c r="G3" s="931"/>
      <c r="H3" s="931"/>
      <c r="I3" s="931"/>
      <c r="J3" s="931"/>
      <c r="K3" s="931"/>
      <c r="L3" s="931"/>
      <c r="M3" s="931"/>
      <c r="N3" s="931"/>
      <c r="O3" s="931"/>
      <c r="P3" s="931"/>
      <c r="Q3" s="1266"/>
    </row>
    <row r="4" spans="1:19">
      <c r="B4" s="750"/>
      <c r="C4" s="750"/>
      <c r="D4" s="750"/>
      <c r="E4" s="750"/>
      <c r="F4" s="674"/>
      <c r="G4" s="750"/>
      <c r="H4" s="750"/>
      <c r="I4" s="750"/>
      <c r="J4" s="750"/>
      <c r="K4" s="750"/>
      <c r="L4" s="750"/>
      <c r="M4" s="750"/>
      <c r="N4" s="750"/>
      <c r="O4" s="750"/>
      <c r="R4" s="477"/>
    </row>
    <row r="5" spans="1:19" s="749" customFormat="1" ht="12.75" customHeight="1">
      <c r="A5" s="688" t="s">
        <v>279</v>
      </c>
      <c r="B5" s="749" t="s">
        <v>67</v>
      </c>
      <c r="C5" s="749" t="s">
        <v>114</v>
      </c>
      <c r="D5" s="746" t="s">
        <v>55</v>
      </c>
      <c r="E5" s="675" t="s">
        <v>68</v>
      </c>
      <c r="F5" s="675" t="s">
        <v>66</v>
      </c>
      <c r="G5" s="675" t="s">
        <v>154</v>
      </c>
      <c r="H5" s="675" t="s">
        <v>69</v>
      </c>
      <c r="I5" s="675" t="s">
        <v>166</v>
      </c>
      <c r="J5" s="675" t="s">
        <v>59</v>
      </c>
      <c r="K5" s="675" t="s">
        <v>562</v>
      </c>
      <c r="L5" s="675" t="s">
        <v>71</v>
      </c>
      <c r="M5" s="675" t="s">
        <v>98</v>
      </c>
      <c r="N5" s="675" t="s">
        <v>99</v>
      </c>
      <c r="O5" s="675" t="s">
        <v>449</v>
      </c>
      <c r="P5" s="675" t="s">
        <v>221</v>
      </c>
      <c r="Q5" s="1267" t="s">
        <v>222</v>
      </c>
    </row>
    <row r="6" spans="1:19">
      <c r="B6" s="548" t="s">
        <v>112</v>
      </c>
      <c r="C6" s="548" t="s">
        <v>139</v>
      </c>
      <c r="D6" s="700" t="s">
        <v>37</v>
      </c>
      <c r="E6" s="700" t="s">
        <v>27</v>
      </c>
      <c r="F6" s="700" t="s">
        <v>28</v>
      </c>
      <c r="G6" s="700" t="s">
        <v>29</v>
      </c>
      <c r="H6" s="700" t="s">
        <v>30</v>
      </c>
      <c r="I6" s="700" t="s">
        <v>26</v>
      </c>
      <c r="J6" s="700" t="s">
        <v>31</v>
      </c>
      <c r="K6" s="700" t="s">
        <v>32</v>
      </c>
      <c r="L6" s="700" t="s">
        <v>33</v>
      </c>
      <c r="M6" s="700" t="s">
        <v>34</v>
      </c>
      <c r="N6" s="700" t="s">
        <v>35</v>
      </c>
      <c r="O6" s="700" t="s">
        <v>36</v>
      </c>
      <c r="P6" s="700" t="s">
        <v>37</v>
      </c>
      <c r="Q6" s="1268" t="s">
        <v>619</v>
      </c>
    </row>
    <row r="7" spans="1:19">
      <c r="A7" s="688">
        <v>1</v>
      </c>
      <c r="B7" s="717" t="s">
        <v>61</v>
      </c>
    </row>
    <row r="8" spans="1:19">
      <c r="A8" s="688">
        <f>+A7+1</f>
        <v>2</v>
      </c>
      <c r="B8" s="42" t="s">
        <v>574</v>
      </c>
      <c r="C8" s="41" t="s">
        <v>661</v>
      </c>
      <c r="D8" s="204">
        <v>4213000000</v>
      </c>
      <c r="E8" s="204">
        <v>4213000000</v>
      </c>
      <c r="F8" s="204">
        <v>4213000000</v>
      </c>
      <c r="G8" s="204">
        <v>4885759161.5900002</v>
      </c>
      <c r="H8" s="204">
        <v>4885759161.5900002</v>
      </c>
      <c r="I8" s="204">
        <v>5210759161.5900002</v>
      </c>
      <c r="J8" s="204">
        <v>4884489919.4000006</v>
      </c>
      <c r="K8" s="204">
        <v>4880703188.8800001</v>
      </c>
      <c r="L8" s="204">
        <v>5150703188.8800001</v>
      </c>
      <c r="M8" s="204">
        <v>4882703188.8800001</v>
      </c>
      <c r="N8" s="204">
        <v>5282703188.8800001</v>
      </c>
      <c r="O8" s="204">
        <v>5282703188.8800001</v>
      </c>
      <c r="P8" s="204">
        <v>5282703188.8800001</v>
      </c>
      <c r="Q8" s="77">
        <f>SUM(D8:P8)/13</f>
        <v>4866768195.1884604</v>
      </c>
    </row>
    <row r="9" spans="1:19">
      <c r="A9" s="688">
        <f t="shared" ref="A9:A48" si="0">+A8+1</f>
        <v>3</v>
      </c>
      <c r="B9" s="688" t="s">
        <v>637</v>
      </c>
      <c r="C9" s="41" t="s">
        <v>662</v>
      </c>
      <c r="D9" s="204">
        <v>0</v>
      </c>
      <c r="E9" s="204">
        <v>0</v>
      </c>
      <c r="F9" s="204">
        <v>0</v>
      </c>
      <c r="G9" s="204">
        <v>0</v>
      </c>
      <c r="H9" s="204">
        <v>0</v>
      </c>
      <c r="I9" s="204">
        <v>0</v>
      </c>
      <c r="J9" s="204">
        <v>0</v>
      </c>
      <c r="K9" s="204">
        <v>0</v>
      </c>
      <c r="L9" s="204">
        <v>0</v>
      </c>
      <c r="M9" s="204">
        <v>0</v>
      </c>
      <c r="N9" s="204">
        <v>0</v>
      </c>
      <c r="O9" s="204">
        <v>0</v>
      </c>
      <c r="P9" s="204">
        <v>0</v>
      </c>
      <c r="Q9" s="77">
        <f t="shared" ref="Q9:Q11" si="1">SUM(D9:P9)/13</f>
        <v>0</v>
      </c>
    </row>
    <row r="10" spans="1:19" s="180" customFormat="1" ht="26.4">
      <c r="A10" s="723">
        <f t="shared" si="0"/>
        <v>4</v>
      </c>
      <c r="B10" s="726" t="s">
        <v>583</v>
      </c>
      <c r="C10" s="820" t="s">
        <v>663</v>
      </c>
      <c r="D10" s="191">
        <v>0</v>
      </c>
      <c r="E10" s="191">
        <v>0</v>
      </c>
      <c r="F10" s="191">
        <v>0</v>
      </c>
      <c r="G10" s="191">
        <v>0</v>
      </c>
      <c r="H10" s="191">
        <v>0</v>
      </c>
      <c r="I10" s="191">
        <v>0</v>
      </c>
      <c r="J10" s="191">
        <v>0</v>
      </c>
      <c r="K10" s="191">
        <v>0</v>
      </c>
      <c r="L10" s="191">
        <v>0</v>
      </c>
      <c r="M10" s="191">
        <v>0</v>
      </c>
      <c r="N10" s="191">
        <v>0</v>
      </c>
      <c r="O10" s="191">
        <v>0</v>
      </c>
      <c r="P10" s="191">
        <v>0</v>
      </c>
      <c r="Q10" s="77">
        <f t="shared" si="1"/>
        <v>0</v>
      </c>
      <c r="S10" s="42"/>
    </row>
    <row r="11" spans="1:19">
      <c r="A11" s="688">
        <f t="shared" si="0"/>
        <v>5</v>
      </c>
      <c r="B11" s="42" t="s">
        <v>575</v>
      </c>
      <c r="C11" s="43" t="s">
        <v>664</v>
      </c>
      <c r="D11" s="191">
        <v>314684643.18000126</v>
      </c>
      <c r="E11" s="191">
        <v>309699522.90000004</v>
      </c>
      <c r="F11" s="191">
        <v>309511961.65000004</v>
      </c>
      <c r="G11" s="191">
        <v>460430760.90000015</v>
      </c>
      <c r="H11" s="191">
        <v>261748714.08999997</v>
      </c>
      <c r="I11" s="191">
        <v>261746659.60999995</v>
      </c>
      <c r="J11" s="191">
        <v>263013839.61000007</v>
      </c>
      <c r="K11" s="191">
        <v>263011769.69</v>
      </c>
      <c r="L11" s="191">
        <v>263009692.01000005</v>
      </c>
      <c r="M11" s="191">
        <v>263007606.54000002</v>
      </c>
      <c r="N11" s="191">
        <v>263005513.24000007</v>
      </c>
      <c r="O11" s="191">
        <v>263005513.24000007</v>
      </c>
      <c r="P11" s="191">
        <v>263001303.0800001</v>
      </c>
      <c r="Q11" s="558">
        <f t="shared" si="1"/>
        <v>289144423.05692327</v>
      </c>
    </row>
    <row r="12" spans="1:19">
      <c r="A12" s="688">
        <f t="shared" si="0"/>
        <v>6</v>
      </c>
      <c r="B12" s="718" t="s">
        <v>40</v>
      </c>
      <c r="C12" s="924" t="str">
        <f>+"L"&amp;A8&amp;" - L"&amp;A9&amp;" + L"&amp;A10&amp;" + L"&amp;A11</f>
        <v>L2 - L3 + L4 + L5</v>
      </c>
      <c r="D12" s="925">
        <f>+D8-D9+D10+D11</f>
        <v>4527684643.1800013</v>
      </c>
      <c r="E12" s="925">
        <f t="shared" ref="E12:Q12" si="2">+E8-E9+E10+E11</f>
        <v>4522699522.8999996</v>
      </c>
      <c r="F12" s="925">
        <f t="shared" si="2"/>
        <v>4522511961.6499996</v>
      </c>
      <c r="G12" s="925">
        <f t="shared" si="2"/>
        <v>5346189922.4900007</v>
      </c>
      <c r="H12" s="925">
        <f t="shared" si="2"/>
        <v>5147507875.6800003</v>
      </c>
      <c r="I12" s="925">
        <f t="shared" si="2"/>
        <v>5472505821.1999998</v>
      </c>
      <c r="J12" s="925">
        <f t="shared" si="2"/>
        <v>5147503759.0100002</v>
      </c>
      <c r="K12" s="925">
        <f t="shared" si="2"/>
        <v>5143714958.5699997</v>
      </c>
      <c r="L12" s="925">
        <f t="shared" si="2"/>
        <v>5413712880.8900003</v>
      </c>
      <c r="M12" s="925">
        <f t="shared" si="2"/>
        <v>5145710795.4200001</v>
      </c>
      <c r="N12" s="925">
        <f t="shared" si="2"/>
        <v>5545708702.1199999</v>
      </c>
      <c r="O12" s="925">
        <f t="shared" si="2"/>
        <v>5545708702.1199999</v>
      </c>
      <c r="P12" s="925">
        <f t="shared" si="2"/>
        <v>5545704491.96</v>
      </c>
      <c r="Q12" s="925">
        <f t="shared" si="2"/>
        <v>5155912618.2453833</v>
      </c>
    </row>
    <row r="13" spans="1:19">
      <c r="A13" s="688">
        <f t="shared" si="0"/>
        <v>7</v>
      </c>
      <c r="D13" s="77"/>
      <c r="E13" s="77"/>
      <c r="F13" s="77"/>
      <c r="G13" s="77"/>
      <c r="H13" s="77"/>
      <c r="I13" s="77"/>
      <c r="J13" s="77"/>
      <c r="K13" s="77"/>
      <c r="L13" s="77"/>
      <c r="M13" s="77"/>
      <c r="N13" s="77"/>
      <c r="O13" s="77"/>
      <c r="P13" s="77"/>
      <c r="Q13" s="77"/>
    </row>
    <row r="14" spans="1:19">
      <c r="A14" s="688">
        <f t="shared" si="0"/>
        <v>8</v>
      </c>
      <c r="B14" s="926" t="s">
        <v>587</v>
      </c>
      <c r="D14" s="77"/>
      <c r="E14" s="77"/>
      <c r="F14" s="77"/>
      <c r="G14" s="77"/>
      <c r="H14" s="77"/>
      <c r="I14" s="77"/>
      <c r="J14" s="77"/>
      <c r="K14" s="77"/>
      <c r="L14" s="77"/>
      <c r="M14" s="77"/>
      <c r="N14" s="77"/>
      <c r="O14" s="77"/>
      <c r="P14" s="77"/>
      <c r="Q14" s="77"/>
    </row>
    <row r="15" spans="1:19">
      <c r="A15" s="688">
        <f>+A14+1</f>
        <v>9</v>
      </c>
      <c r="B15" s="202" t="s">
        <v>580</v>
      </c>
      <c r="C15" s="41" t="s">
        <v>698</v>
      </c>
      <c r="D15" s="204">
        <v>39504095.990000017</v>
      </c>
      <c r="E15" s="204">
        <v>39206895.289999984</v>
      </c>
      <c r="F15" s="204">
        <v>39237270.310000002</v>
      </c>
      <c r="G15" s="204">
        <v>45356220.969999999</v>
      </c>
      <c r="H15" s="204">
        <v>44114456.279999979</v>
      </c>
      <c r="I15" s="204">
        <v>46222716.549999997</v>
      </c>
      <c r="J15" s="204">
        <v>45455842.779999994</v>
      </c>
      <c r="K15" s="204">
        <v>45344283.659999989</v>
      </c>
      <c r="L15" s="204">
        <v>53703018.569999978</v>
      </c>
      <c r="M15" s="204">
        <v>46453918.580000013</v>
      </c>
      <c r="N15" s="204">
        <v>49003878.120000012</v>
      </c>
      <c r="O15" s="204">
        <v>48694447.330000013</v>
      </c>
      <c r="P15" s="204">
        <v>48518376.030000009</v>
      </c>
      <c r="Q15" s="77">
        <f t="shared" ref="Q15:Q19" si="3">SUM(D15:P15)/13</f>
        <v>45447340.03538461</v>
      </c>
    </row>
    <row r="16" spans="1:19">
      <c r="A16" s="688">
        <f t="shared" si="0"/>
        <v>10</v>
      </c>
      <c r="B16" s="202" t="s">
        <v>638</v>
      </c>
      <c r="C16" s="41" t="s">
        <v>699</v>
      </c>
      <c r="D16" s="204">
        <v>19184054.490000002</v>
      </c>
      <c r="E16" s="204">
        <v>19010102.150000002</v>
      </c>
      <c r="F16" s="204">
        <v>18836149.800000001</v>
      </c>
      <c r="G16" s="204">
        <v>18662197.460000001</v>
      </c>
      <c r="H16" s="204">
        <v>20178212.770000007</v>
      </c>
      <c r="I16" s="204">
        <v>19995675.100000005</v>
      </c>
      <c r="J16" s="204">
        <v>21163037.030000001</v>
      </c>
      <c r="K16" s="204">
        <v>20972958.030000005</v>
      </c>
      <c r="L16" s="204">
        <v>20782878.940000001</v>
      </c>
      <c r="M16" s="204">
        <v>27636757.850000005</v>
      </c>
      <c r="N16" s="204">
        <v>27434919.309999999</v>
      </c>
      <c r="O16" s="204">
        <v>27233080.550000004</v>
      </c>
      <c r="P16" s="204">
        <v>27031242.030000005</v>
      </c>
      <c r="Q16" s="77">
        <f t="shared" si="3"/>
        <v>22163174.270000003</v>
      </c>
    </row>
    <row r="17" spans="1:26">
      <c r="A17" s="688">
        <f t="shared" si="0"/>
        <v>11</v>
      </c>
      <c r="B17" s="202" t="s">
        <v>581</v>
      </c>
      <c r="C17" s="41" t="s">
        <v>700</v>
      </c>
      <c r="D17" s="204">
        <v>0</v>
      </c>
      <c r="E17" s="204">
        <v>0</v>
      </c>
      <c r="F17" s="204">
        <v>0</v>
      </c>
      <c r="G17" s="204">
        <v>0</v>
      </c>
      <c r="H17" s="204">
        <v>0</v>
      </c>
      <c r="I17" s="204">
        <v>0</v>
      </c>
      <c r="J17" s="204">
        <v>0</v>
      </c>
      <c r="K17" s="204">
        <v>0</v>
      </c>
      <c r="L17" s="204">
        <v>0</v>
      </c>
      <c r="M17" s="204">
        <v>0</v>
      </c>
      <c r="N17" s="204">
        <v>0</v>
      </c>
      <c r="O17" s="204">
        <v>0</v>
      </c>
      <c r="P17" s="204">
        <v>0</v>
      </c>
      <c r="Q17" s="77">
        <f t="shared" si="3"/>
        <v>0</v>
      </c>
    </row>
    <row r="18" spans="1:26">
      <c r="A18" s="688">
        <f t="shared" si="0"/>
        <v>12</v>
      </c>
      <c r="B18" s="202" t="s">
        <v>579</v>
      </c>
      <c r="C18" s="41" t="s">
        <v>697</v>
      </c>
      <c r="D18" s="204">
        <v>4515451.5399999991</v>
      </c>
      <c r="E18" s="204">
        <v>4465386.6499999994</v>
      </c>
      <c r="F18" s="204">
        <v>4415321.79</v>
      </c>
      <c r="G18" s="204">
        <v>12490060.349999998</v>
      </c>
      <c r="H18" s="204">
        <v>12409319.980000002</v>
      </c>
      <c r="I18" s="204">
        <v>14267770.339999998</v>
      </c>
      <c r="J18" s="204">
        <v>13784169.34</v>
      </c>
      <c r="K18" s="204">
        <v>13694566.859999999</v>
      </c>
      <c r="L18" s="204">
        <v>13604964.35</v>
      </c>
      <c r="M18" s="204">
        <v>13515361.840000002</v>
      </c>
      <c r="N18" s="204">
        <v>15105058.779999999</v>
      </c>
      <c r="O18" s="204">
        <v>15001344.499999998</v>
      </c>
      <c r="P18" s="204">
        <v>14897630.26</v>
      </c>
      <c r="Q18" s="77">
        <f t="shared" si="3"/>
        <v>11705108.198461536</v>
      </c>
    </row>
    <row r="19" spans="1:26">
      <c r="A19" s="688">
        <f t="shared" si="0"/>
        <v>13</v>
      </c>
      <c r="B19" s="202" t="s">
        <v>639</v>
      </c>
      <c r="C19" s="41" t="s">
        <v>701</v>
      </c>
      <c r="D19" s="204">
        <v>0</v>
      </c>
      <c r="E19" s="204">
        <v>0</v>
      </c>
      <c r="F19" s="204">
        <v>0</v>
      </c>
      <c r="G19" s="204">
        <v>0</v>
      </c>
      <c r="H19" s="204">
        <v>0</v>
      </c>
      <c r="I19" s="204">
        <v>0</v>
      </c>
      <c r="J19" s="204">
        <v>0</v>
      </c>
      <c r="K19" s="204">
        <v>0</v>
      </c>
      <c r="L19" s="204">
        <v>0</v>
      </c>
      <c r="M19" s="204">
        <v>0</v>
      </c>
      <c r="N19" s="204">
        <v>0</v>
      </c>
      <c r="O19" s="204">
        <v>0</v>
      </c>
      <c r="P19" s="204">
        <v>0</v>
      </c>
      <c r="Q19" s="77">
        <f t="shared" si="3"/>
        <v>0</v>
      </c>
    </row>
    <row r="20" spans="1:26">
      <c r="A20" s="688">
        <f t="shared" si="0"/>
        <v>14</v>
      </c>
      <c r="B20" s="1016" t="s">
        <v>41</v>
      </c>
      <c r="C20" s="924" t="str">
        <f>+"L"&amp;A12&amp;" - L"&amp;A15&amp;" - L"&amp;A16&amp;" + L"&amp;A17&amp;" - L"&amp;A18&amp;" + L"&amp;A19</f>
        <v>L6 - L9 - L10 + L11 - L12 + L13</v>
      </c>
      <c r="D20" s="925">
        <f>+D12-D15-D16+D17-D18+D19</f>
        <v>4464481041.1600018</v>
      </c>
      <c r="E20" s="925">
        <f t="shared" ref="E20:Q20" si="4">+E12-E15-E16+E17-E18+E19</f>
        <v>4460017138.8100004</v>
      </c>
      <c r="F20" s="925">
        <f t="shared" si="4"/>
        <v>4460023219.749999</v>
      </c>
      <c r="G20" s="925">
        <f t="shared" si="4"/>
        <v>5269681443.71</v>
      </c>
      <c r="H20" s="925">
        <f t="shared" si="4"/>
        <v>5070805886.6500006</v>
      </c>
      <c r="I20" s="925">
        <f t="shared" si="4"/>
        <v>5392019659.2099991</v>
      </c>
      <c r="J20" s="925">
        <f t="shared" si="4"/>
        <v>5067100709.8600006</v>
      </c>
      <c r="K20" s="925">
        <f t="shared" si="4"/>
        <v>5063703150.0200005</v>
      </c>
      <c r="L20" s="925">
        <f t="shared" si="4"/>
        <v>5325622019.0300007</v>
      </c>
      <c r="M20" s="925">
        <f t="shared" si="4"/>
        <v>5058104757.1499996</v>
      </c>
      <c r="N20" s="925">
        <f t="shared" si="4"/>
        <v>5454164845.9099998</v>
      </c>
      <c r="O20" s="925">
        <f t="shared" si="4"/>
        <v>5454779829.7399998</v>
      </c>
      <c r="P20" s="925">
        <f t="shared" si="4"/>
        <v>5455257243.6400003</v>
      </c>
      <c r="Q20" s="925">
        <f t="shared" si="4"/>
        <v>5076596995.7415371</v>
      </c>
    </row>
    <row r="21" spans="1:26">
      <c r="A21" s="688">
        <f t="shared" si="0"/>
        <v>15</v>
      </c>
      <c r="D21" s="77"/>
      <c r="E21" s="77"/>
      <c r="F21" s="77"/>
      <c r="G21" s="77"/>
      <c r="H21" s="77"/>
      <c r="I21" s="77"/>
      <c r="J21" s="77"/>
      <c r="K21" s="77"/>
      <c r="L21" s="77"/>
      <c r="M21" s="77"/>
      <c r="N21" s="77"/>
      <c r="O21" s="77"/>
      <c r="P21" s="77"/>
      <c r="Q21" s="77"/>
    </row>
    <row r="22" spans="1:26">
      <c r="A22" s="688">
        <f t="shared" si="0"/>
        <v>16</v>
      </c>
      <c r="B22" s="717" t="s">
        <v>45</v>
      </c>
      <c r="D22" s="77"/>
      <c r="E22" s="77"/>
      <c r="F22" s="77"/>
      <c r="G22" s="77"/>
      <c r="H22" s="77"/>
      <c r="I22" s="77"/>
      <c r="J22" s="77"/>
      <c r="K22" s="77"/>
      <c r="L22" s="77"/>
      <c r="M22" s="77"/>
      <c r="N22" s="77"/>
      <c r="O22" s="77"/>
      <c r="P22" s="77"/>
    </row>
    <row r="23" spans="1:26">
      <c r="A23" s="688">
        <f t="shared" si="0"/>
        <v>17</v>
      </c>
      <c r="B23" s="41" t="s">
        <v>573</v>
      </c>
      <c r="C23" s="41" t="s">
        <v>890</v>
      </c>
      <c r="D23" s="77"/>
      <c r="E23" s="77"/>
      <c r="F23" s="77"/>
      <c r="G23" s="77"/>
      <c r="H23" s="77"/>
      <c r="I23" s="77"/>
      <c r="J23" s="77"/>
      <c r="K23" s="77"/>
      <c r="L23" s="77"/>
      <c r="M23" s="77"/>
      <c r="N23" s="77"/>
      <c r="O23" s="77"/>
      <c r="P23" s="204">
        <v>247627683.68000001</v>
      </c>
    </row>
    <row r="24" spans="1:26">
      <c r="A24" s="688">
        <f t="shared" si="0"/>
        <v>18</v>
      </c>
      <c r="B24" s="202" t="s">
        <v>572</v>
      </c>
      <c r="C24" s="41"/>
      <c r="D24" s="77"/>
      <c r="E24" s="77"/>
      <c r="F24" s="77"/>
      <c r="G24" s="77"/>
      <c r="H24" s="77"/>
      <c r="I24" s="77"/>
      <c r="J24" s="77"/>
      <c r="K24" s="77"/>
      <c r="L24" s="77"/>
      <c r="M24" s="77"/>
      <c r="N24" s="77"/>
      <c r="O24" s="77"/>
      <c r="P24" s="204">
        <v>0</v>
      </c>
      <c r="Q24" s="520"/>
    </row>
    <row r="25" spans="1:26">
      <c r="A25" s="688">
        <f t="shared" si="0"/>
        <v>19</v>
      </c>
      <c r="B25" s="41" t="s">
        <v>577</v>
      </c>
      <c r="C25" s="41" t="s">
        <v>891</v>
      </c>
      <c r="D25" s="77"/>
      <c r="E25" s="77"/>
      <c r="F25" s="77"/>
      <c r="G25" s="77"/>
      <c r="H25" s="77"/>
      <c r="I25" s="77"/>
      <c r="J25" s="77"/>
      <c r="K25" s="77"/>
      <c r="L25" s="77"/>
      <c r="M25" s="77"/>
      <c r="N25" s="77"/>
      <c r="O25" s="77"/>
      <c r="P25" s="204">
        <v>5098102.17</v>
      </c>
      <c r="Q25" s="520"/>
    </row>
    <row r="26" spans="1:26">
      <c r="A26" s="688">
        <f t="shared" si="0"/>
        <v>20</v>
      </c>
      <c r="B26" s="41" t="s">
        <v>640</v>
      </c>
      <c r="C26" s="41" t="s">
        <v>892</v>
      </c>
      <c r="D26" s="77"/>
      <c r="E26" s="77"/>
      <c r="F26" s="77"/>
      <c r="G26" s="77"/>
      <c r="H26" s="77"/>
      <c r="I26" s="77"/>
      <c r="J26" s="77"/>
      <c r="K26" s="77"/>
      <c r="L26" s="77"/>
      <c r="M26" s="77"/>
      <c r="N26" s="77"/>
      <c r="O26" s="77"/>
      <c r="P26" s="204">
        <v>2247860.14</v>
      </c>
      <c r="Q26" s="520"/>
    </row>
    <row r="27" spans="1:26">
      <c r="A27" s="688">
        <f t="shared" si="0"/>
        <v>21</v>
      </c>
      <c r="B27" s="202" t="s">
        <v>578</v>
      </c>
      <c r="C27" s="41" t="s">
        <v>893</v>
      </c>
      <c r="D27" s="77"/>
      <c r="E27" s="77"/>
      <c r="F27" s="77"/>
      <c r="G27" s="77"/>
      <c r="H27" s="77"/>
      <c r="I27" s="77"/>
      <c r="J27" s="77"/>
      <c r="K27" s="77"/>
      <c r="L27" s="77"/>
      <c r="M27" s="77"/>
      <c r="N27" s="77"/>
      <c r="O27" s="77"/>
      <c r="P27" s="204">
        <v>0</v>
      </c>
      <c r="Q27" s="520"/>
    </row>
    <row r="28" spans="1:26">
      <c r="A28" s="688">
        <f t="shared" si="0"/>
        <v>22</v>
      </c>
      <c r="B28" s="202" t="s">
        <v>641</v>
      </c>
      <c r="C28" s="41" t="s">
        <v>894</v>
      </c>
      <c r="D28" s="77"/>
      <c r="E28" s="77"/>
      <c r="F28" s="77"/>
      <c r="G28" s="77"/>
      <c r="H28" s="77"/>
      <c r="I28" s="77"/>
      <c r="J28" s="77"/>
      <c r="K28" s="77"/>
      <c r="L28" s="77"/>
      <c r="M28" s="77"/>
      <c r="N28" s="77"/>
      <c r="O28" s="77"/>
      <c r="P28" s="191">
        <v>0</v>
      </c>
      <c r="Q28" s="520"/>
    </row>
    <row r="29" spans="1:26" s="180" customFormat="1" ht="25.5" customHeight="1">
      <c r="A29" s="723">
        <f t="shared" si="0"/>
        <v>23</v>
      </c>
      <c r="B29" s="951" t="s">
        <v>848</v>
      </c>
      <c r="C29" s="557" t="s">
        <v>895</v>
      </c>
      <c r="D29" s="77"/>
      <c r="E29" s="77"/>
      <c r="F29" s="77"/>
      <c r="G29" s="77"/>
      <c r="H29" s="77"/>
      <c r="I29" s="77"/>
      <c r="J29" s="77"/>
      <c r="K29" s="77"/>
      <c r="L29" s="77"/>
      <c r="M29" s="77"/>
      <c r="N29" s="77"/>
      <c r="O29" s="77"/>
      <c r="P29" s="725">
        <v>0</v>
      </c>
      <c r="Q29" s="927"/>
      <c r="R29" s="42"/>
      <c r="S29" s="42"/>
      <c r="T29" s="42"/>
      <c r="U29" s="42"/>
      <c r="V29" s="42"/>
      <c r="W29" s="42"/>
      <c r="X29" s="42"/>
      <c r="Y29" s="42"/>
      <c r="Z29" s="42"/>
    </row>
    <row r="30" spans="1:26" ht="13.2" customHeight="1">
      <c r="A30" s="688">
        <f t="shared" si="0"/>
        <v>24</v>
      </c>
      <c r="B30" s="1016" t="s">
        <v>42</v>
      </c>
      <c r="C30" s="1139" t="str">
        <f>+"L"&amp;A23&amp;" - L"&amp;A24&amp;" + L"&amp;A25&amp;" + L"&amp;A26&amp;" - L"&amp;A27&amp;" - L"&amp;A28&amp;" + L"&amp;A29</f>
        <v>L17 - L18 + L19 + L20 - L21 - L22 + L23</v>
      </c>
      <c r="D30" s="77"/>
      <c r="E30" s="77"/>
      <c r="F30" s="77"/>
      <c r="G30" s="77"/>
      <c r="H30" s="77"/>
      <c r="I30" s="77"/>
      <c r="J30" s="77"/>
      <c r="K30" s="77"/>
      <c r="L30" s="77"/>
      <c r="M30" s="77"/>
      <c r="N30" s="77"/>
      <c r="O30" s="77"/>
      <c r="P30" s="262">
        <f>+P23-P24+P25+P26-P27-P28+P29</f>
        <v>254973645.98999998</v>
      </c>
      <c r="Q30" s="262"/>
    </row>
    <row r="31" spans="1:26">
      <c r="A31" s="688">
        <f t="shared" si="0"/>
        <v>25</v>
      </c>
      <c r="B31" s="41"/>
      <c r="C31" s="186"/>
      <c r="D31" s="77"/>
      <c r="E31" s="77"/>
      <c r="F31" s="77"/>
      <c r="G31" s="77"/>
      <c r="H31" s="77"/>
      <c r="I31" s="77"/>
      <c r="J31" s="77"/>
      <c r="K31" s="77"/>
      <c r="L31" s="77"/>
      <c r="M31" s="77"/>
      <c r="N31" s="77"/>
      <c r="O31" s="77"/>
      <c r="P31" s="77"/>
    </row>
    <row r="32" spans="1:26">
      <c r="A32" s="688">
        <f t="shared" si="0"/>
        <v>26</v>
      </c>
      <c r="B32" s="1015" t="s">
        <v>46</v>
      </c>
      <c r="C32" s="41"/>
      <c r="D32" s="77"/>
      <c r="E32" s="77"/>
      <c r="F32" s="77"/>
      <c r="G32" s="77"/>
      <c r="H32" s="77"/>
      <c r="I32" s="77"/>
      <c r="J32" s="77"/>
      <c r="K32" s="77"/>
      <c r="L32" s="77"/>
      <c r="M32" s="77"/>
      <c r="N32" s="77"/>
      <c r="O32" s="77"/>
      <c r="P32" s="77"/>
    </row>
    <row r="33" spans="1:26">
      <c r="A33" s="688">
        <f t="shared" si="0"/>
        <v>27</v>
      </c>
      <c r="B33" s="41" t="s">
        <v>576</v>
      </c>
      <c r="C33" s="41" t="s">
        <v>702</v>
      </c>
      <c r="D33" s="204">
        <v>-9.9999994039535522E-2</v>
      </c>
      <c r="E33" s="204">
        <v>0</v>
      </c>
      <c r="F33" s="204">
        <v>0</v>
      </c>
      <c r="G33" s="204">
        <v>0</v>
      </c>
      <c r="H33" s="204">
        <v>0</v>
      </c>
      <c r="I33" s="204">
        <v>0</v>
      </c>
      <c r="J33" s="204">
        <v>0</v>
      </c>
      <c r="K33" s="204">
        <v>0</v>
      </c>
      <c r="L33" s="204">
        <v>0</v>
      </c>
      <c r="M33" s="204">
        <v>0</v>
      </c>
      <c r="N33" s="204">
        <v>0</v>
      </c>
      <c r="O33" s="204">
        <v>0</v>
      </c>
      <c r="P33" s="204">
        <v>0</v>
      </c>
      <c r="Q33" s="77">
        <f t="shared" ref="Q33:Q38" si="5">SUM(D33:P33)/13</f>
        <v>-7.6923072338104248E-3</v>
      </c>
    </row>
    <row r="34" spans="1:26">
      <c r="A34" s="688">
        <f t="shared" si="0"/>
        <v>28</v>
      </c>
      <c r="B34" s="41" t="s">
        <v>888</v>
      </c>
      <c r="C34" s="41" t="s">
        <v>709</v>
      </c>
      <c r="D34" s="204">
        <v>0</v>
      </c>
      <c r="E34" s="204">
        <v>0</v>
      </c>
      <c r="F34" s="204">
        <v>0</v>
      </c>
      <c r="G34" s="204">
        <v>0</v>
      </c>
      <c r="H34" s="204">
        <v>0</v>
      </c>
      <c r="I34" s="204">
        <v>0</v>
      </c>
      <c r="J34" s="204">
        <v>0</v>
      </c>
      <c r="K34" s="204">
        <v>0</v>
      </c>
      <c r="L34" s="204">
        <v>0</v>
      </c>
      <c r="M34" s="204">
        <v>0</v>
      </c>
      <c r="N34" s="204">
        <v>0</v>
      </c>
      <c r="O34" s="204">
        <v>0</v>
      </c>
      <c r="P34" s="204">
        <v>0</v>
      </c>
      <c r="Q34" s="77">
        <f t="shared" si="5"/>
        <v>0</v>
      </c>
    </row>
    <row r="35" spans="1:26">
      <c r="A35" s="688">
        <f t="shared" si="0"/>
        <v>29</v>
      </c>
      <c r="B35" s="41" t="s">
        <v>948</v>
      </c>
      <c r="C35" s="41" t="s">
        <v>710</v>
      </c>
      <c r="D35" s="204">
        <v>0</v>
      </c>
      <c r="E35" s="204">
        <v>0</v>
      </c>
      <c r="F35" s="204">
        <v>0</v>
      </c>
      <c r="G35" s="204">
        <v>0</v>
      </c>
      <c r="H35" s="204">
        <v>0</v>
      </c>
      <c r="I35" s="204">
        <v>0</v>
      </c>
      <c r="J35" s="204">
        <v>0</v>
      </c>
      <c r="K35" s="204">
        <v>0</v>
      </c>
      <c r="L35" s="204">
        <v>0</v>
      </c>
      <c r="M35" s="204">
        <v>0</v>
      </c>
      <c r="N35" s="204">
        <v>0</v>
      </c>
      <c r="O35" s="204">
        <v>0</v>
      </c>
      <c r="P35" s="204">
        <v>0</v>
      </c>
      <c r="Q35" s="77">
        <f t="shared" si="5"/>
        <v>0</v>
      </c>
    </row>
    <row r="36" spans="1:26">
      <c r="A36" s="688">
        <f t="shared" si="0"/>
        <v>30</v>
      </c>
      <c r="B36" s="1338" t="s">
        <v>949</v>
      </c>
      <c r="C36" s="41" t="s">
        <v>711</v>
      </c>
      <c r="D36" s="191">
        <v>0</v>
      </c>
      <c r="E36" s="191">
        <v>0</v>
      </c>
      <c r="F36" s="191">
        <v>0</v>
      </c>
      <c r="G36" s="191">
        <v>0</v>
      </c>
      <c r="H36" s="191">
        <v>0</v>
      </c>
      <c r="I36" s="191">
        <v>0</v>
      </c>
      <c r="J36" s="191">
        <v>0</v>
      </c>
      <c r="K36" s="191">
        <v>0</v>
      </c>
      <c r="L36" s="191">
        <v>0</v>
      </c>
      <c r="M36" s="191">
        <v>0</v>
      </c>
      <c r="N36" s="191">
        <v>0</v>
      </c>
      <c r="O36" s="191">
        <v>0</v>
      </c>
      <c r="P36" s="191">
        <v>0</v>
      </c>
      <c r="Q36" s="77">
        <f t="shared" si="5"/>
        <v>0</v>
      </c>
    </row>
    <row r="37" spans="1:26">
      <c r="A37" s="688">
        <f t="shared" si="0"/>
        <v>31</v>
      </c>
      <c r="B37" s="1338" t="s">
        <v>887</v>
      </c>
      <c r="C37" s="41" t="s">
        <v>712</v>
      </c>
      <c r="D37" s="191">
        <v>0</v>
      </c>
      <c r="E37" s="191">
        <v>0</v>
      </c>
      <c r="F37" s="191">
        <v>0</v>
      </c>
      <c r="G37" s="191">
        <v>0</v>
      </c>
      <c r="H37" s="191">
        <v>0</v>
      </c>
      <c r="I37" s="191">
        <v>0</v>
      </c>
      <c r="J37" s="191">
        <v>0</v>
      </c>
      <c r="K37" s="191">
        <v>0</v>
      </c>
      <c r="L37" s="191">
        <v>0</v>
      </c>
      <c r="M37" s="191">
        <v>0</v>
      </c>
      <c r="N37" s="191">
        <v>0</v>
      </c>
      <c r="O37" s="191">
        <v>0</v>
      </c>
      <c r="P37" s="191">
        <v>0</v>
      </c>
      <c r="Q37" s="77">
        <f t="shared" si="5"/>
        <v>0</v>
      </c>
    </row>
    <row r="38" spans="1:26">
      <c r="A38" s="688">
        <f t="shared" si="0"/>
        <v>32</v>
      </c>
      <c r="B38" s="1338" t="s">
        <v>950</v>
      </c>
      <c r="C38" s="41" t="s">
        <v>713</v>
      </c>
      <c r="D38" s="257">
        <v>0</v>
      </c>
      <c r="E38" s="257">
        <v>0</v>
      </c>
      <c r="F38" s="257">
        <v>0</v>
      </c>
      <c r="G38" s="257">
        <v>0</v>
      </c>
      <c r="H38" s="257">
        <v>0</v>
      </c>
      <c r="I38" s="257">
        <v>0</v>
      </c>
      <c r="J38" s="257">
        <v>0</v>
      </c>
      <c r="K38" s="257">
        <v>0</v>
      </c>
      <c r="L38" s="257">
        <v>0</v>
      </c>
      <c r="M38" s="257">
        <v>0</v>
      </c>
      <c r="N38" s="257">
        <v>0</v>
      </c>
      <c r="O38" s="257">
        <v>0</v>
      </c>
      <c r="P38" s="257">
        <v>0</v>
      </c>
      <c r="Q38" s="558">
        <f t="shared" si="5"/>
        <v>0</v>
      </c>
    </row>
    <row r="39" spans="1:26">
      <c r="A39" s="688">
        <f t="shared" si="0"/>
        <v>33</v>
      </c>
      <c r="B39" s="1016" t="s">
        <v>47</v>
      </c>
      <c r="C39" s="924" t="str">
        <f>+"L"&amp;A33&amp;"+L"&amp;A34&amp;"+L"&amp;A35&amp;"-L"&amp;A36&amp;"-L"&amp;A37&amp;"-L"&amp;A38</f>
        <v>L27+L28+L29-L30-L31-L32</v>
      </c>
      <c r="D39" s="77">
        <f t="shared" ref="D39:Q39" si="6">+D33-D38+D34+D35-D36-D37</f>
        <v>-9.9999994039535522E-2</v>
      </c>
      <c r="E39" s="77">
        <f t="shared" si="6"/>
        <v>0</v>
      </c>
      <c r="F39" s="77">
        <f t="shared" si="6"/>
        <v>0</v>
      </c>
      <c r="G39" s="77">
        <f t="shared" si="6"/>
        <v>0</v>
      </c>
      <c r="H39" s="77">
        <f t="shared" si="6"/>
        <v>0</v>
      </c>
      <c r="I39" s="77">
        <f t="shared" si="6"/>
        <v>0</v>
      </c>
      <c r="J39" s="77">
        <f t="shared" si="6"/>
        <v>0</v>
      </c>
      <c r="K39" s="77">
        <f t="shared" si="6"/>
        <v>0</v>
      </c>
      <c r="L39" s="77">
        <f t="shared" si="6"/>
        <v>0</v>
      </c>
      <c r="M39" s="77">
        <f t="shared" si="6"/>
        <v>0</v>
      </c>
      <c r="N39" s="77">
        <f t="shared" si="6"/>
        <v>0</v>
      </c>
      <c r="O39" s="77">
        <f t="shared" si="6"/>
        <v>0</v>
      </c>
      <c r="P39" s="77">
        <f t="shared" si="6"/>
        <v>0</v>
      </c>
      <c r="Q39" s="77">
        <f t="shared" si="6"/>
        <v>-7.6923072338104248E-3</v>
      </c>
    </row>
    <row r="40" spans="1:26">
      <c r="A40" s="688">
        <f t="shared" si="0"/>
        <v>34</v>
      </c>
      <c r="B40" s="72"/>
      <c r="C40" s="72"/>
      <c r="D40" s="77"/>
      <c r="E40" s="77"/>
      <c r="F40" s="77"/>
      <c r="G40" s="77"/>
      <c r="H40" s="77"/>
      <c r="I40" s="77"/>
      <c r="J40" s="77"/>
      <c r="K40" s="77"/>
      <c r="L40" s="77"/>
      <c r="M40" s="77"/>
      <c r="N40" s="77"/>
      <c r="O40" s="77"/>
      <c r="P40" s="77"/>
      <c r="Q40" s="77"/>
    </row>
    <row r="41" spans="1:26">
      <c r="A41" s="688">
        <f t="shared" si="0"/>
        <v>35</v>
      </c>
      <c r="B41" s="43" t="s">
        <v>703</v>
      </c>
      <c r="C41" s="41" t="s">
        <v>896</v>
      </c>
      <c r="D41" s="77"/>
      <c r="E41" s="77"/>
      <c r="F41" s="77"/>
      <c r="G41" s="77"/>
      <c r="H41" s="77"/>
      <c r="I41" s="77"/>
      <c r="J41" s="77"/>
      <c r="K41" s="77"/>
      <c r="L41" s="77"/>
      <c r="M41" s="77"/>
      <c r="N41" s="77"/>
      <c r="O41" s="77"/>
      <c r="P41" s="204">
        <v>0</v>
      </c>
      <c r="Q41" s="77"/>
    </row>
    <row r="42" spans="1:26">
      <c r="A42" s="688">
        <f t="shared" si="0"/>
        <v>36</v>
      </c>
      <c r="B42" s="41"/>
      <c r="C42" s="41"/>
      <c r="D42" s="77"/>
      <c r="E42" s="77"/>
      <c r="F42" s="77"/>
      <c r="G42" s="77"/>
      <c r="H42" s="77"/>
      <c r="I42" s="77"/>
      <c r="J42" s="77"/>
      <c r="K42" s="77"/>
      <c r="L42" s="77"/>
      <c r="M42" s="77"/>
      <c r="N42" s="77"/>
      <c r="O42" s="77"/>
      <c r="P42" s="77"/>
      <c r="Q42" s="77"/>
    </row>
    <row r="43" spans="1:26">
      <c r="A43" s="688">
        <f t="shared" si="0"/>
        <v>37</v>
      </c>
      <c r="B43" s="926" t="s">
        <v>53</v>
      </c>
      <c r="C43" s="41"/>
      <c r="D43" s="77"/>
      <c r="E43" s="77"/>
      <c r="F43" s="77"/>
      <c r="G43" s="77"/>
      <c r="H43" s="77"/>
      <c r="I43" s="77"/>
      <c r="J43" s="77"/>
      <c r="K43" s="77"/>
      <c r="L43" s="77"/>
      <c r="M43" s="77"/>
      <c r="N43" s="77"/>
      <c r="O43" s="77"/>
      <c r="P43" s="77"/>
      <c r="Q43" s="77"/>
    </row>
    <row r="44" spans="1:26">
      <c r="A44" s="688">
        <f t="shared" si="0"/>
        <v>38</v>
      </c>
      <c r="B44" s="41" t="s">
        <v>115</v>
      </c>
      <c r="C44" s="41" t="s">
        <v>704</v>
      </c>
      <c r="D44" s="204">
        <v>4736689457.6100006</v>
      </c>
      <c r="E44" s="204">
        <v>4773803937.5700035</v>
      </c>
      <c r="F44" s="204">
        <v>4810918416.9999971</v>
      </c>
      <c r="G44" s="204">
        <v>4848032897.0900002</v>
      </c>
      <c r="H44" s="204">
        <v>4897230941.0500031</v>
      </c>
      <c r="I44" s="204">
        <v>4946428984.4099979</v>
      </c>
      <c r="J44" s="204">
        <v>4995627027.750001</v>
      </c>
      <c r="K44" s="204">
        <v>5022218551.1200037</v>
      </c>
      <c r="L44" s="204">
        <v>5048810074.4599981</v>
      </c>
      <c r="M44" s="204">
        <v>5075401597.7200003</v>
      </c>
      <c r="N44" s="204">
        <v>5077336016.0000038</v>
      </c>
      <c r="O44" s="204">
        <v>5079270434.2799978</v>
      </c>
      <c r="P44" s="204">
        <v>5081204852.1900005</v>
      </c>
      <c r="Q44" s="77">
        <f t="shared" ref="Q44:Q47" si="7">SUM(D44:P44)/13</f>
        <v>4953305629.865386</v>
      </c>
    </row>
    <row r="45" spans="1:26">
      <c r="A45" s="688">
        <f t="shared" si="0"/>
        <v>39</v>
      </c>
      <c r="B45" s="202" t="s">
        <v>495</v>
      </c>
      <c r="C45" s="41" t="str">
        <f>+"L"&amp;A39&amp;" Above"</f>
        <v>L33 Above</v>
      </c>
      <c r="D45" s="77">
        <f>+D39</f>
        <v>-9.9999994039535522E-2</v>
      </c>
      <c r="E45" s="77">
        <f t="shared" ref="E45:P45" si="8">+E39</f>
        <v>0</v>
      </c>
      <c r="F45" s="77">
        <f t="shared" si="8"/>
        <v>0</v>
      </c>
      <c r="G45" s="77">
        <f t="shared" si="8"/>
        <v>0</v>
      </c>
      <c r="H45" s="77">
        <f t="shared" si="8"/>
        <v>0</v>
      </c>
      <c r="I45" s="77">
        <f t="shared" si="8"/>
        <v>0</v>
      </c>
      <c r="J45" s="77">
        <f t="shared" si="8"/>
        <v>0</v>
      </c>
      <c r="K45" s="77">
        <f t="shared" si="8"/>
        <v>0</v>
      </c>
      <c r="L45" s="77">
        <f t="shared" si="8"/>
        <v>0</v>
      </c>
      <c r="M45" s="77">
        <f t="shared" si="8"/>
        <v>0</v>
      </c>
      <c r="N45" s="77">
        <f t="shared" si="8"/>
        <v>0</v>
      </c>
      <c r="O45" s="77">
        <f t="shared" si="8"/>
        <v>0</v>
      </c>
      <c r="P45" s="77">
        <f t="shared" si="8"/>
        <v>0</v>
      </c>
      <c r="Q45" s="77">
        <f t="shared" si="7"/>
        <v>-7.6923072338104248E-3</v>
      </c>
    </row>
    <row r="46" spans="1:26" s="180" customFormat="1" ht="26.25" customHeight="1">
      <c r="A46" s="723">
        <f t="shared" si="0"/>
        <v>40</v>
      </c>
      <c r="B46" s="951" t="s">
        <v>642</v>
      </c>
      <c r="C46" s="557" t="s">
        <v>705</v>
      </c>
      <c r="D46" s="724">
        <v>-33168771</v>
      </c>
      <c r="E46" s="724">
        <v>-33147171.916666701</v>
      </c>
      <c r="F46" s="724">
        <v>-33125572.833333299</v>
      </c>
      <c r="G46" s="724">
        <v>-33103973.75</v>
      </c>
      <c r="H46" s="724">
        <v>-33082374.666666701</v>
      </c>
      <c r="I46" s="724">
        <v>-33060775.583333299</v>
      </c>
      <c r="J46" s="724">
        <v>-33039176.5</v>
      </c>
      <c r="K46" s="724">
        <v>-33017577.416666701</v>
      </c>
      <c r="L46" s="724">
        <v>-32995978.333333299</v>
      </c>
      <c r="M46" s="724">
        <v>-32974379.25</v>
      </c>
      <c r="N46" s="724">
        <v>-32952780.166666701</v>
      </c>
      <c r="O46" s="724">
        <v>-32931181.083333299</v>
      </c>
      <c r="P46" s="724">
        <v>-32909582</v>
      </c>
      <c r="Q46" s="929">
        <f t="shared" si="7"/>
        <v>-33039176.5</v>
      </c>
      <c r="R46" s="42"/>
      <c r="S46" s="42"/>
      <c r="T46" s="42"/>
      <c r="U46" s="42"/>
      <c r="V46" s="42"/>
      <c r="W46" s="42"/>
      <c r="X46" s="42"/>
      <c r="Y46" s="42"/>
      <c r="Z46" s="42"/>
    </row>
    <row r="47" spans="1:26">
      <c r="A47" s="688">
        <f t="shared" si="0"/>
        <v>41</v>
      </c>
      <c r="B47" s="202" t="s">
        <v>582</v>
      </c>
      <c r="C47" s="41" t="s">
        <v>706</v>
      </c>
      <c r="D47" s="204">
        <v>-56411782.100000001</v>
      </c>
      <c r="E47" s="204">
        <v>-56489274.789999999</v>
      </c>
      <c r="F47" s="204">
        <v>-56566767.469999999</v>
      </c>
      <c r="G47" s="204">
        <v>-56674657.270000003</v>
      </c>
      <c r="H47" s="204">
        <v>-56750867.810000002</v>
      </c>
      <c r="I47" s="204">
        <v>-56828039.950000003</v>
      </c>
      <c r="J47" s="204">
        <v>-56905212.109999999</v>
      </c>
      <c r="K47" s="204">
        <v>-56982384.240000002</v>
      </c>
      <c r="L47" s="204">
        <v>-57059556.399999999</v>
      </c>
      <c r="M47" s="204">
        <v>-57136715.640000001</v>
      </c>
      <c r="N47" s="204">
        <v>-57213874.859999999</v>
      </c>
      <c r="O47" s="204">
        <v>-57291034.079999998</v>
      </c>
      <c r="P47" s="204">
        <v>-48442105.670000002</v>
      </c>
      <c r="Q47" s="77">
        <f t="shared" si="7"/>
        <v>-56211713.260769241</v>
      </c>
    </row>
    <row r="48" spans="1:26">
      <c r="A48" s="688">
        <f t="shared" si="0"/>
        <v>42</v>
      </c>
      <c r="B48" s="1016" t="s">
        <v>44</v>
      </c>
      <c r="C48" s="924" t="str">
        <f>+"L"&amp;A44&amp;" - (L"&amp;A45&amp;" to L"&amp;A47&amp;")"</f>
        <v>L38 - (L39 to L41)</v>
      </c>
      <c r="D48" s="925">
        <f>+D44-D45-D46-D47</f>
        <v>4826270010.8100014</v>
      </c>
      <c r="E48" s="925">
        <f t="shared" ref="E48:Q48" si="9">+E44-E45-E46-E47</f>
        <v>4863440384.2766705</v>
      </c>
      <c r="F48" s="925">
        <f t="shared" si="9"/>
        <v>4900610757.3033304</v>
      </c>
      <c r="G48" s="925">
        <f t="shared" si="9"/>
        <v>4937811528.1100006</v>
      </c>
      <c r="H48" s="925">
        <f t="shared" si="9"/>
        <v>4987064183.5266705</v>
      </c>
      <c r="I48" s="925">
        <f t="shared" si="9"/>
        <v>5036317799.9433308</v>
      </c>
      <c r="J48" s="925">
        <f t="shared" si="9"/>
        <v>5085571416.3600006</v>
      </c>
      <c r="K48" s="925">
        <f t="shared" si="9"/>
        <v>5112218512.7766705</v>
      </c>
      <c r="L48" s="925">
        <f t="shared" si="9"/>
        <v>5138865609.1933308</v>
      </c>
      <c r="M48" s="925">
        <f t="shared" si="9"/>
        <v>5165512692.6100006</v>
      </c>
      <c r="N48" s="925">
        <f t="shared" si="9"/>
        <v>5167502671.0266705</v>
      </c>
      <c r="O48" s="925">
        <f t="shared" si="9"/>
        <v>5169492649.4433308</v>
      </c>
      <c r="P48" s="925">
        <f t="shared" si="9"/>
        <v>5162556539.8600006</v>
      </c>
      <c r="Q48" s="925">
        <f t="shared" si="9"/>
        <v>5042556519.6338472</v>
      </c>
    </row>
    <row r="49" spans="1:26" s="720" customFormat="1">
      <c r="A49" s="719"/>
      <c r="B49" s="963"/>
      <c r="C49" s="963"/>
      <c r="D49" s="722"/>
      <c r="E49" s="722"/>
      <c r="F49" s="722"/>
      <c r="G49" s="722"/>
      <c r="H49" s="722"/>
      <c r="I49" s="722"/>
      <c r="J49" s="722"/>
      <c r="K49" s="722"/>
      <c r="L49" s="722"/>
      <c r="M49" s="722"/>
      <c r="N49" s="722"/>
      <c r="O49" s="722"/>
      <c r="P49" s="722"/>
      <c r="Q49" s="722"/>
      <c r="R49" s="42"/>
      <c r="S49" s="42"/>
      <c r="T49" s="42"/>
      <c r="U49" s="42"/>
      <c r="V49" s="42"/>
      <c r="W49" s="42"/>
      <c r="X49" s="42"/>
      <c r="Y49" s="42"/>
      <c r="Z49" s="42"/>
    </row>
    <row r="50" spans="1:26">
      <c r="A50" s="688" t="s">
        <v>124</v>
      </c>
      <c r="B50" s="41"/>
      <c r="C50" s="41"/>
      <c r="D50" s="77"/>
      <c r="E50" s="77"/>
      <c r="F50" s="77"/>
      <c r="G50" s="77"/>
      <c r="H50" s="77"/>
      <c r="I50" s="77"/>
      <c r="J50" s="77"/>
      <c r="K50" s="77"/>
      <c r="L50" s="77"/>
      <c r="M50" s="77"/>
      <c r="N50" s="77"/>
      <c r="O50" s="77"/>
      <c r="P50" s="249"/>
      <c r="Q50" s="77"/>
    </row>
    <row r="51" spans="1:26">
      <c r="A51" s="930" t="s">
        <v>167</v>
      </c>
      <c r="B51" s="557" t="s">
        <v>563</v>
      </c>
      <c r="C51" s="557"/>
      <c r="D51" s="557"/>
      <c r="E51" s="557"/>
      <c r="F51" s="557"/>
      <c r="G51" s="557"/>
      <c r="H51" s="557"/>
      <c r="I51" s="557"/>
      <c r="J51" s="557"/>
      <c r="K51" s="557"/>
      <c r="L51" s="557"/>
      <c r="M51" s="557"/>
      <c r="N51" s="557"/>
      <c r="O51" s="557"/>
      <c r="P51" s="557"/>
      <c r="Q51" s="929"/>
    </row>
    <row r="52" spans="1:26" s="41" customFormat="1">
      <c r="A52" s="930" t="s">
        <v>319</v>
      </c>
      <c r="B52" s="557" t="s">
        <v>867</v>
      </c>
      <c r="C52" s="557"/>
      <c r="D52" s="557"/>
      <c r="E52" s="557"/>
      <c r="F52" s="557"/>
      <c r="G52" s="557"/>
      <c r="H52" s="557"/>
      <c r="I52" s="557"/>
      <c r="J52" s="557"/>
      <c r="K52" s="557"/>
      <c r="L52" s="557"/>
      <c r="M52" s="557"/>
      <c r="N52" s="557"/>
      <c r="O52" s="557"/>
      <c r="P52" s="557"/>
      <c r="Q52" s="929"/>
      <c r="R52" s="929"/>
      <c r="S52" s="929"/>
      <c r="T52" s="929"/>
    </row>
    <row r="53" spans="1:26" s="41" customFormat="1">
      <c r="A53" s="930" t="s">
        <v>320</v>
      </c>
      <c r="B53" s="557" t="s">
        <v>849</v>
      </c>
      <c r="C53" s="557"/>
      <c r="D53" s="557"/>
      <c r="E53" s="557"/>
      <c r="F53" s="557"/>
      <c r="G53" s="557"/>
      <c r="H53" s="557"/>
      <c r="I53" s="557"/>
      <c r="J53" s="557"/>
      <c r="K53" s="557"/>
      <c r="L53" s="557"/>
      <c r="M53" s="557"/>
      <c r="N53" s="557"/>
      <c r="O53" s="557"/>
      <c r="P53" s="557"/>
      <c r="Q53" s="929"/>
    </row>
    <row r="54" spans="1:26" s="41" customFormat="1">
      <c r="A54" s="1181" t="s">
        <v>321</v>
      </c>
      <c r="B54" s="41" t="s">
        <v>942</v>
      </c>
      <c r="D54" s="222"/>
      <c r="E54" s="222"/>
      <c r="F54" s="222"/>
      <c r="G54" s="222"/>
      <c r="H54" s="222"/>
      <c r="I54" s="222"/>
      <c r="J54" s="222"/>
      <c r="K54" s="222"/>
      <c r="L54" s="222"/>
      <c r="M54" s="222"/>
      <c r="N54" s="222"/>
      <c r="O54" s="222"/>
      <c r="Q54" s="77"/>
    </row>
    <row r="55" spans="1:26" s="41" customFormat="1" ht="15">
      <c r="A55" s="1338"/>
      <c r="B55" s="1359"/>
      <c r="C55" s="1359"/>
      <c r="D55" s="1360"/>
      <c r="E55" s="898"/>
      <c r="F55" s="222"/>
      <c r="G55" s="222"/>
      <c r="H55" s="222"/>
      <c r="I55" s="222"/>
      <c r="J55" s="222"/>
      <c r="K55" s="222"/>
      <c r="L55" s="222"/>
      <c r="M55" s="222"/>
      <c r="N55" s="222"/>
      <c r="O55" s="222"/>
      <c r="Q55" s="77"/>
    </row>
    <row r="56" spans="1:26" s="41" customFormat="1">
      <c r="A56" s="1338"/>
      <c r="B56" s="899"/>
      <c r="C56" s="841"/>
      <c r="D56" s="77"/>
      <c r="E56" s="77"/>
      <c r="Q56" s="77"/>
    </row>
    <row r="57" spans="1:26" s="41" customFormat="1">
      <c r="A57" s="1338"/>
      <c r="B57" s="899"/>
      <c r="C57" s="841"/>
      <c r="D57" s="77"/>
      <c r="E57" s="77"/>
      <c r="Q57" s="77"/>
    </row>
  </sheetData>
  <mergeCells count="3">
    <mergeCell ref="A1:C1"/>
    <mergeCell ref="A2:C2"/>
    <mergeCell ref="A3:C3"/>
  </mergeCells>
  <phoneticPr fontId="73" type="noConversion"/>
  <pageMargins left="0.5" right="0.5" top="0.5" bottom="0.5" header="0.3" footer="0.5"/>
  <pageSetup scale="70" orientation="landscape" r:id="rId1"/>
  <headerFooter>
    <oddFooter>&amp;R&amp;A</oddFooter>
  </headerFooter>
  <ignoredErrors>
    <ignoredError sqref="A51:A54"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workbookViewId="0">
      <selection activeCell="A21" sqref="A21"/>
    </sheetView>
  </sheetViews>
  <sheetFormatPr defaultColWidth="32.44140625" defaultRowHeight="13.2"/>
  <cols>
    <col min="1" max="1" width="32.5546875" bestFit="1" customWidth="1"/>
    <col min="2" max="2" width="28.5546875" bestFit="1" customWidth="1"/>
    <col min="3" max="3" width="34.109375" bestFit="1" customWidth="1"/>
    <col min="4" max="4" width="13.44140625" bestFit="1" customWidth="1"/>
    <col min="5" max="5" width="3.109375" bestFit="1" customWidth="1"/>
  </cols>
  <sheetData>
    <row r="1" spans="1:5">
      <c r="A1" s="2020" t="str">
        <f>'MISO Cover'!C6</f>
        <v>Entergy Louisiana, LLC</v>
      </c>
      <c r="B1" s="2020"/>
      <c r="C1" s="2020"/>
      <c r="D1" s="2020"/>
      <c r="E1" s="2020"/>
    </row>
    <row r="2" spans="1:5">
      <c r="A2" s="2020" t="s">
        <v>1920</v>
      </c>
      <c r="B2" s="2020"/>
      <c r="C2" s="2020"/>
      <c r="D2" s="2020"/>
      <c r="E2" s="2020"/>
    </row>
    <row r="3" spans="1:5">
      <c r="A3" s="2020" t="str">
        <f>'MISO Cover'!K4</f>
        <v>For  the 12 Months Ended 12/31/2016</v>
      </c>
      <c r="B3" s="2020"/>
      <c r="C3" s="2020"/>
      <c r="D3" s="2020"/>
      <c r="E3" s="2020"/>
    </row>
    <row r="4" spans="1:5">
      <c r="A4" s="1750"/>
      <c r="B4" s="1750"/>
      <c r="C4" s="1750"/>
      <c r="D4" s="1748"/>
      <c r="E4" s="1750"/>
    </row>
    <row r="5" spans="1:5">
      <c r="A5" s="1751" t="s">
        <v>171</v>
      </c>
      <c r="B5" s="1751" t="s">
        <v>1921</v>
      </c>
      <c r="C5" s="1751" t="s">
        <v>1922</v>
      </c>
      <c r="D5" s="1752" t="s">
        <v>113</v>
      </c>
      <c r="E5" s="1750"/>
    </row>
    <row r="6" spans="1:5">
      <c r="A6" s="1750" t="s">
        <v>1923</v>
      </c>
      <c r="B6" s="1750" t="s">
        <v>1924</v>
      </c>
      <c r="C6" s="1750" t="s">
        <v>65</v>
      </c>
      <c r="D6" s="1748">
        <v>236954</v>
      </c>
      <c r="E6" s="1750" t="s">
        <v>1925</v>
      </c>
    </row>
    <row r="7" spans="1:5">
      <c r="A7" s="1750"/>
      <c r="B7" s="1750"/>
      <c r="C7" s="1750" t="s">
        <v>1926</v>
      </c>
      <c r="D7" s="1748">
        <v>-28000</v>
      </c>
      <c r="E7" s="1750" t="s">
        <v>1925</v>
      </c>
    </row>
    <row r="8" spans="1:5">
      <c r="A8" s="1750"/>
      <c r="B8" s="1750"/>
      <c r="C8" s="1750" t="s">
        <v>1927</v>
      </c>
      <c r="D8" s="1748">
        <v>-23100</v>
      </c>
      <c r="E8" s="1750" t="s">
        <v>1925</v>
      </c>
    </row>
    <row r="9" spans="1:5">
      <c r="A9" s="1750"/>
      <c r="B9" s="1750"/>
      <c r="C9" s="1750" t="s">
        <v>1928</v>
      </c>
      <c r="D9" s="1748">
        <v>-15600</v>
      </c>
      <c r="E9" s="1750" t="s">
        <v>1925</v>
      </c>
    </row>
    <row r="10" spans="1:5">
      <c r="A10" s="1750"/>
      <c r="B10" s="1750"/>
      <c r="C10" s="1750" t="s">
        <v>1929</v>
      </c>
      <c r="D10" s="1748">
        <v>-32850</v>
      </c>
      <c r="E10" s="1750" t="s">
        <v>1925</v>
      </c>
    </row>
    <row r="11" spans="1:5">
      <c r="A11" s="1750"/>
      <c r="B11" s="1750"/>
      <c r="C11" s="1750" t="s">
        <v>1930</v>
      </c>
      <c r="D11" s="1748">
        <v>-21840</v>
      </c>
      <c r="E11" s="1750" t="s">
        <v>1925</v>
      </c>
    </row>
    <row r="12" spans="1:5">
      <c r="A12" s="1750"/>
      <c r="B12" s="1750"/>
      <c r="C12" s="1750" t="s">
        <v>1931</v>
      </c>
      <c r="D12" s="1748">
        <v>-33064</v>
      </c>
      <c r="E12" s="1750" t="s">
        <v>1925</v>
      </c>
    </row>
    <row r="13" spans="1:5">
      <c r="A13" s="1750"/>
      <c r="B13" s="1750"/>
      <c r="C13" s="1750" t="s">
        <v>1932</v>
      </c>
      <c r="D13" s="1748">
        <v>-40300</v>
      </c>
      <c r="E13" s="1750" t="s">
        <v>1925</v>
      </c>
    </row>
    <row r="14" spans="1:5">
      <c r="A14" s="1750"/>
      <c r="B14" s="1750"/>
      <c r="C14" s="1750" t="s">
        <v>1933</v>
      </c>
      <c r="D14" s="1748">
        <v>-42200</v>
      </c>
      <c r="E14" s="1750" t="s">
        <v>1925</v>
      </c>
    </row>
    <row r="15" spans="1:5">
      <c r="A15" s="1750"/>
      <c r="B15" s="1750"/>
      <c r="C15" s="1750" t="s">
        <v>1934</v>
      </c>
      <c r="D15" s="1748">
        <v>0</v>
      </c>
      <c r="E15" s="1750"/>
    </row>
    <row r="16" spans="1:5">
      <c r="A16" s="1753" t="s">
        <v>1935</v>
      </c>
      <c r="B16" s="1753"/>
      <c r="C16" s="1753"/>
      <c r="D16" s="1749">
        <v>0</v>
      </c>
      <c r="E16" s="1750" t="s">
        <v>1925</v>
      </c>
    </row>
    <row r="17" spans="1:5">
      <c r="A17" s="1750" t="s">
        <v>1936</v>
      </c>
      <c r="B17" s="1750" t="s">
        <v>1937</v>
      </c>
      <c r="C17" s="1750" t="s">
        <v>65</v>
      </c>
      <c r="D17" s="1748">
        <v>0</v>
      </c>
      <c r="E17" s="1750"/>
    </row>
    <row r="18" spans="1:5">
      <c r="A18" s="1753" t="s">
        <v>1938</v>
      </c>
      <c r="B18" s="1753"/>
      <c r="C18" s="1753"/>
      <c r="D18" s="1749">
        <v>0</v>
      </c>
      <c r="E18" s="1750"/>
    </row>
    <row r="19" spans="1:5">
      <c r="A19" s="1750" t="s">
        <v>1939</v>
      </c>
      <c r="B19" s="1750" t="s">
        <v>1940</v>
      </c>
      <c r="C19" s="1750" t="s">
        <v>65</v>
      </c>
      <c r="D19" s="1748">
        <v>0</v>
      </c>
      <c r="E19" s="1750"/>
    </row>
    <row r="20" spans="1:5">
      <c r="A20" s="1750"/>
      <c r="B20" s="1750"/>
      <c r="C20" s="1750" t="s">
        <v>1941</v>
      </c>
      <c r="D20" s="1748">
        <v>0</v>
      </c>
      <c r="E20" s="1750"/>
    </row>
    <row r="21" spans="1:5">
      <c r="A21" s="1750"/>
      <c r="B21" s="1750"/>
      <c r="C21" s="1750" t="s">
        <v>1926</v>
      </c>
      <c r="D21" s="1748">
        <v>0</v>
      </c>
      <c r="E21" s="1750"/>
    </row>
    <row r="22" spans="1:5">
      <c r="A22" s="1750"/>
      <c r="B22" s="1750"/>
      <c r="C22" s="1750" t="s">
        <v>1927</v>
      </c>
      <c r="D22" s="1748">
        <v>0</v>
      </c>
      <c r="E22" s="1750"/>
    </row>
    <row r="23" spans="1:5">
      <c r="A23" s="1750"/>
      <c r="B23" s="1750"/>
      <c r="C23" s="1750" t="s">
        <v>1928</v>
      </c>
      <c r="D23" s="1748">
        <v>0</v>
      </c>
      <c r="E23" s="1750"/>
    </row>
    <row r="24" spans="1:5">
      <c r="A24" s="1750"/>
      <c r="B24" s="1750"/>
      <c r="C24" s="1750" t="s">
        <v>1929</v>
      </c>
      <c r="D24" s="1748">
        <v>0</v>
      </c>
      <c r="E24" s="1750"/>
    </row>
    <row r="25" spans="1:5">
      <c r="A25" s="1750"/>
      <c r="B25" s="1750"/>
      <c r="C25" s="1750" t="s">
        <v>1930</v>
      </c>
      <c r="D25" s="1748">
        <v>0</v>
      </c>
      <c r="E25" s="1750"/>
    </row>
    <row r="26" spans="1:5">
      <c r="A26" s="1750"/>
      <c r="B26" s="1750"/>
      <c r="C26" s="1750" t="s">
        <v>1931</v>
      </c>
      <c r="D26" s="1748">
        <v>0</v>
      </c>
      <c r="E26" s="1750"/>
    </row>
    <row r="27" spans="1:5">
      <c r="A27" s="1750"/>
      <c r="B27" s="1750"/>
      <c r="C27" s="1750" t="s">
        <v>1942</v>
      </c>
      <c r="D27" s="1748">
        <v>0</v>
      </c>
      <c r="E27" s="1750"/>
    </row>
    <row r="28" spans="1:5">
      <c r="A28" s="1750"/>
      <c r="B28" s="1750"/>
      <c r="C28" s="1750" t="s">
        <v>1932</v>
      </c>
      <c r="D28" s="1748">
        <v>0</v>
      </c>
      <c r="E28" s="1750"/>
    </row>
    <row r="29" spans="1:5">
      <c r="A29" s="1750"/>
      <c r="B29" s="1750"/>
      <c r="C29" s="1750" t="s">
        <v>1933</v>
      </c>
      <c r="D29" s="1748">
        <v>0</v>
      </c>
      <c r="E29" s="1750"/>
    </row>
    <row r="30" spans="1:5">
      <c r="A30" s="1750"/>
      <c r="B30" s="1750"/>
      <c r="C30" s="1750" t="s">
        <v>1943</v>
      </c>
      <c r="D30" s="1748">
        <v>0</v>
      </c>
      <c r="E30" s="1750"/>
    </row>
    <row r="31" spans="1:5">
      <c r="A31" s="1750"/>
      <c r="B31" s="1750"/>
      <c r="C31" s="1750" t="s">
        <v>1934</v>
      </c>
      <c r="D31" s="1748">
        <v>0</v>
      </c>
      <c r="E31" s="1750"/>
    </row>
    <row r="32" spans="1:5">
      <c r="A32" s="1750"/>
      <c r="B32" s="1750"/>
      <c r="C32" s="1750" t="s">
        <v>1944</v>
      </c>
      <c r="D32" s="1748">
        <v>0</v>
      </c>
      <c r="E32" s="1750"/>
    </row>
    <row r="33" spans="1:5">
      <c r="A33" s="1753" t="s">
        <v>1945</v>
      </c>
      <c r="B33" s="1753"/>
      <c r="C33" s="1753"/>
      <c r="D33" s="1749">
        <v>0</v>
      </c>
      <c r="E33" s="1750"/>
    </row>
    <row r="34" spans="1:5">
      <c r="A34" s="1750" t="s">
        <v>1946</v>
      </c>
      <c r="B34" s="1750" t="s">
        <v>1947</v>
      </c>
      <c r="C34" s="1750" t="s">
        <v>65</v>
      </c>
      <c r="D34" s="1748">
        <v>0</v>
      </c>
      <c r="E34" s="1750"/>
    </row>
    <row r="35" spans="1:5">
      <c r="A35" s="1753" t="s">
        <v>1948</v>
      </c>
      <c r="B35" s="1753"/>
      <c r="C35" s="1753"/>
      <c r="D35" s="1749">
        <v>0</v>
      </c>
      <c r="E35" s="1750"/>
    </row>
    <row r="36" spans="1:5">
      <c r="A36" s="1750" t="s">
        <v>1949</v>
      </c>
      <c r="B36" s="1750" t="s">
        <v>1950</v>
      </c>
      <c r="C36" s="1750" t="s">
        <v>65</v>
      </c>
      <c r="D36" s="1748">
        <v>0</v>
      </c>
      <c r="E36" s="1750"/>
    </row>
    <row r="37" spans="1:5">
      <c r="A37" s="1750"/>
      <c r="B37" s="1750"/>
      <c r="C37" s="1754" t="s">
        <v>1951</v>
      </c>
      <c r="D37" s="1748">
        <v>0</v>
      </c>
      <c r="E37" s="1750"/>
    </row>
    <row r="38" spans="1:5">
      <c r="A38" s="1753" t="s">
        <v>1952</v>
      </c>
      <c r="B38" s="1753"/>
      <c r="C38" s="1753"/>
      <c r="D38" s="1749">
        <v>0</v>
      </c>
      <c r="E38" s="1750" t="s">
        <v>1953</v>
      </c>
    </row>
    <row r="39" spans="1:5">
      <c r="A39" s="1750"/>
      <c r="B39" s="1750"/>
      <c r="C39" s="1750"/>
      <c r="D39" s="1748"/>
      <c r="E39" s="1750"/>
    </row>
    <row r="40" spans="1:5">
      <c r="A40" s="1750"/>
      <c r="B40" s="1750"/>
      <c r="C40" s="1750"/>
      <c r="D40" s="1748"/>
      <c r="E40" s="1750"/>
    </row>
    <row r="41" spans="1:5">
      <c r="A41" s="1750"/>
      <c r="B41" s="1750"/>
      <c r="C41" s="1750"/>
      <c r="D41" s="1748"/>
      <c r="E41" s="1750"/>
    </row>
    <row r="42" spans="1:5">
      <c r="A42" s="1751" t="s">
        <v>1954</v>
      </c>
      <c r="B42" s="1752" t="s">
        <v>1955</v>
      </c>
      <c r="C42" s="1751" t="s">
        <v>1956</v>
      </c>
      <c r="D42" s="1748"/>
      <c r="E42" s="1750"/>
    </row>
    <row r="43" spans="1:5">
      <c r="A43" s="1750" t="s">
        <v>1957</v>
      </c>
      <c r="B43" s="1748">
        <v>0</v>
      </c>
      <c r="C43" s="1750"/>
      <c r="D43" s="1748"/>
      <c r="E43" s="1750"/>
    </row>
    <row r="44" spans="1:5">
      <c r="A44" s="1750" t="s">
        <v>1958</v>
      </c>
      <c r="B44" s="1748">
        <v>0</v>
      </c>
      <c r="C44" s="1750"/>
      <c r="D44" s="1748"/>
      <c r="E44" s="1750"/>
    </row>
    <row r="45" spans="1:5" ht="13.8" thickBot="1">
      <c r="A45" s="1755" t="s">
        <v>113</v>
      </c>
      <c r="B45" s="1756">
        <v>0</v>
      </c>
      <c r="C45" s="1756">
        <v>0</v>
      </c>
      <c r="D45" s="1748" t="s">
        <v>1959</v>
      </c>
      <c r="E45" s="1750"/>
    </row>
    <row r="46" spans="1:5" ht="13.8" thickTop="1">
      <c r="A46" s="1750"/>
      <c r="B46" s="1748"/>
      <c r="C46" s="1750"/>
      <c r="D46" s="1748"/>
      <c r="E46" s="1750"/>
    </row>
    <row r="47" spans="1:5">
      <c r="A47" s="1750" t="s">
        <v>1960</v>
      </c>
      <c r="B47" s="1748">
        <v>0</v>
      </c>
      <c r="C47" s="1750"/>
      <c r="D47" s="1748"/>
      <c r="E47" s="1750"/>
    </row>
    <row r="48" spans="1:5">
      <c r="A48" s="1750" t="s">
        <v>1961</v>
      </c>
      <c r="B48" s="1748">
        <v>0</v>
      </c>
      <c r="C48" s="1750"/>
      <c r="D48" s="1748"/>
      <c r="E48" s="1750"/>
    </row>
    <row r="49" spans="1:5" ht="13.8" thickBot="1">
      <c r="A49" s="1755" t="s">
        <v>113</v>
      </c>
      <c r="B49" s="1756">
        <v>0</v>
      </c>
      <c r="C49" s="1756">
        <v>0</v>
      </c>
      <c r="D49" s="1748" t="s">
        <v>1962</v>
      </c>
      <c r="E49" s="1750"/>
    </row>
    <row r="50" spans="1:5" ht="13.8" thickTop="1"/>
  </sheetData>
  <mergeCells count="3">
    <mergeCell ref="A1:E1"/>
    <mergeCell ref="A2:E2"/>
    <mergeCell ref="A3:E3"/>
  </mergeCells>
  <pageMargins left="0.7" right="0.7" top="0.7" bottom="0.7" header="0.3" footer="0.5"/>
  <pageSetup scale="82" orientation="portrait" r:id="rId1"/>
  <headerFooter>
    <oddFooter>&amp;R&amp;A</oddFooter>
  </headerFooter>
  <ignoredErrors>
    <ignoredError sqref="A34 A6:A1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A148"/>
  <sheetViews>
    <sheetView workbookViewId="0">
      <selection activeCell="A21" sqref="A21"/>
    </sheetView>
  </sheetViews>
  <sheetFormatPr defaultColWidth="9.109375" defaultRowHeight="13.2"/>
  <cols>
    <col min="1" max="1" width="6.109375" style="677" customWidth="1"/>
    <col min="2" max="2" width="56.88671875" style="185" customWidth="1"/>
    <col min="3" max="3" width="12.88671875" style="185" customWidth="1"/>
    <col min="4" max="4" width="17.33203125" style="185" bestFit="1" customWidth="1"/>
    <col min="5" max="5" width="14.109375" style="185" bestFit="1" customWidth="1"/>
    <col min="6" max="6" width="12.44140625" style="185" bestFit="1" customWidth="1"/>
    <col min="7" max="7" width="11.44140625" style="185" bestFit="1" customWidth="1"/>
    <col min="8" max="249" width="9.109375" style="185"/>
    <col min="250" max="250" width="24.88671875" style="185" customWidth="1"/>
    <col min="251" max="256" width="17.88671875" style="185" customWidth="1"/>
    <col min="257" max="257" width="15.5546875" style="185" bestFit="1" customWidth="1"/>
    <col min="258" max="258" width="8.6640625" style="185" customWidth="1"/>
    <col min="259" max="259" width="14.5546875" style="185" bestFit="1" customWidth="1"/>
    <col min="260" max="505" width="9.109375" style="185"/>
    <col min="506" max="506" width="24.88671875" style="185" customWidth="1"/>
    <col min="507" max="512" width="17.88671875" style="185" customWidth="1"/>
    <col min="513" max="513" width="15.5546875" style="185" bestFit="1" customWidth="1"/>
    <col min="514" max="514" width="8.6640625" style="185" customWidth="1"/>
    <col min="515" max="515" width="14.5546875" style="185" bestFit="1" customWidth="1"/>
    <col min="516" max="761" width="9.109375" style="185"/>
    <col min="762" max="762" width="24.88671875" style="185" customWidth="1"/>
    <col min="763" max="768" width="17.88671875" style="185" customWidth="1"/>
    <col min="769" max="769" width="15.5546875" style="185" bestFit="1" customWidth="1"/>
    <col min="770" max="770" width="8.6640625" style="185" customWidth="1"/>
    <col min="771" max="771" width="14.5546875" style="185" bestFit="1" customWidth="1"/>
    <col min="772" max="1017" width="9.109375" style="185"/>
    <col min="1018" max="1018" width="24.88671875" style="185" customWidth="1"/>
    <col min="1019" max="1024" width="17.88671875" style="185" customWidth="1"/>
    <col min="1025" max="1025" width="15.5546875" style="185" bestFit="1" customWidth="1"/>
    <col min="1026" max="1026" width="8.6640625" style="185" customWidth="1"/>
    <col min="1027" max="1027" width="14.5546875" style="185" bestFit="1" customWidth="1"/>
    <col min="1028" max="1273" width="9.109375" style="185"/>
    <col min="1274" max="1274" width="24.88671875" style="185" customWidth="1"/>
    <col min="1275" max="1280" width="17.88671875" style="185" customWidth="1"/>
    <col min="1281" max="1281" width="15.5546875" style="185" bestFit="1" customWidth="1"/>
    <col min="1282" max="1282" width="8.6640625" style="185" customWidth="1"/>
    <col min="1283" max="1283" width="14.5546875" style="185" bestFit="1" customWidth="1"/>
    <col min="1284" max="1529" width="9.109375" style="185"/>
    <col min="1530" max="1530" width="24.88671875" style="185" customWidth="1"/>
    <col min="1531" max="1536" width="17.88671875" style="185" customWidth="1"/>
    <col min="1537" max="1537" width="15.5546875" style="185" bestFit="1" customWidth="1"/>
    <col min="1538" max="1538" width="8.6640625" style="185" customWidth="1"/>
    <col min="1539" max="1539" width="14.5546875" style="185" bestFit="1" customWidth="1"/>
    <col min="1540" max="1785" width="9.109375" style="185"/>
    <col min="1786" max="1786" width="24.88671875" style="185" customWidth="1"/>
    <col min="1787" max="1792" width="17.88671875" style="185" customWidth="1"/>
    <col min="1793" max="1793" width="15.5546875" style="185" bestFit="1" customWidth="1"/>
    <col min="1794" max="1794" width="8.6640625" style="185" customWidth="1"/>
    <col min="1795" max="1795" width="14.5546875" style="185" bestFit="1" customWidth="1"/>
    <col min="1796" max="2041" width="9.109375" style="185"/>
    <col min="2042" max="2042" width="24.88671875" style="185" customWidth="1"/>
    <col min="2043" max="2048" width="17.88671875" style="185" customWidth="1"/>
    <col min="2049" max="2049" width="15.5546875" style="185" bestFit="1" customWidth="1"/>
    <col min="2050" max="2050" width="8.6640625" style="185" customWidth="1"/>
    <col min="2051" max="2051" width="14.5546875" style="185" bestFit="1" customWidth="1"/>
    <col min="2052" max="2297" width="9.109375" style="185"/>
    <col min="2298" max="2298" width="24.88671875" style="185" customWidth="1"/>
    <col min="2299" max="2304" width="17.88671875" style="185" customWidth="1"/>
    <col min="2305" max="2305" width="15.5546875" style="185" bestFit="1" customWidth="1"/>
    <col min="2306" max="2306" width="8.6640625" style="185" customWidth="1"/>
    <col min="2307" max="2307" width="14.5546875" style="185" bestFit="1" customWidth="1"/>
    <col min="2308" max="2553" width="9.109375" style="185"/>
    <col min="2554" max="2554" width="24.88671875" style="185" customWidth="1"/>
    <col min="2555" max="2560" width="17.88671875" style="185" customWidth="1"/>
    <col min="2561" max="2561" width="15.5546875" style="185" bestFit="1" customWidth="1"/>
    <col min="2562" max="2562" width="8.6640625" style="185" customWidth="1"/>
    <col min="2563" max="2563" width="14.5546875" style="185" bestFit="1" customWidth="1"/>
    <col min="2564" max="2809" width="9.109375" style="185"/>
    <col min="2810" max="2810" width="24.88671875" style="185" customWidth="1"/>
    <col min="2811" max="2816" width="17.88671875" style="185" customWidth="1"/>
    <col min="2817" max="2817" width="15.5546875" style="185" bestFit="1" customWidth="1"/>
    <col min="2818" max="2818" width="8.6640625" style="185" customWidth="1"/>
    <col min="2819" max="2819" width="14.5546875" style="185" bestFit="1" customWidth="1"/>
    <col min="2820" max="3065" width="9.109375" style="185"/>
    <col min="3066" max="3066" width="24.88671875" style="185" customWidth="1"/>
    <col min="3067" max="3072" width="17.88671875" style="185" customWidth="1"/>
    <col min="3073" max="3073" width="15.5546875" style="185" bestFit="1" customWidth="1"/>
    <col min="3074" max="3074" width="8.6640625" style="185" customWidth="1"/>
    <col min="3075" max="3075" width="14.5546875" style="185" bestFit="1" customWidth="1"/>
    <col min="3076" max="3321" width="9.109375" style="185"/>
    <col min="3322" max="3322" width="24.88671875" style="185" customWidth="1"/>
    <col min="3323" max="3328" width="17.88671875" style="185" customWidth="1"/>
    <col min="3329" max="3329" width="15.5546875" style="185" bestFit="1" customWidth="1"/>
    <col min="3330" max="3330" width="8.6640625" style="185" customWidth="1"/>
    <col min="3331" max="3331" width="14.5546875" style="185" bestFit="1" customWidth="1"/>
    <col min="3332" max="3577" width="9.109375" style="185"/>
    <col min="3578" max="3578" width="24.88671875" style="185" customWidth="1"/>
    <col min="3579" max="3584" width="17.88671875" style="185" customWidth="1"/>
    <col min="3585" max="3585" width="15.5546875" style="185" bestFit="1" customWidth="1"/>
    <col min="3586" max="3586" width="8.6640625" style="185" customWidth="1"/>
    <col min="3587" max="3587" width="14.5546875" style="185" bestFit="1" customWidth="1"/>
    <col min="3588" max="3833" width="9.109375" style="185"/>
    <col min="3834" max="3834" width="24.88671875" style="185" customWidth="1"/>
    <col min="3835" max="3840" width="17.88671875" style="185" customWidth="1"/>
    <col min="3841" max="3841" width="15.5546875" style="185" bestFit="1" customWidth="1"/>
    <col min="3842" max="3842" width="8.6640625" style="185" customWidth="1"/>
    <col min="3843" max="3843" width="14.5546875" style="185" bestFit="1" customWidth="1"/>
    <col min="3844" max="4089" width="9.109375" style="185"/>
    <col min="4090" max="4090" width="24.88671875" style="185" customWidth="1"/>
    <col min="4091" max="4096" width="17.88671875" style="185" customWidth="1"/>
    <col min="4097" max="4097" width="15.5546875" style="185" bestFit="1" customWidth="1"/>
    <col min="4098" max="4098" width="8.6640625" style="185" customWidth="1"/>
    <col min="4099" max="4099" width="14.5546875" style="185" bestFit="1" customWidth="1"/>
    <col min="4100" max="4345" width="9.109375" style="185"/>
    <col min="4346" max="4346" width="24.88671875" style="185" customWidth="1"/>
    <col min="4347" max="4352" width="17.88671875" style="185" customWidth="1"/>
    <col min="4353" max="4353" width="15.5546875" style="185" bestFit="1" customWidth="1"/>
    <col min="4354" max="4354" width="8.6640625" style="185" customWidth="1"/>
    <col min="4355" max="4355" width="14.5546875" style="185" bestFit="1" customWidth="1"/>
    <col min="4356" max="4601" width="9.109375" style="185"/>
    <col min="4602" max="4602" width="24.88671875" style="185" customWidth="1"/>
    <col min="4603" max="4608" width="17.88671875" style="185" customWidth="1"/>
    <col min="4609" max="4609" width="15.5546875" style="185" bestFit="1" customWidth="1"/>
    <col min="4610" max="4610" width="8.6640625" style="185" customWidth="1"/>
    <col min="4611" max="4611" width="14.5546875" style="185" bestFit="1" customWidth="1"/>
    <col min="4612" max="4857" width="9.109375" style="185"/>
    <col min="4858" max="4858" width="24.88671875" style="185" customWidth="1"/>
    <col min="4859" max="4864" width="17.88671875" style="185" customWidth="1"/>
    <col min="4865" max="4865" width="15.5546875" style="185" bestFit="1" customWidth="1"/>
    <col min="4866" max="4866" width="8.6640625" style="185" customWidth="1"/>
    <col min="4867" max="4867" width="14.5546875" style="185" bestFit="1" customWidth="1"/>
    <col min="4868" max="5113" width="9.109375" style="185"/>
    <col min="5114" max="5114" width="24.88671875" style="185" customWidth="1"/>
    <col min="5115" max="5120" width="17.88671875" style="185" customWidth="1"/>
    <col min="5121" max="5121" width="15.5546875" style="185" bestFit="1" customWidth="1"/>
    <col min="5122" max="5122" width="8.6640625" style="185" customWidth="1"/>
    <col min="5123" max="5123" width="14.5546875" style="185" bestFit="1" customWidth="1"/>
    <col min="5124" max="5369" width="9.109375" style="185"/>
    <col min="5370" max="5370" width="24.88671875" style="185" customWidth="1"/>
    <col min="5371" max="5376" width="17.88671875" style="185" customWidth="1"/>
    <col min="5377" max="5377" width="15.5546875" style="185" bestFit="1" customWidth="1"/>
    <col min="5378" max="5378" width="8.6640625" style="185" customWidth="1"/>
    <col min="5379" max="5379" width="14.5546875" style="185" bestFit="1" customWidth="1"/>
    <col min="5380" max="5625" width="9.109375" style="185"/>
    <col min="5626" max="5626" width="24.88671875" style="185" customWidth="1"/>
    <col min="5627" max="5632" width="17.88671875" style="185" customWidth="1"/>
    <col min="5633" max="5633" width="15.5546875" style="185" bestFit="1" customWidth="1"/>
    <col min="5634" max="5634" width="8.6640625" style="185" customWidth="1"/>
    <col min="5635" max="5635" width="14.5546875" style="185" bestFit="1" customWidth="1"/>
    <col min="5636" max="5881" width="9.109375" style="185"/>
    <col min="5882" max="5882" width="24.88671875" style="185" customWidth="1"/>
    <col min="5883" max="5888" width="17.88671875" style="185" customWidth="1"/>
    <col min="5889" max="5889" width="15.5546875" style="185" bestFit="1" customWidth="1"/>
    <col min="5890" max="5890" width="8.6640625" style="185" customWidth="1"/>
    <col min="5891" max="5891" width="14.5546875" style="185" bestFit="1" customWidth="1"/>
    <col min="5892" max="6137" width="9.109375" style="185"/>
    <col min="6138" max="6138" width="24.88671875" style="185" customWidth="1"/>
    <col min="6139" max="6144" width="17.88671875" style="185" customWidth="1"/>
    <col min="6145" max="6145" width="15.5546875" style="185" bestFit="1" customWidth="1"/>
    <col min="6146" max="6146" width="8.6640625" style="185" customWidth="1"/>
    <col min="6147" max="6147" width="14.5546875" style="185" bestFit="1" customWidth="1"/>
    <col min="6148" max="6393" width="9.109375" style="185"/>
    <col min="6394" max="6394" width="24.88671875" style="185" customWidth="1"/>
    <col min="6395" max="6400" width="17.88671875" style="185" customWidth="1"/>
    <col min="6401" max="6401" width="15.5546875" style="185" bestFit="1" customWidth="1"/>
    <col min="6402" max="6402" width="8.6640625" style="185" customWidth="1"/>
    <col min="6403" max="6403" width="14.5546875" style="185" bestFit="1" customWidth="1"/>
    <col min="6404" max="6649" width="9.109375" style="185"/>
    <col min="6650" max="6650" width="24.88671875" style="185" customWidth="1"/>
    <col min="6651" max="6656" width="17.88671875" style="185" customWidth="1"/>
    <col min="6657" max="6657" width="15.5546875" style="185" bestFit="1" customWidth="1"/>
    <col min="6658" max="6658" width="8.6640625" style="185" customWidth="1"/>
    <col min="6659" max="6659" width="14.5546875" style="185" bestFit="1" customWidth="1"/>
    <col min="6660" max="6905" width="9.109375" style="185"/>
    <col min="6906" max="6906" width="24.88671875" style="185" customWidth="1"/>
    <col min="6907" max="6912" width="17.88671875" style="185" customWidth="1"/>
    <col min="6913" max="6913" width="15.5546875" style="185" bestFit="1" customWidth="1"/>
    <col min="6914" max="6914" width="8.6640625" style="185" customWidth="1"/>
    <col min="6915" max="6915" width="14.5546875" style="185" bestFit="1" customWidth="1"/>
    <col min="6916" max="7161" width="9.109375" style="185"/>
    <col min="7162" max="7162" width="24.88671875" style="185" customWidth="1"/>
    <col min="7163" max="7168" width="17.88671875" style="185" customWidth="1"/>
    <col min="7169" max="7169" width="15.5546875" style="185" bestFit="1" customWidth="1"/>
    <col min="7170" max="7170" width="8.6640625" style="185" customWidth="1"/>
    <col min="7171" max="7171" width="14.5546875" style="185" bestFit="1" customWidth="1"/>
    <col min="7172" max="7417" width="9.109375" style="185"/>
    <col min="7418" max="7418" width="24.88671875" style="185" customWidth="1"/>
    <col min="7419" max="7424" width="17.88671875" style="185" customWidth="1"/>
    <col min="7425" max="7425" width="15.5546875" style="185" bestFit="1" customWidth="1"/>
    <col min="7426" max="7426" width="8.6640625" style="185" customWidth="1"/>
    <col min="7427" max="7427" width="14.5546875" style="185" bestFit="1" customWidth="1"/>
    <col min="7428" max="7673" width="9.109375" style="185"/>
    <col min="7674" max="7674" width="24.88671875" style="185" customWidth="1"/>
    <col min="7675" max="7680" width="17.88671875" style="185" customWidth="1"/>
    <col min="7681" max="7681" width="15.5546875" style="185" bestFit="1" customWidth="1"/>
    <col min="7682" max="7682" width="8.6640625" style="185" customWidth="1"/>
    <col min="7683" max="7683" width="14.5546875" style="185" bestFit="1" customWidth="1"/>
    <col min="7684" max="7929" width="9.109375" style="185"/>
    <col min="7930" max="7930" width="24.88671875" style="185" customWidth="1"/>
    <col min="7931" max="7936" width="17.88671875" style="185" customWidth="1"/>
    <col min="7937" max="7937" width="15.5546875" style="185" bestFit="1" customWidth="1"/>
    <col min="7938" max="7938" width="8.6640625" style="185" customWidth="1"/>
    <col min="7939" max="7939" width="14.5546875" style="185" bestFit="1" customWidth="1"/>
    <col min="7940" max="8185" width="9.109375" style="185"/>
    <col min="8186" max="8186" width="24.88671875" style="185" customWidth="1"/>
    <col min="8187" max="8192" width="17.88671875" style="185" customWidth="1"/>
    <col min="8193" max="8193" width="15.5546875" style="185" bestFit="1" customWidth="1"/>
    <col min="8194" max="8194" width="8.6640625" style="185" customWidth="1"/>
    <col min="8195" max="8195" width="14.5546875" style="185" bestFit="1" customWidth="1"/>
    <col min="8196" max="8441" width="9.109375" style="185"/>
    <col min="8442" max="8442" width="24.88671875" style="185" customWidth="1"/>
    <col min="8443" max="8448" width="17.88671875" style="185" customWidth="1"/>
    <col min="8449" max="8449" width="15.5546875" style="185" bestFit="1" customWidth="1"/>
    <col min="8450" max="8450" width="8.6640625" style="185" customWidth="1"/>
    <col min="8451" max="8451" width="14.5546875" style="185" bestFit="1" customWidth="1"/>
    <col min="8452" max="8697" width="9.109375" style="185"/>
    <col min="8698" max="8698" width="24.88671875" style="185" customWidth="1"/>
    <col min="8699" max="8704" width="17.88671875" style="185" customWidth="1"/>
    <col min="8705" max="8705" width="15.5546875" style="185" bestFit="1" customWidth="1"/>
    <col min="8706" max="8706" width="8.6640625" style="185" customWidth="1"/>
    <col min="8707" max="8707" width="14.5546875" style="185" bestFit="1" customWidth="1"/>
    <col min="8708" max="8953" width="9.109375" style="185"/>
    <col min="8954" max="8954" width="24.88671875" style="185" customWidth="1"/>
    <col min="8955" max="8960" width="17.88671875" style="185" customWidth="1"/>
    <col min="8961" max="8961" width="15.5546875" style="185" bestFit="1" customWidth="1"/>
    <col min="8962" max="8962" width="8.6640625" style="185" customWidth="1"/>
    <col min="8963" max="8963" width="14.5546875" style="185" bestFit="1" customWidth="1"/>
    <col min="8964" max="9209" width="9.109375" style="185"/>
    <col min="9210" max="9210" width="24.88671875" style="185" customWidth="1"/>
    <col min="9211" max="9216" width="17.88671875" style="185" customWidth="1"/>
    <col min="9217" max="9217" width="15.5546875" style="185" bestFit="1" customWidth="1"/>
    <col min="9218" max="9218" width="8.6640625" style="185" customWidth="1"/>
    <col min="9219" max="9219" width="14.5546875" style="185" bestFit="1" customWidth="1"/>
    <col min="9220" max="9465" width="9.109375" style="185"/>
    <col min="9466" max="9466" width="24.88671875" style="185" customWidth="1"/>
    <col min="9467" max="9472" width="17.88671875" style="185" customWidth="1"/>
    <col min="9473" max="9473" width="15.5546875" style="185" bestFit="1" customWidth="1"/>
    <col min="9474" max="9474" width="8.6640625" style="185" customWidth="1"/>
    <col min="9475" max="9475" width="14.5546875" style="185" bestFit="1" customWidth="1"/>
    <col min="9476" max="9721" width="9.109375" style="185"/>
    <col min="9722" max="9722" width="24.88671875" style="185" customWidth="1"/>
    <col min="9723" max="9728" width="17.88671875" style="185" customWidth="1"/>
    <col min="9729" max="9729" width="15.5546875" style="185" bestFit="1" customWidth="1"/>
    <col min="9730" max="9730" width="8.6640625" style="185" customWidth="1"/>
    <col min="9731" max="9731" width="14.5546875" style="185" bestFit="1" customWidth="1"/>
    <col min="9732" max="9977" width="9.109375" style="185"/>
    <col min="9978" max="9978" width="24.88671875" style="185" customWidth="1"/>
    <col min="9979" max="9984" width="17.88671875" style="185" customWidth="1"/>
    <col min="9985" max="9985" width="15.5546875" style="185" bestFit="1" customWidth="1"/>
    <col min="9986" max="9986" width="8.6640625" style="185" customWidth="1"/>
    <col min="9987" max="9987" width="14.5546875" style="185" bestFit="1" customWidth="1"/>
    <col min="9988" max="10233" width="9.109375" style="185"/>
    <col min="10234" max="10234" width="24.88671875" style="185" customWidth="1"/>
    <col min="10235" max="10240" width="17.88671875" style="185" customWidth="1"/>
    <col min="10241" max="10241" width="15.5546875" style="185" bestFit="1" customWidth="1"/>
    <col min="10242" max="10242" width="8.6640625" style="185" customWidth="1"/>
    <col min="10243" max="10243" width="14.5546875" style="185" bestFit="1" customWidth="1"/>
    <col min="10244" max="10489" width="9.109375" style="185"/>
    <col min="10490" max="10490" width="24.88671875" style="185" customWidth="1"/>
    <col min="10491" max="10496" width="17.88671875" style="185" customWidth="1"/>
    <col min="10497" max="10497" width="15.5546875" style="185" bestFit="1" customWidth="1"/>
    <col min="10498" max="10498" width="8.6640625" style="185" customWidth="1"/>
    <col min="10499" max="10499" width="14.5546875" style="185" bestFit="1" customWidth="1"/>
    <col min="10500" max="10745" width="9.109375" style="185"/>
    <col min="10746" max="10746" width="24.88671875" style="185" customWidth="1"/>
    <col min="10747" max="10752" width="17.88671875" style="185" customWidth="1"/>
    <col min="10753" max="10753" width="15.5546875" style="185" bestFit="1" customWidth="1"/>
    <col min="10754" max="10754" width="8.6640625" style="185" customWidth="1"/>
    <col min="10755" max="10755" width="14.5546875" style="185" bestFit="1" customWidth="1"/>
    <col min="10756" max="11001" width="9.109375" style="185"/>
    <col min="11002" max="11002" width="24.88671875" style="185" customWidth="1"/>
    <col min="11003" max="11008" width="17.88671875" style="185" customWidth="1"/>
    <col min="11009" max="11009" width="15.5546875" style="185" bestFit="1" customWidth="1"/>
    <col min="11010" max="11010" width="8.6640625" style="185" customWidth="1"/>
    <col min="11011" max="11011" width="14.5546875" style="185" bestFit="1" customWidth="1"/>
    <col min="11012" max="11257" width="9.109375" style="185"/>
    <col min="11258" max="11258" width="24.88671875" style="185" customWidth="1"/>
    <col min="11259" max="11264" width="17.88671875" style="185" customWidth="1"/>
    <col min="11265" max="11265" width="15.5546875" style="185" bestFit="1" customWidth="1"/>
    <col min="11266" max="11266" width="8.6640625" style="185" customWidth="1"/>
    <col min="11267" max="11267" width="14.5546875" style="185" bestFit="1" customWidth="1"/>
    <col min="11268" max="11513" width="9.109375" style="185"/>
    <col min="11514" max="11514" width="24.88671875" style="185" customWidth="1"/>
    <col min="11515" max="11520" width="17.88671875" style="185" customWidth="1"/>
    <col min="11521" max="11521" width="15.5546875" style="185" bestFit="1" customWidth="1"/>
    <col min="11522" max="11522" width="8.6640625" style="185" customWidth="1"/>
    <col min="11523" max="11523" width="14.5546875" style="185" bestFit="1" customWidth="1"/>
    <col min="11524" max="11769" width="9.109375" style="185"/>
    <col min="11770" max="11770" width="24.88671875" style="185" customWidth="1"/>
    <col min="11771" max="11776" width="17.88671875" style="185" customWidth="1"/>
    <col min="11777" max="11777" width="15.5546875" style="185" bestFit="1" customWidth="1"/>
    <col min="11778" max="11778" width="8.6640625" style="185" customWidth="1"/>
    <col min="11779" max="11779" width="14.5546875" style="185" bestFit="1" customWidth="1"/>
    <col min="11780" max="12025" width="9.109375" style="185"/>
    <col min="12026" max="12026" width="24.88671875" style="185" customWidth="1"/>
    <col min="12027" max="12032" width="17.88671875" style="185" customWidth="1"/>
    <col min="12033" max="12033" width="15.5546875" style="185" bestFit="1" customWidth="1"/>
    <col min="12034" max="12034" width="8.6640625" style="185" customWidth="1"/>
    <col min="12035" max="12035" width="14.5546875" style="185" bestFit="1" customWidth="1"/>
    <col min="12036" max="12281" width="9.109375" style="185"/>
    <col min="12282" max="12282" width="24.88671875" style="185" customWidth="1"/>
    <col min="12283" max="12288" width="17.88671875" style="185" customWidth="1"/>
    <col min="12289" max="12289" width="15.5546875" style="185" bestFit="1" customWidth="1"/>
    <col min="12290" max="12290" width="8.6640625" style="185" customWidth="1"/>
    <col min="12291" max="12291" width="14.5546875" style="185" bestFit="1" customWidth="1"/>
    <col min="12292" max="12537" width="9.109375" style="185"/>
    <col min="12538" max="12538" width="24.88671875" style="185" customWidth="1"/>
    <col min="12539" max="12544" width="17.88671875" style="185" customWidth="1"/>
    <col min="12545" max="12545" width="15.5546875" style="185" bestFit="1" customWidth="1"/>
    <col min="12546" max="12546" width="8.6640625" style="185" customWidth="1"/>
    <col min="12547" max="12547" width="14.5546875" style="185" bestFit="1" customWidth="1"/>
    <col min="12548" max="12793" width="9.109375" style="185"/>
    <col min="12794" max="12794" width="24.88671875" style="185" customWidth="1"/>
    <col min="12795" max="12800" width="17.88671875" style="185" customWidth="1"/>
    <col min="12801" max="12801" width="15.5546875" style="185" bestFit="1" customWidth="1"/>
    <col min="12802" max="12802" width="8.6640625" style="185" customWidth="1"/>
    <col min="12803" max="12803" width="14.5546875" style="185" bestFit="1" customWidth="1"/>
    <col min="12804" max="13049" width="9.109375" style="185"/>
    <col min="13050" max="13050" width="24.88671875" style="185" customWidth="1"/>
    <col min="13051" max="13056" width="17.88671875" style="185" customWidth="1"/>
    <col min="13057" max="13057" width="15.5546875" style="185" bestFit="1" customWidth="1"/>
    <col min="13058" max="13058" width="8.6640625" style="185" customWidth="1"/>
    <col min="13059" max="13059" width="14.5546875" style="185" bestFit="1" customWidth="1"/>
    <col min="13060" max="13305" width="9.109375" style="185"/>
    <col min="13306" max="13306" width="24.88671875" style="185" customWidth="1"/>
    <col min="13307" max="13312" width="17.88671875" style="185" customWidth="1"/>
    <col min="13313" max="13313" width="15.5546875" style="185" bestFit="1" customWidth="1"/>
    <col min="13314" max="13314" width="8.6640625" style="185" customWidth="1"/>
    <col min="13315" max="13315" width="14.5546875" style="185" bestFit="1" customWidth="1"/>
    <col min="13316" max="13561" width="9.109375" style="185"/>
    <col min="13562" max="13562" width="24.88671875" style="185" customWidth="1"/>
    <col min="13563" max="13568" width="17.88671875" style="185" customWidth="1"/>
    <col min="13569" max="13569" width="15.5546875" style="185" bestFit="1" customWidth="1"/>
    <col min="13570" max="13570" width="8.6640625" style="185" customWidth="1"/>
    <col min="13571" max="13571" width="14.5546875" style="185" bestFit="1" customWidth="1"/>
    <col min="13572" max="13817" width="9.109375" style="185"/>
    <col min="13818" max="13818" width="24.88671875" style="185" customWidth="1"/>
    <col min="13819" max="13824" width="17.88671875" style="185" customWidth="1"/>
    <col min="13825" max="13825" width="15.5546875" style="185" bestFit="1" customWidth="1"/>
    <col min="13826" max="13826" width="8.6640625" style="185" customWidth="1"/>
    <col min="13827" max="13827" width="14.5546875" style="185" bestFit="1" customWidth="1"/>
    <col min="13828" max="14073" width="9.109375" style="185"/>
    <col min="14074" max="14074" width="24.88671875" style="185" customWidth="1"/>
    <col min="14075" max="14080" width="17.88671875" style="185" customWidth="1"/>
    <col min="14081" max="14081" width="15.5546875" style="185" bestFit="1" customWidth="1"/>
    <col min="14082" max="14082" width="8.6640625" style="185" customWidth="1"/>
    <col min="14083" max="14083" width="14.5546875" style="185" bestFit="1" customWidth="1"/>
    <col min="14084" max="14329" width="9.109375" style="185"/>
    <col min="14330" max="14330" width="24.88671875" style="185" customWidth="1"/>
    <col min="14331" max="14336" width="17.88671875" style="185" customWidth="1"/>
    <col min="14337" max="14337" width="15.5546875" style="185" bestFit="1" customWidth="1"/>
    <col min="14338" max="14338" width="8.6640625" style="185" customWidth="1"/>
    <col min="14339" max="14339" width="14.5546875" style="185" bestFit="1" customWidth="1"/>
    <col min="14340" max="14585" width="9.109375" style="185"/>
    <col min="14586" max="14586" width="24.88671875" style="185" customWidth="1"/>
    <col min="14587" max="14592" width="17.88671875" style="185" customWidth="1"/>
    <col min="14593" max="14593" width="15.5546875" style="185" bestFit="1" customWidth="1"/>
    <col min="14594" max="14594" width="8.6640625" style="185" customWidth="1"/>
    <col min="14595" max="14595" width="14.5546875" style="185" bestFit="1" customWidth="1"/>
    <col min="14596" max="14841" width="9.109375" style="185"/>
    <col min="14842" max="14842" width="24.88671875" style="185" customWidth="1"/>
    <col min="14843" max="14848" width="17.88671875" style="185" customWidth="1"/>
    <col min="14849" max="14849" width="15.5546875" style="185" bestFit="1" customWidth="1"/>
    <col min="14850" max="14850" width="8.6640625" style="185" customWidth="1"/>
    <col min="14851" max="14851" width="14.5546875" style="185" bestFit="1" customWidth="1"/>
    <col min="14852" max="15097" width="9.109375" style="185"/>
    <col min="15098" max="15098" width="24.88671875" style="185" customWidth="1"/>
    <col min="15099" max="15104" width="17.88671875" style="185" customWidth="1"/>
    <col min="15105" max="15105" width="15.5546875" style="185" bestFit="1" customWidth="1"/>
    <col min="15106" max="15106" width="8.6640625" style="185" customWidth="1"/>
    <col min="15107" max="15107" width="14.5546875" style="185" bestFit="1" customWidth="1"/>
    <col min="15108" max="15353" width="9.109375" style="185"/>
    <col min="15354" max="15354" width="24.88671875" style="185" customWidth="1"/>
    <col min="15355" max="15360" width="17.88671875" style="185" customWidth="1"/>
    <col min="15361" max="15361" width="15.5546875" style="185" bestFit="1" customWidth="1"/>
    <col min="15362" max="15362" width="8.6640625" style="185" customWidth="1"/>
    <col min="15363" max="15363" width="14.5546875" style="185" bestFit="1" customWidth="1"/>
    <col min="15364" max="15609" width="9.109375" style="185"/>
    <col min="15610" max="15610" width="24.88671875" style="185" customWidth="1"/>
    <col min="15611" max="15616" width="17.88671875" style="185" customWidth="1"/>
    <col min="15617" max="15617" width="15.5546875" style="185" bestFit="1" customWidth="1"/>
    <col min="15618" max="15618" width="8.6640625" style="185" customWidth="1"/>
    <col min="15619" max="15619" width="14.5546875" style="185" bestFit="1" customWidth="1"/>
    <col min="15620" max="15865" width="9.109375" style="185"/>
    <col min="15866" max="15866" width="24.88671875" style="185" customWidth="1"/>
    <col min="15867" max="15872" width="17.88671875" style="185" customWidth="1"/>
    <col min="15873" max="15873" width="15.5546875" style="185" bestFit="1" customWidth="1"/>
    <col min="15874" max="15874" width="8.6640625" style="185" customWidth="1"/>
    <col min="15875" max="15875" width="14.5546875" style="185" bestFit="1" customWidth="1"/>
    <col min="15876" max="16121" width="9.109375" style="185"/>
    <col min="16122" max="16122" width="24.88671875" style="185" customWidth="1"/>
    <col min="16123" max="16128" width="17.88671875" style="185" customWidth="1"/>
    <col min="16129" max="16129" width="15.5546875" style="185" bestFit="1" customWidth="1"/>
    <col min="16130" max="16130" width="8.6640625" style="185" customWidth="1"/>
    <col min="16131" max="16131" width="14.5546875" style="185" bestFit="1" customWidth="1"/>
    <col min="16132" max="16384" width="9.109375" style="185"/>
  </cols>
  <sheetData>
    <row r="1" spans="1:13" s="42" customFormat="1">
      <c r="A1" s="1964" t="str">
        <f>+'MISO Cover'!C6</f>
        <v>Entergy Louisiana, LLC</v>
      </c>
      <c r="B1" s="1964"/>
      <c r="C1" s="1964"/>
      <c r="D1" s="1964"/>
      <c r="E1" s="1964"/>
      <c r="F1" s="1964"/>
      <c r="G1" s="1964"/>
    </row>
    <row r="2" spans="1:13" s="42" customFormat="1">
      <c r="A2" s="1964" t="s">
        <v>660</v>
      </c>
      <c r="B2" s="1964"/>
      <c r="C2" s="1964"/>
      <c r="D2" s="1964"/>
      <c r="E2" s="1964"/>
      <c r="F2" s="1964"/>
      <c r="G2" s="1964"/>
      <c r="H2" s="783"/>
    </row>
    <row r="3" spans="1:13" s="42" customFormat="1">
      <c r="A3" s="1964" t="str">
        <f>+'MISO Cover'!K4</f>
        <v>For  the 12 Months Ended 12/31/2016</v>
      </c>
      <c r="B3" s="1964"/>
      <c r="C3" s="1964"/>
      <c r="D3" s="1964"/>
      <c r="E3" s="1964"/>
      <c r="F3" s="1964"/>
      <c r="G3" s="1964"/>
    </row>
    <row r="4" spans="1:13" s="42" customFormat="1">
      <c r="A4" s="1205"/>
      <c r="B4" s="216"/>
      <c r="C4" s="216"/>
      <c r="D4" s="216"/>
      <c r="E4" s="216"/>
      <c r="F4" s="216"/>
    </row>
    <row r="5" spans="1:13" s="42" customFormat="1">
      <c r="A5" s="1205" t="s">
        <v>279</v>
      </c>
      <c r="B5" s="1205" t="s">
        <v>67</v>
      </c>
      <c r="C5" s="1204" t="s">
        <v>114</v>
      </c>
      <c r="D5" s="1204" t="s">
        <v>55</v>
      </c>
      <c r="E5" s="1204" t="s">
        <v>68</v>
      </c>
      <c r="F5" s="1204" t="s">
        <v>66</v>
      </c>
      <c r="G5" s="1204" t="s">
        <v>154</v>
      </c>
    </row>
    <row r="6" spans="1:13" s="42" customFormat="1" ht="26.4">
      <c r="A6" s="1204">
        <v>1</v>
      </c>
      <c r="B6" s="216"/>
      <c r="C6" s="860"/>
      <c r="D6" s="860"/>
      <c r="E6" s="1511" t="s">
        <v>163</v>
      </c>
      <c r="F6" s="1511" t="s">
        <v>158</v>
      </c>
      <c r="G6" s="1510" t="s">
        <v>140</v>
      </c>
    </row>
    <row r="7" spans="1:13" s="42" customFormat="1">
      <c r="A7" s="1204">
        <f>+A6+1</f>
        <v>2</v>
      </c>
      <c r="B7" s="43" t="s">
        <v>410</v>
      </c>
      <c r="C7" s="41" t="str">
        <f>+"Sum Line "&amp;A$11&amp;" Subparts for Included"</f>
        <v>Sum Line 6 Subparts for Included</v>
      </c>
      <c r="D7" s="262"/>
      <c r="E7" s="861">
        <f>+SUM(E12:E17)+SUM(E43:E50)</f>
        <v>10348623.9</v>
      </c>
      <c r="F7" s="861">
        <f>+SUM(F12:F17)+SUM(F43:F50)</f>
        <v>18498103.850000001</v>
      </c>
      <c r="G7" s="862">
        <f>+(E7+F7)/2</f>
        <v>14423363.875</v>
      </c>
      <c r="J7" s="42" t="s">
        <v>1318</v>
      </c>
    </row>
    <row r="8" spans="1:13" s="42" customFormat="1" ht="15">
      <c r="A8" s="1204">
        <f>+A7+1</f>
        <v>3</v>
      </c>
      <c r="B8" s="43" t="s">
        <v>411</v>
      </c>
      <c r="C8" s="41" t="str">
        <f>+"Sum Line "&amp;A$11&amp;" Subparts for Excluded"</f>
        <v>Sum Line 6 Subparts for Excluded</v>
      </c>
      <c r="D8" s="863"/>
      <c r="E8" s="1561">
        <f>+SUM(E18:E42)+SUM(E51:E143)</f>
        <v>70737562.76000002</v>
      </c>
      <c r="F8" s="1561">
        <f>+SUM(F18:F42)+SUM(F51:F143)</f>
        <v>82442744.700000003</v>
      </c>
      <c r="G8" s="864">
        <f>+(E8+F8)/2</f>
        <v>76590153.730000019</v>
      </c>
      <c r="J8" s="42" t="s">
        <v>1318</v>
      </c>
    </row>
    <row r="9" spans="1:13" s="42" customFormat="1">
      <c r="A9" s="1204">
        <f>+A8+1</f>
        <v>4</v>
      </c>
      <c r="B9" s="43" t="s">
        <v>113</v>
      </c>
      <c r="C9" s="41"/>
      <c r="D9" s="262"/>
      <c r="E9" s="861">
        <f>SUM(E7:E8)</f>
        <v>81086186.660000026</v>
      </c>
      <c r="F9" s="861">
        <f>SUM(F7:F8)</f>
        <v>100940848.55000001</v>
      </c>
      <c r="G9" s="862">
        <f>+(E9+F9)/2</f>
        <v>91013517.605000019</v>
      </c>
      <c r="I9" s="43"/>
      <c r="J9" s="43"/>
      <c r="K9" s="43"/>
      <c r="L9" s="185"/>
      <c r="M9" s="185"/>
    </row>
    <row r="10" spans="1:13" s="42" customFormat="1">
      <c r="A10" s="1204">
        <f>+A9+1</f>
        <v>5</v>
      </c>
      <c r="B10" s="185"/>
      <c r="C10" s="676"/>
      <c r="D10" s="676"/>
      <c r="E10" s="676"/>
      <c r="F10" s="676"/>
      <c r="G10" s="1362"/>
      <c r="H10" s="41"/>
      <c r="I10" s="2022"/>
      <c r="J10" s="2022"/>
      <c r="K10" s="2022"/>
      <c r="L10" s="2022"/>
      <c r="M10" s="2022"/>
    </row>
    <row r="11" spans="1:13" ht="26.4">
      <c r="A11" s="1204">
        <f>+A10+1</f>
        <v>6</v>
      </c>
      <c r="B11" s="1464" t="s">
        <v>292</v>
      </c>
      <c r="C11" s="1464" t="s">
        <v>569</v>
      </c>
      <c r="D11" s="1361" t="s">
        <v>897</v>
      </c>
      <c r="E11" s="1511" t="s">
        <v>163</v>
      </c>
      <c r="F11" s="1511" t="s">
        <v>158</v>
      </c>
      <c r="G11" s="1510" t="s">
        <v>140</v>
      </c>
      <c r="H11" s="43"/>
      <c r="I11" s="2022"/>
      <c r="J11" s="2022"/>
      <c r="K11" s="2022"/>
      <c r="L11" s="2022"/>
      <c r="M11" s="2022"/>
    </row>
    <row r="12" spans="1:13">
      <c r="A12" s="1531">
        <f>+A11+0.001</f>
        <v>6.0010000000000003</v>
      </c>
      <c r="B12" s="1231" t="s">
        <v>975</v>
      </c>
      <c r="C12" s="1231" t="s">
        <v>976</v>
      </c>
      <c r="D12" s="1619" t="s">
        <v>2036</v>
      </c>
      <c r="E12" s="1332">
        <v>38615.79</v>
      </c>
      <c r="F12" s="1507">
        <v>38615.79</v>
      </c>
      <c r="G12" s="262">
        <f>+SUM(E12,F12)/2</f>
        <v>38615.79</v>
      </c>
      <c r="H12" s="43"/>
      <c r="I12" s="2022"/>
      <c r="J12" s="2022"/>
      <c r="K12" s="2022"/>
      <c r="L12" s="2022"/>
      <c r="M12" s="2022"/>
    </row>
    <row r="13" spans="1:13" ht="15">
      <c r="A13" s="1531">
        <f t="shared" ref="A13:A76" si="0">+A12+0.001</f>
        <v>6.0020000000000007</v>
      </c>
      <c r="B13" s="1231" t="s">
        <v>977</v>
      </c>
      <c r="C13" s="1231" t="s">
        <v>976</v>
      </c>
      <c r="D13" s="1331" t="s">
        <v>2036</v>
      </c>
      <c r="E13" s="1332">
        <v>667225.76</v>
      </c>
      <c r="F13" s="1507">
        <v>667225.76</v>
      </c>
      <c r="G13" s="262">
        <f t="shared" ref="G13:G76" si="1">+SUM(E13,F13)/2</f>
        <v>667225.76</v>
      </c>
      <c r="H13" s="43"/>
      <c r="I13" s="259" t="s">
        <v>1130</v>
      </c>
    </row>
    <row r="14" spans="1:13" ht="13.8">
      <c r="A14" s="1531">
        <f t="shared" si="0"/>
        <v>6.003000000000001</v>
      </c>
      <c r="B14" s="1231" t="s">
        <v>978</v>
      </c>
      <c r="C14" s="1231" t="s">
        <v>979</v>
      </c>
      <c r="D14" s="1331" t="s">
        <v>2036</v>
      </c>
      <c r="E14" s="1332">
        <v>431327.16</v>
      </c>
      <c r="F14" s="1507">
        <v>441196.12</v>
      </c>
      <c r="G14" s="262">
        <f t="shared" si="1"/>
        <v>436261.64</v>
      </c>
      <c r="H14" s="43"/>
      <c r="I14" s="1894" t="s">
        <v>666</v>
      </c>
    </row>
    <row r="15" spans="1:13">
      <c r="A15" s="1531">
        <f t="shared" si="0"/>
        <v>6.0040000000000013</v>
      </c>
      <c r="B15" s="1231" t="s">
        <v>980</v>
      </c>
      <c r="C15" s="1231" t="s">
        <v>979</v>
      </c>
      <c r="D15" s="1331" t="s">
        <v>2036</v>
      </c>
      <c r="E15" s="1332">
        <v>391306.97</v>
      </c>
      <c r="F15" s="1507">
        <v>391306.97</v>
      </c>
      <c r="G15" s="262">
        <f t="shared" si="1"/>
        <v>391306.97</v>
      </c>
      <c r="H15" s="43"/>
      <c r="I15" s="2023" t="s">
        <v>1131</v>
      </c>
      <c r="J15" s="2023"/>
      <c r="K15" s="2023"/>
      <c r="L15" s="2023"/>
      <c r="M15" s="2023"/>
    </row>
    <row r="16" spans="1:13">
      <c r="A16" s="1531">
        <f t="shared" si="0"/>
        <v>6.0050000000000017</v>
      </c>
      <c r="B16" s="1231" t="s">
        <v>981</v>
      </c>
      <c r="C16" s="1231" t="s">
        <v>982</v>
      </c>
      <c r="D16" s="1331" t="s">
        <v>2036</v>
      </c>
      <c r="E16" s="1332">
        <v>4900336.7699999996</v>
      </c>
      <c r="F16" s="1507">
        <v>12079639.08</v>
      </c>
      <c r="G16" s="262">
        <f t="shared" si="1"/>
        <v>8489987.9250000007</v>
      </c>
      <c r="H16" s="43"/>
      <c r="I16" s="2023"/>
      <c r="J16" s="2023"/>
      <c r="K16" s="2023"/>
      <c r="L16" s="2023"/>
      <c r="M16" s="2023"/>
    </row>
    <row r="17" spans="1:13" s="43" customFormat="1">
      <c r="A17" s="1531">
        <f t="shared" si="0"/>
        <v>6.006000000000002</v>
      </c>
      <c r="B17" s="1231" t="s">
        <v>983</v>
      </c>
      <c r="C17" s="1231" t="s">
        <v>982</v>
      </c>
      <c r="D17" s="1331" t="s">
        <v>2036</v>
      </c>
      <c r="E17" s="1332">
        <v>3455689.97</v>
      </c>
      <c r="F17" s="1507">
        <v>4143552.87</v>
      </c>
      <c r="G17" s="262">
        <f t="shared" si="1"/>
        <v>3799621.42</v>
      </c>
      <c r="I17" s="2023"/>
      <c r="J17" s="2023"/>
      <c r="K17" s="2023"/>
      <c r="L17" s="2023"/>
      <c r="M17" s="2023"/>
    </row>
    <row r="18" spans="1:13">
      <c r="A18" s="1531">
        <f t="shared" si="0"/>
        <v>6.0070000000000023</v>
      </c>
      <c r="B18" s="1231" t="s">
        <v>984</v>
      </c>
      <c r="C18" s="1231" t="s">
        <v>985</v>
      </c>
      <c r="D18" s="1331" t="s">
        <v>2037</v>
      </c>
      <c r="E18" s="1332">
        <v>537382.49</v>
      </c>
      <c r="F18" s="1507">
        <v>1568266.13</v>
      </c>
      <c r="G18" s="262">
        <f t="shared" si="1"/>
        <v>1052824.31</v>
      </c>
      <c r="H18" s="43"/>
      <c r="I18" s="2023"/>
      <c r="J18" s="2023"/>
      <c r="K18" s="2023"/>
      <c r="L18" s="2023"/>
      <c r="M18" s="2023"/>
    </row>
    <row r="19" spans="1:13">
      <c r="A19" s="1531">
        <f t="shared" si="0"/>
        <v>6.0080000000000027</v>
      </c>
      <c r="B19" s="1231" t="s">
        <v>986</v>
      </c>
      <c r="C19" s="1231" t="s">
        <v>987</v>
      </c>
      <c r="D19" s="1331" t="s">
        <v>2037</v>
      </c>
      <c r="E19" s="1332">
        <v>1270232.48</v>
      </c>
      <c r="F19" s="1507">
        <v>1270232.48</v>
      </c>
      <c r="G19" s="262">
        <f t="shared" si="1"/>
        <v>1270232.48</v>
      </c>
      <c r="H19" s="43"/>
      <c r="I19" s="2023"/>
      <c r="J19" s="2023"/>
      <c r="K19" s="2023"/>
      <c r="L19" s="2023"/>
      <c r="M19" s="2023"/>
    </row>
    <row r="20" spans="1:13">
      <c r="A20" s="1531">
        <f t="shared" si="0"/>
        <v>6.009000000000003</v>
      </c>
      <c r="B20" s="1231" t="s">
        <v>988</v>
      </c>
      <c r="C20" s="1231" t="s">
        <v>989</v>
      </c>
      <c r="D20" s="1331" t="s">
        <v>2037</v>
      </c>
      <c r="E20" s="1332">
        <v>278895.83</v>
      </c>
      <c r="F20" s="1507">
        <v>279395.28000000003</v>
      </c>
      <c r="G20" s="262">
        <f t="shared" si="1"/>
        <v>279145.55500000005</v>
      </c>
      <c r="H20" s="43"/>
      <c r="I20" s="2023"/>
      <c r="J20" s="2023"/>
      <c r="K20" s="2023"/>
      <c r="L20" s="2023"/>
      <c r="M20" s="2023"/>
    </row>
    <row r="21" spans="1:13">
      <c r="A21" s="1531">
        <f t="shared" si="0"/>
        <v>6.0100000000000033</v>
      </c>
      <c r="B21" s="1231" t="s">
        <v>990</v>
      </c>
      <c r="C21" s="1231" t="s">
        <v>989</v>
      </c>
      <c r="D21" s="1331" t="s">
        <v>2037</v>
      </c>
      <c r="E21" s="1332">
        <v>12343.41</v>
      </c>
      <c r="F21" s="1507">
        <v>110001.26</v>
      </c>
      <c r="G21" s="262">
        <f t="shared" si="1"/>
        <v>61172.334999999999</v>
      </c>
      <c r="H21" s="43"/>
      <c r="I21" s="43"/>
    </row>
    <row r="22" spans="1:13">
      <c r="A22" s="1531">
        <f t="shared" si="0"/>
        <v>6.0110000000000037</v>
      </c>
      <c r="B22" s="1231" t="s">
        <v>991</v>
      </c>
      <c r="C22" s="1231" t="s">
        <v>992</v>
      </c>
      <c r="D22" s="1331" t="s">
        <v>2037</v>
      </c>
      <c r="E22" s="1332">
        <v>127813.84</v>
      </c>
      <c r="F22" s="1507">
        <v>127813.84</v>
      </c>
      <c r="G22" s="262">
        <f t="shared" si="1"/>
        <v>127813.84</v>
      </c>
      <c r="H22" s="43"/>
      <c r="I22" s="43"/>
    </row>
    <row r="23" spans="1:13">
      <c r="A23" s="1531">
        <f t="shared" si="0"/>
        <v>6.012000000000004</v>
      </c>
      <c r="B23" s="1231" t="s">
        <v>993</v>
      </c>
      <c r="C23" s="1231" t="s">
        <v>994</v>
      </c>
      <c r="D23" s="1331" t="s">
        <v>2037</v>
      </c>
      <c r="E23" s="1332">
        <v>1612046.96</v>
      </c>
      <c r="F23" s="1507">
        <v>1612046.96</v>
      </c>
      <c r="G23" s="262">
        <f t="shared" si="1"/>
        <v>1612046.96</v>
      </c>
      <c r="H23" s="43"/>
      <c r="I23" s="43"/>
    </row>
    <row r="24" spans="1:13">
      <c r="A24" s="1531">
        <f t="shared" si="0"/>
        <v>6.0130000000000043</v>
      </c>
      <c r="B24" s="1231" t="s">
        <v>995</v>
      </c>
      <c r="C24" s="1231" t="s">
        <v>996</v>
      </c>
      <c r="D24" s="1331" t="s">
        <v>2037</v>
      </c>
      <c r="E24" s="1332">
        <v>30838941.949999999</v>
      </c>
      <c r="F24" s="1507">
        <v>30838941.949999999</v>
      </c>
      <c r="G24" s="262">
        <f t="shared" si="1"/>
        <v>30838941.949999999</v>
      </c>
      <c r="H24" s="43"/>
      <c r="I24" s="43"/>
    </row>
    <row r="25" spans="1:13">
      <c r="A25" s="1531">
        <f t="shared" si="0"/>
        <v>6.0140000000000047</v>
      </c>
      <c r="B25" s="1231" t="s">
        <v>997</v>
      </c>
      <c r="C25" s="1231" t="s">
        <v>996</v>
      </c>
      <c r="D25" s="1331" t="s">
        <v>2037</v>
      </c>
      <c r="E25" s="1332">
        <v>2152542.88</v>
      </c>
      <c r="F25" s="1507">
        <v>2152542.88</v>
      </c>
      <c r="G25" s="262">
        <f t="shared" si="1"/>
        <v>2152542.88</v>
      </c>
      <c r="H25" s="43"/>
      <c r="I25" s="43"/>
    </row>
    <row r="26" spans="1:13">
      <c r="A26" s="1531">
        <f t="shared" si="0"/>
        <v>6.015000000000005</v>
      </c>
      <c r="B26" s="1231" t="s">
        <v>998</v>
      </c>
      <c r="C26" s="1231" t="s">
        <v>999</v>
      </c>
      <c r="D26" s="1331" t="s">
        <v>2037</v>
      </c>
      <c r="E26" s="1332">
        <v>144580.42000000001</v>
      </c>
      <c r="F26" s="1507">
        <v>174280.5</v>
      </c>
      <c r="G26" s="262">
        <f t="shared" si="1"/>
        <v>159430.46000000002</v>
      </c>
      <c r="H26" s="43"/>
      <c r="I26" s="43"/>
    </row>
    <row r="27" spans="1:13">
      <c r="A27" s="1531">
        <f t="shared" si="0"/>
        <v>6.0160000000000053</v>
      </c>
      <c r="B27" s="1231" t="s">
        <v>1000</v>
      </c>
      <c r="C27" s="1231" t="s">
        <v>999</v>
      </c>
      <c r="D27" s="1331" t="s">
        <v>2037</v>
      </c>
      <c r="E27" s="1332">
        <v>86395.42</v>
      </c>
      <c r="F27" s="1507">
        <v>86395.42</v>
      </c>
      <c r="G27" s="262">
        <f t="shared" si="1"/>
        <v>86395.42</v>
      </c>
      <c r="H27" s="43"/>
      <c r="I27" s="43"/>
    </row>
    <row r="28" spans="1:13">
      <c r="A28" s="1531">
        <f t="shared" si="0"/>
        <v>6.0170000000000057</v>
      </c>
      <c r="B28" s="1231" t="s">
        <v>1001</v>
      </c>
      <c r="C28" s="1231" t="s">
        <v>1002</v>
      </c>
      <c r="D28" s="1331" t="s">
        <v>2037</v>
      </c>
      <c r="E28" s="1332">
        <v>118316.02</v>
      </c>
      <c r="F28" s="1507">
        <v>118316.02</v>
      </c>
      <c r="G28" s="262">
        <f t="shared" si="1"/>
        <v>118316.02</v>
      </c>
      <c r="H28" s="43"/>
      <c r="I28" s="43"/>
    </row>
    <row r="29" spans="1:13">
      <c r="A29" s="1531">
        <f t="shared" si="0"/>
        <v>6.018000000000006</v>
      </c>
      <c r="B29" s="1231" t="s">
        <v>1003</v>
      </c>
      <c r="C29" s="1231" t="s">
        <v>1002</v>
      </c>
      <c r="D29" s="1331" t="s">
        <v>2037</v>
      </c>
      <c r="E29" s="1332">
        <v>2300.2800000000002</v>
      </c>
      <c r="F29" s="1507">
        <v>2300.2800000000002</v>
      </c>
      <c r="G29" s="262">
        <f t="shared" si="1"/>
        <v>2300.2800000000002</v>
      </c>
      <c r="H29" s="43"/>
      <c r="I29" s="43"/>
    </row>
    <row r="30" spans="1:13">
      <c r="A30" s="1531">
        <f t="shared" si="0"/>
        <v>6.0190000000000063</v>
      </c>
      <c r="B30" s="1231" t="s">
        <v>1004</v>
      </c>
      <c r="C30" s="1231" t="s">
        <v>1005</v>
      </c>
      <c r="D30" s="1331" t="s">
        <v>2037</v>
      </c>
      <c r="E30" s="1332">
        <v>2120278.61</v>
      </c>
      <c r="F30" s="1507">
        <v>2308604.64</v>
      </c>
      <c r="G30" s="262">
        <f t="shared" si="1"/>
        <v>2214441.625</v>
      </c>
      <c r="H30" s="43"/>
      <c r="I30" s="43"/>
    </row>
    <row r="31" spans="1:13">
      <c r="A31" s="1531">
        <f t="shared" si="0"/>
        <v>6.0200000000000067</v>
      </c>
      <c r="B31" s="1231" t="s">
        <v>1006</v>
      </c>
      <c r="C31" s="1231" t="s">
        <v>1005</v>
      </c>
      <c r="D31" s="1331" t="s">
        <v>2037</v>
      </c>
      <c r="E31" s="1332">
        <v>3928.36</v>
      </c>
      <c r="F31" s="1507">
        <v>3928.36</v>
      </c>
      <c r="G31" s="262">
        <f t="shared" si="1"/>
        <v>3928.36</v>
      </c>
      <c r="H31" s="43"/>
      <c r="I31" s="43"/>
    </row>
    <row r="32" spans="1:13">
      <c r="A32" s="1531">
        <f t="shared" si="0"/>
        <v>6.021000000000007</v>
      </c>
      <c r="B32" s="1231" t="s">
        <v>1007</v>
      </c>
      <c r="C32" s="1231" t="s">
        <v>1008</v>
      </c>
      <c r="D32" s="1331" t="s">
        <v>2037</v>
      </c>
      <c r="E32" s="1332">
        <v>258075.4</v>
      </c>
      <c r="F32" s="1507">
        <v>258075.4</v>
      </c>
      <c r="G32" s="262">
        <f t="shared" si="1"/>
        <v>258075.4</v>
      </c>
      <c r="H32" s="43"/>
      <c r="I32" s="43"/>
    </row>
    <row r="33" spans="1:27">
      <c r="A33" s="1531">
        <f t="shared" si="0"/>
        <v>6.0220000000000073</v>
      </c>
      <c r="B33" s="1231" t="s">
        <v>1009</v>
      </c>
      <c r="C33" s="1231" t="s">
        <v>1008</v>
      </c>
      <c r="D33" s="1331" t="s">
        <v>2037</v>
      </c>
      <c r="E33" s="1332">
        <v>96121.8</v>
      </c>
      <c r="F33" s="1507">
        <v>96121.8</v>
      </c>
      <c r="G33" s="262">
        <f t="shared" si="1"/>
        <v>96121.8</v>
      </c>
      <c r="H33" s="43"/>
      <c r="I33" s="43"/>
    </row>
    <row r="34" spans="1:27">
      <c r="A34" s="1531">
        <f t="shared" si="0"/>
        <v>6.0230000000000077</v>
      </c>
      <c r="B34" s="1231" t="s">
        <v>1010</v>
      </c>
      <c r="C34" s="1231" t="s">
        <v>1011</v>
      </c>
      <c r="D34" s="1331" t="s">
        <v>2037</v>
      </c>
      <c r="E34" s="1332">
        <v>1052775.7</v>
      </c>
      <c r="F34" s="1507">
        <v>1052775.7</v>
      </c>
      <c r="G34" s="262">
        <f t="shared" si="1"/>
        <v>1052775.7</v>
      </c>
      <c r="H34" s="43"/>
      <c r="I34" s="43"/>
    </row>
    <row r="35" spans="1:27">
      <c r="A35" s="1531">
        <f t="shared" si="0"/>
        <v>6.024000000000008</v>
      </c>
      <c r="B35" s="1231" t="s">
        <v>1012</v>
      </c>
      <c r="C35" s="1231" t="s">
        <v>1011</v>
      </c>
      <c r="D35" s="1331" t="s">
        <v>2037</v>
      </c>
      <c r="E35" s="1332">
        <v>38325.519999999997</v>
      </c>
      <c r="F35" s="1507">
        <v>203054.69</v>
      </c>
      <c r="G35" s="262">
        <f t="shared" si="1"/>
        <v>120690.105</v>
      </c>
      <c r="H35" s="43"/>
      <c r="I35" s="43"/>
    </row>
    <row r="36" spans="1:27">
      <c r="A36" s="1531">
        <f t="shared" si="0"/>
        <v>6.0250000000000083</v>
      </c>
      <c r="B36" s="1231" t="s">
        <v>1013</v>
      </c>
      <c r="C36" s="1231" t="s">
        <v>1014</v>
      </c>
      <c r="D36" s="1763">
        <v>0</v>
      </c>
      <c r="E36" s="1332">
        <v>0</v>
      </c>
      <c r="F36" s="1507">
        <v>0</v>
      </c>
      <c r="G36" s="262">
        <f t="shared" si="1"/>
        <v>0</v>
      </c>
      <c r="H36" s="43"/>
      <c r="I36" s="43"/>
    </row>
    <row r="37" spans="1:27">
      <c r="A37" s="1531">
        <f t="shared" si="0"/>
        <v>6.0260000000000087</v>
      </c>
      <c r="B37" s="1231" t="s">
        <v>1015</v>
      </c>
      <c r="C37" s="1231" t="s">
        <v>1016</v>
      </c>
      <c r="D37" s="1763" t="s">
        <v>2037</v>
      </c>
      <c r="E37" s="1332">
        <v>122039.4</v>
      </c>
      <c r="F37" s="1507">
        <v>122039.4</v>
      </c>
      <c r="G37" s="262">
        <f t="shared" si="1"/>
        <v>122039.4</v>
      </c>
      <c r="H37" s="43"/>
      <c r="I37" s="43"/>
    </row>
    <row r="38" spans="1:27">
      <c r="A38" s="1531">
        <f t="shared" si="0"/>
        <v>6.027000000000009</v>
      </c>
      <c r="B38" s="1231" t="s">
        <v>1017</v>
      </c>
      <c r="C38" s="1231" t="s">
        <v>1018</v>
      </c>
      <c r="D38" s="1763">
        <v>0</v>
      </c>
      <c r="E38" s="1332">
        <v>0</v>
      </c>
      <c r="F38" s="1507">
        <v>0</v>
      </c>
      <c r="G38" s="262">
        <f t="shared" si="1"/>
        <v>0</v>
      </c>
      <c r="H38" s="43"/>
      <c r="I38" s="43"/>
    </row>
    <row r="39" spans="1:27">
      <c r="A39" s="1531">
        <f t="shared" si="0"/>
        <v>6.0280000000000094</v>
      </c>
      <c r="B39" s="1231" t="s">
        <v>1019</v>
      </c>
      <c r="C39" s="1231" t="s">
        <v>1020</v>
      </c>
      <c r="D39" s="1763">
        <v>0</v>
      </c>
      <c r="E39" s="1332">
        <v>0</v>
      </c>
      <c r="F39" s="1507">
        <v>0</v>
      </c>
      <c r="G39" s="262">
        <f t="shared" si="1"/>
        <v>0</v>
      </c>
      <c r="H39" s="43"/>
      <c r="I39" s="43"/>
    </row>
    <row r="40" spans="1:27">
      <c r="A40" s="1531">
        <f t="shared" si="0"/>
        <v>6.0290000000000097</v>
      </c>
      <c r="B40" s="1231" t="s">
        <v>1021</v>
      </c>
      <c r="C40" s="1231" t="s">
        <v>1022</v>
      </c>
      <c r="D40" s="1331" t="s">
        <v>2037</v>
      </c>
      <c r="E40" s="1332">
        <v>43780.2</v>
      </c>
      <c r="F40" s="1507">
        <v>43780.2</v>
      </c>
      <c r="G40" s="262">
        <f t="shared" si="1"/>
        <v>43780.2</v>
      </c>
      <c r="H40" s="43"/>
      <c r="I40" s="43"/>
    </row>
    <row r="41" spans="1:27" ht="26.4">
      <c r="A41" s="1897">
        <f t="shared" si="0"/>
        <v>6.03000000000001</v>
      </c>
      <c r="B41" s="1896" t="s">
        <v>1023</v>
      </c>
      <c r="C41" s="1231" t="s">
        <v>1024</v>
      </c>
      <c r="D41" s="1331" t="s">
        <v>2037</v>
      </c>
      <c r="E41" s="1332">
        <v>1995989.98</v>
      </c>
      <c r="F41" s="1507">
        <v>1995989.98</v>
      </c>
      <c r="G41" s="262">
        <f t="shared" si="1"/>
        <v>1995989.98</v>
      </c>
      <c r="H41" s="43"/>
      <c r="I41" s="43"/>
    </row>
    <row r="42" spans="1:27" ht="26.4">
      <c r="A42" s="1897">
        <f t="shared" si="0"/>
        <v>6.0310000000000104</v>
      </c>
      <c r="B42" s="1896" t="s">
        <v>1025</v>
      </c>
      <c r="C42" s="1231" t="s">
        <v>1026</v>
      </c>
      <c r="D42" s="1331" t="s">
        <v>2037</v>
      </c>
      <c r="E42" s="1332">
        <v>1935263.24</v>
      </c>
      <c r="F42" s="1507">
        <v>1935263.24</v>
      </c>
      <c r="G42" s="262">
        <f t="shared" si="1"/>
        <v>1935263.24</v>
      </c>
      <c r="H42" s="43"/>
      <c r="I42" s="43"/>
    </row>
    <row r="43" spans="1:27" s="1525" customFormat="1">
      <c r="A43" s="1531">
        <f t="shared" si="0"/>
        <v>6.0320000000000107</v>
      </c>
      <c r="B43" s="1562" t="s">
        <v>1151</v>
      </c>
      <c r="C43" s="1562" t="s">
        <v>1152</v>
      </c>
      <c r="D43" s="1563" t="s">
        <v>2036</v>
      </c>
      <c r="E43" s="191">
        <v>42122.26</v>
      </c>
      <c r="F43" s="1564">
        <v>127718.74</v>
      </c>
      <c r="G43" s="262">
        <f t="shared" si="1"/>
        <v>84920.5</v>
      </c>
      <c r="H43" s="1514"/>
      <c r="I43" s="78" t="s">
        <v>1770</v>
      </c>
      <c r="J43" s="185"/>
      <c r="K43" s="185"/>
      <c r="L43" s="185"/>
      <c r="M43" s="185"/>
      <c r="N43" s="185"/>
      <c r="O43" s="185"/>
      <c r="P43" s="185"/>
      <c r="Q43" s="185"/>
      <c r="R43" s="185"/>
      <c r="S43" s="185"/>
      <c r="T43" s="185"/>
      <c r="U43" s="185"/>
      <c r="V43" s="185"/>
      <c r="W43" s="185"/>
      <c r="X43" s="1895"/>
      <c r="Y43" s="1895"/>
      <c r="Z43" s="1895"/>
      <c r="AA43" s="1895"/>
    </row>
    <row r="44" spans="1:27" s="1525" customFormat="1">
      <c r="A44" s="1531">
        <f t="shared" si="0"/>
        <v>6.033000000000011</v>
      </c>
      <c r="B44" s="1562" t="s">
        <v>1153</v>
      </c>
      <c r="C44" s="1562" t="s">
        <v>1152</v>
      </c>
      <c r="D44" s="1563" t="s">
        <v>2036</v>
      </c>
      <c r="E44" s="191">
        <v>1709.63</v>
      </c>
      <c r="F44" s="1564">
        <v>1709.63</v>
      </c>
      <c r="G44" s="262">
        <f t="shared" si="1"/>
        <v>1709.63</v>
      </c>
      <c r="H44" s="1514"/>
      <c r="I44" s="78" t="s">
        <v>1770</v>
      </c>
      <c r="J44" s="185"/>
      <c r="K44" s="185"/>
      <c r="L44" s="185"/>
      <c r="M44" s="185"/>
      <c r="N44" s="185"/>
      <c r="O44" s="185"/>
      <c r="P44" s="185"/>
      <c r="Q44" s="185"/>
      <c r="R44" s="185"/>
      <c r="S44" s="185"/>
      <c r="T44" s="185"/>
      <c r="U44" s="185"/>
      <c r="V44" s="185"/>
      <c r="W44" s="185"/>
      <c r="X44" s="1895"/>
      <c r="Y44" s="1895"/>
      <c r="Z44" s="1895"/>
      <c r="AA44" s="1895"/>
    </row>
    <row r="45" spans="1:27" s="1525" customFormat="1">
      <c r="A45" s="1531">
        <f t="shared" si="0"/>
        <v>6.0340000000000114</v>
      </c>
      <c r="B45" s="1562" t="s">
        <v>1154</v>
      </c>
      <c r="C45" s="1562" t="s">
        <v>1155</v>
      </c>
      <c r="D45" s="1563" t="s">
        <v>2036</v>
      </c>
      <c r="E45" s="191">
        <v>95617.41</v>
      </c>
      <c r="F45" s="1564">
        <v>181213.89</v>
      </c>
      <c r="G45" s="262">
        <f t="shared" si="1"/>
        <v>138415.65000000002</v>
      </c>
      <c r="H45" s="1514"/>
      <c r="I45" s="78" t="s">
        <v>1770</v>
      </c>
      <c r="J45" s="185"/>
      <c r="K45" s="185"/>
      <c r="L45" s="185"/>
      <c r="M45" s="185"/>
      <c r="N45" s="185"/>
      <c r="O45" s="185"/>
      <c r="P45" s="185"/>
      <c r="Q45" s="185"/>
      <c r="R45" s="185"/>
      <c r="S45" s="185"/>
      <c r="T45" s="185"/>
      <c r="U45" s="185"/>
      <c r="V45" s="185"/>
      <c r="W45" s="185"/>
      <c r="X45" s="1895"/>
      <c r="Y45" s="1895"/>
      <c r="Z45" s="1895"/>
      <c r="AA45" s="1895"/>
    </row>
    <row r="46" spans="1:27" s="1525" customFormat="1">
      <c r="A46" s="1531">
        <f t="shared" si="0"/>
        <v>6.0350000000000117</v>
      </c>
      <c r="B46" s="1562" t="s">
        <v>1156</v>
      </c>
      <c r="C46" s="1562" t="s">
        <v>1157</v>
      </c>
      <c r="D46" s="1563" t="s">
        <v>2036</v>
      </c>
      <c r="E46" s="191">
        <v>137424.63</v>
      </c>
      <c r="F46" s="1564">
        <v>137424.63</v>
      </c>
      <c r="G46" s="262">
        <f t="shared" si="1"/>
        <v>137424.63</v>
      </c>
      <c r="H46" s="1514"/>
      <c r="I46" s="78" t="s">
        <v>1770</v>
      </c>
      <c r="J46" s="185"/>
      <c r="K46" s="185"/>
      <c r="L46" s="185"/>
      <c r="M46" s="185"/>
      <c r="N46" s="185"/>
      <c r="O46" s="185"/>
      <c r="P46" s="185"/>
      <c r="Q46" s="185"/>
      <c r="R46" s="185"/>
      <c r="S46" s="185"/>
      <c r="T46" s="185"/>
      <c r="U46" s="185"/>
      <c r="V46" s="185"/>
      <c r="W46" s="185"/>
      <c r="X46" s="1895"/>
      <c r="Y46" s="1895"/>
      <c r="Z46" s="1895"/>
      <c r="AA46" s="1895"/>
    </row>
    <row r="47" spans="1:27" s="1525" customFormat="1">
      <c r="A47" s="1531">
        <f t="shared" si="0"/>
        <v>6.036000000000012</v>
      </c>
      <c r="B47" s="1562" t="s">
        <v>1158</v>
      </c>
      <c r="C47" s="1562" t="s">
        <v>1159</v>
      </c>
      <c r="D47" s="1563" t="s">
        <v>2036</v>
      </c>
      <c r="E47" s="191">
        <v>34365.42</v>
      </c>
      <c r="F47" s="1564">
        <v>102542.48</v>
      </c>
      <c r="G47" s="262">
        <f t="shared" si="1"/>
        <v>68453.95</v>
      </c>
      <c r="H47" s="1514"/>
      <c r="I47" s="78" t="s">
        <v>1770</v>
      </c>
      <c r="J47" s="185"/>
      <c r="K47" s="185"/>
      <c r="L47" s="185"/>
      <c r="M47" s="185"/>
      <c r="N47" s="185"/>
      <c r="O47" s="185"/>
      <c r="P47" s="185"/>
      <c r="Q47" s="185"/>
      <c r="R47" s="185"/>
      <c r="S47" s="185"/>
      <c r="T47" s="185"/>
      <c r="U47" s="185"/>
      <c r="V47" s="185"/>
      <c r="W47" s="185"/>
      <c r="X47" s="1895"/>
      <c r="Y47" s="1895"/>
      <c r="Z47" s="1895"/>
      <c r="AA47" s="1895"/>
    </row>
    <row r="48" spans="1:27" s="1525" customFormat="1">
      <c r="A48" s="1531">
        <f t="shared" si="0"/>
        <v>6.0370000000000124</v>
      </c>
      <c r="B48" s="1562" t="s">
        <v>1160</v>
      </c>
      <c r="C48" s="1562" t="s">
        <v>1159</v>
      </c>
      <c r="D48" s="1563" t="s">
        <v>2036</v>
      </c>
      <c r="E48" s="191">
        <v>1474.02</v>
      </c>
      <c r="F48" s="1564">
        <v>1438.11</v>
      </c>
      <c r="G48" s="262">
        <f t="shared" si="1"/>
        <v>1456.0650000000001</v>
      </c>
      <c r="H48" s="1514"/>
      <c r="I48" s="78" t="s">
        <v>1770</v>
      </c>
      <c r="J48" s="185"/>
      <c r="K48" s="185"/>
      <c r="L48" s="185"/>
      <c r="M48" s="185"/>
      <c r="N48" s="185"/>
      <c r="O48" s="185"/>
      <c r="P48" s="185"/>
      <c r="Q48" s="185"/>
      <c r="R48" s="185"/>
      <c r="S48" s="185"/>
      <c r="T48" s="185"/>
      <c r="U48" s="185"/>
      <c r="V48" s="185"/>
      <c r="W48" s="185"/>
      <c r="X48" s="1895"/>
      <c r="Y48" s="1895"/>
      <c r="Z48" s="1895"/>
      <c r="AA48" s="1895"/>
    </row>
    <row r="49" spans="1:27" s="1525" customFormat="1">
      <c r="A49" s="1531">
        <f t="shared" si="0"/>
        <v>6.0380000000000127</v>
      </c>
      <c r="B49" s="1562" t="s">
        <v>1161</v>
      </c>
      <c r="C49" s="1562" t="s">
        <v>1162</v>
      </c>
      <c r="D49" s="1563" t="s">
        <v>2038</v>
      </c>
      <c r="E49" s="191">
        <v>54984.24</v>
      </c>
      <c r="F49" s="1564">
        <v>54984.24</v>
      </c>
      <c r="G49" s="262">
        <f t="shared" si="1"/>
        <v>54984.24</v>
      </c>
      <c r="H49" s="1514"/>
      <c r="I49" s="78" t="s">
        <v>1770</v>
      </c>
      <c r="J49" s="185"/>
      <c r="K49" s="185"/>
      <c r="L49" s="185"/>
      <c r="M49" s="185"/>
      <c r="N49" s="185"/>
      <c r="O49" s="185"/>
      <c r="P49" s="185"/>
      <c r="Q49" s="185"/>
      <c r="R49" s="185"/>
      <c r="S49" s="185"/>
      <c r="T49" s="185"/>
      <c r="U49" s="185"/>
      <c r="V49" s="185"/>
      <c r="W49" s="185"/>
      <c r="X49" s="1895"/>
      <c r="Y49" s="1895"/>
      <c r="Z49" s="1895"/>
      <c r="AA49" s="1895"/>
    </row>
    <row r="50" spans="1:27" s="1525" customFormat="1">
      <c r="A50" s="1531">
        <f t="shared" si="0"/>
        <v>6.039000000000013</v>
      </c>
      <c r="B50" s="1562" t="s">
        <v>1163</v>
      </c>
      <c r="C50" s="1562" t="s">
        <v>1162</v>
      </c>
      <c r="D50" s="1563" t="s">
        <v>2038</v>
      </c>
      <c r="E50" s="191">
        <v>96423.87</v>
      </c>
      <c r="F50" s="1564">
        <v>129535.54</v>
      </c>
      <c r="G50" s="262">
        <f t="shared" si="1"/>
        <v>112979.70499999999</v>
      </c>
      <c r="H50" s="1514"/>
      <c r="I50" s="78" t="s">
        <v>1770</v>
      </c>
      <c r="J50" s="185"/>
      <c r="K50" s="185"/>
      <c r="L50" s="185"/>
      <c r="M50" s="185"/>
      <c r="N50" s="185"/>
      <c r="O50" s="185"/>
      <c r="P50" s="185"/>
      <c r="Q50" s="185"/>
      <c r="R50" s="185"/>
      <c r="S50" s="185"/>
      <c r="T50" s="185"/>
      <c r="U50" s="185"/>
      <c r="V50" s="185"/>
      <c r="W50" s="185"/>
      <c r="X50" s="1895"/>
      <c r="Y50" s="1895"/>
      <c r="Z50" s="1895"/>
      <c r="AA50" s="1895"/>
    </row>
    <row r="51" spans="1:27" s="1525" customFormat="1">
      <c r="A51" s="1531">
        <f t="shared" si="0"/>
        <v>6.0400000000000134</v>
      </c>
      <c r="B51" s="1562" t="s">
        <v>1164</v>
      </c>
      <c r="C51" s="1562" t="s">
        <v>1165</v>
      </c>
      <c r="D51" s="1563" t="s">
        <v>2037</v>
      </c>
      <c r="E51" s="191">
        <v>50239.05</v>
      </c>
      <c r="F51" s="1564">
        <v>50239.05</v>
      </c>
      <c r="G51" s="262">
        <f t="shared" si="1"/>
        <v>50239.05</v>
      </c>
      <c r="H51" s="1514"/>
      <c r="I51" s="78" t="s">
        <v>1770</v>
      </c>
      <c r="J51" s="185"/>
      <c r="K51" s="185"/>
      <c r="L51" s="185"/>
      <c r="M51" s="185"/>
      <c r="N51" s="185"/>
      <c r="O51" s="185"/>
      <c r="P51" s="185"/>
      <c r="Q51" s="185"/>
      <c r="R51" s="185"/>
      <c r="S51" s="185"/>
      <c r="T51" s="185"/>
      <c r="U51" s="185"/>
      <c r="V51" s="185"/>
      <c r="W51" s="185"/>
      <c r="X51" s="1895"/>
      <c r="Y51" s="1895"/>
      <c r="Z51" s="1895"/>
      <c r="AA51" s="1895"/>
    </row>
    <row r="52" spans="1:27" s="1525" customFormat="1">
      <c r="A52" s="1531">
        <f t="shared" si="0"/>
        <v>6.0410000000000137</v>
      </c>
      <c r="B52" s="1562" t="s">
        <v>1166</v>
      </c>
      <c r="C52" s="1562" t="s">
        <v>1165</v>
      </c>
      <c r="D52" s="1563" t="s">
        <v>2037</v>
      </c>
      <c r="E52" s="191">
        <v>792542.03</v>
      </c>
      <c r="F52" s="1564">
        <v>794264.87</v>
      </c>
      <c r="G52" s="262">
        <f t="shared" si="1"/>
        <v>793403.45</v>
      </c>
      <c r="H52" s="1514"/>
      <c r="I52" s="78" t="s">
        <v>1770</v>
      </c>
      <c r="J52" s="185"/>
      <c r="K52" s="185"/>
      <c r="L52" s="185"/>
      <c r="M52" s="185"/>
      <c r="N52" s="185"/>
      <c r="O52" s="185"/>
      <c r="P52" s="185"/>
      <c r="Q52" s="185"/>
      <c r="R52" s="185"/>
      <c r="S52" s="185"/>
      <c r="T52" s="185"/>
      <c r="U52" s="185"/>
      <c r="V52" s="185"/>
      <c r="W52" s="185"/>
      <c r="X52" s="1895"/>
      <c r="Y52" s="1895"/>
      <c r="Z52" s="1895"/>
      <c r="AA52" s="1895"/>
    </row>
    <row r="53" spans="1:27" s="1525" customFormat="1">
      <c r="A53" s="1531">
        <f t="shared" si="0"/>
        <v>6.042000000000014</v>
      </c>
      <c r="B53" s="1562" t="s">
        <v>1167</v>
      </c>
      <c r="C53" s="1562" t="s">
        <v>1168</v>
      </c>
      <c r="D53" s="1563" t="s">
        <v>2037</v>
      </c>
      <c r="E53" s="191">
        <v>23553.85</v>
      </c>
      <c r="F53" s="1564">
        <v>52075.46</v>
      </c>
      <c r="G53" s="262">
        <f t="shared" si="1"/>
        <v>37814.654999999999</v>
      </c>
      <c r="H53" s="1514"/>
      <c r="I53" s="78" t="s">
        <v>1770</v>
      </c>
      <c r="J53" s="185"/>
      <c r="K53" s="185"/>
      <c r="L53" s="185"/>
      <c r="M53" s="185"/>
      <c r="N53" s="185"/>
      <c r="O53" s="185"/>
      <c r="P53" s="185"/>
      <c r="Q53" s="185"/>
      <c r="R53" s="185"/>
      <c r="S53" s="185"/>
      <c r="T53" s="185"/>
      <c r="U53" s="185"/>
      <c r="V53" s="185"/>
      <c r="W53" s="185"/>
      <c r="X53" s="1895"/>
      <c r="Y53" s="1895"/>
      <c r="Z53" s="1895"/>
      <c r="AA53" s="1895"/>
    </row>
    <row r="54" spans="1:27" s="1525" customFormat="1">
      <c r="A54" s="1531">
        <f t="shared" si="0"/>
        <v>6.0430000000000144</v>
      </c>
      <c r="B54" s="1562" t="s">
        <v>1169</v>
      </c>
      <c r="C54" s="1562" t="s">
        <v>1170</v>
      </c>
      <c r="D54" s="1563" t="s">
        <v>2037</v>
      </c>
      <c r="E54" s="191">
        <v>5971.12</v>
      </c>
      <c r="F54" s="1564">
        <v>5971.12</v>
      </c>
      <c r="G54" s="262">
        <f t="shared" si="1"/>
        <v>5971.12</v>
      </c>
      <c r="H54" s="1514"/>
      <c r="I54" s="78" t="s">
        <v>1770</v>
      </c>
      <c r="J54" s="185"/>
      <c r="K54" s="185"/>
      <c r="L54" s="185"/>
      <c r="M54" s="185"/>
      <c r="N54" s="185"/>
      <c r="O54" s="185"/>
      <c r="P54" s="185"/>
      <c r="Q54" s="185"/>
      <c r="R54" s="185"/>
      <c r="S54" s="185"/>
      <c r="T54" s="185"/>
      <c r="U54" s="185"/>
      <c r="V54" s="185"/>
      <c r="W54" s="185"/>
      <c r="X54" s="1895"/>
      <c r="Y54" s="1895"/>
      <c r="Z54" s="1895"/>
      <c r="AA54" s="1895"/>
    </row>
    <row r="55" spans="1:27" s="1525" customFormat="1">
      <c r="A55" s="1531">
        <f t="shared" si="0"/>
        <v>6.0440000000000147</v>
      </c>
      <c r="B55" s="1562" t="s">
        <v>1171</v>
      </c>
      <c r="C55" s="1562" t="s">
        <v>1170</v>
      </c>
      <c r="D55" s="1563" t="s">
        <v>2037</v>
      </c>
      <c r="E55" s="191">
        <v>4711.17</v>
      </c>
      <c r="F55" s="1564">
        <v>4711.17</v>
      </c>
      <c r="G55" s="262">
        <f t="shared" si="1"/>
        <v>4711.17</v>
      </c>
      <c r="H55" s="1514"/>
      <c r="I55" s="78" t="s">
        <v>1770</v>
      </c>
      <c r="J55" s="185"/>
      <c r="K55" s="185"/>
      <c r="L55" s="185"/>
      <c r="M55" s="185"/>
      <c r="N55" s="185"/>
      <c r="O55" s="185"/>
      <c r="P55" s="185"/>
      <c r="Q55" s="185"/>
      <c r="R55" s="185"/>
      <c r="S55" s="185"/>
      <c r="T55" s="185"/>
      <c r="U55" s="185"/>
      <c r="V55" s="185"/>
      <c r="W55" s="185"/>
      <c r="X55" s="1895"/>
      <c r="Y55" s="1895"/>
      <c r="Z55" s="1895"/>
      <c r="AA55" s="1895"/>
    </row>
    <row r="56" spans="1:27" s="1525" customFormat="1">
      <c r="A56" s="1531">
        <f t="shared" si="0"/>
        <v>6.045000000000015</v>
      </c>
      <c r="B56" s="1562" t="s">
        <v>1172</v>
      </c>
      <c r="C56" s="1562" t="s">
        <v>1173</v>
      </c>
      <c r="D56" s="1563" t="s">
        <v>2037</v>
      </c>
      <c r="E56" s="191">
        <v>25389.26</v>
      </c>
      <c r="F56" s="1564">
        <v>520142.74</v>
      </c>
      <c r="G56" s="262">
        <f t="shared" si="1"/>
        <v>272766</v>
      </c>
      <c r="H56" s="1514"/>
      <c r="I56" s="78" t="s">
        <v>1770</v>
      </c>
      <c r="J56" s="185"/>
      <c r="K56" s="185"/>
      <c r="L56" s="185"/>
      <c r="M56" s="185"/>
      <c r="N56" s="185"/>
      <c r="O56" s="185"/>
      <c r="P56" s="185"/>
      <c r="Q56" s="185"/>
      <c r="R56" s="185"/>
      <c r="S56" s="185"/>
      <c r="T56" s="185"/>
      <c r="U56" s="185"/>
      <c r="V56" s="185"/>
      <c r="W56" s="185"/>
      <c r="X56" s="1895"/>
      <c r="Y56" s="1895"/>
      <c r="Z56" s="1895"/>
      <c r="AA56" s="1895"/>
    </row>
    <row r="57" spans="1:27" s="1525" customFormat="1">
      <c r="A57" s="1531">
        <f t="shared" si="0"/>
        <v>6.0460000000000154</v>
      </c>
      <c r="B57" s="1562" t="s">
        <v>1174</v>
      </c>
      <c r="C57" s="1562" t="s">
        <v>1173</v>
      </c>
      <c r="D57" s="1563">
        <v>0</v>
      </c>
      <c r="E57" s="191">
        <v>0</v>
      </c>
      <c r="F57" s="1564">
        <v>0</v>
      </c>
      <c r="G57" s="262">
        <f t="shared" si="1"/>
        <v>0</v>
      </c>
      <c r="H57" s="1514"/>
      <c r="I57" s="78" t="s">
        <v>1770</v>
      </c>
      <c r="J57" s="185"/>
      <c r="K57" s="185"/>
      <c r="L57" s="185"/>
      <c r="M57" s="185"/>
      <c r="N57" s="185"/>
      <c r="O57" s="185"/>
      <c r="P57" s="185"/>
      <c r="Q57" s="185"/>
      <c r="R57" s="185"/>
      <c r="S57" s="185"/>
      <c r="T57" s="185"/>
      <c r="U57" s="185"/>
      <c r="V57" s="185"/>
      <c r="W57" s="185"/>
      <c r="X57" s="1895"/>
      <c r="Y57" s="1895"/>
      <c r="Z57" s="1895"/>
      <c r="AA57" s="1895"/>
    </row>
    <row r="58" spans="1:27" s="1525" customFormat="1">
      <c r="A58" s="1531">
        <f t="shared" si="0"/>
        <v>6.0470000000000157</v>
      </c>
      <c r="B58" s="1562" t="s">
        <v>1175</v>
      </c>
      <c r="C58" s="1562" t="s">
        <v>1176</v>
      </c>
      <c r="D58" s="1563" t="s">
        <v>2037</v>
      </c>
      <c r="E58" s="191">
        <v>31067.09</v>
      </c>
      <c r="F58" s="1564">
        <v>525820.56999999995</v>
      </c>
      <c r="G58" s="262">
        <f t="shared" si="1"/>
        <v>278443.82999999996</v>
      </c>
      <c r="H58" s="1514"/>
      <c r="I58" s="78" t="s">
        <v>1770</v>
      </c>
      <c r="J58" s="185"/>
      <c r="K58" s="185"/>
      <c r="L58" s="185"/>
      <c r="M58" s="185"/>
      <c r="N58" s="185"/>
      <c r="O58" s="185"/>
      <c r="P58" s="185"/>
      <c r="Q58" s="185"/>
      <c r="R58" s="185"/>
      <c r="S58" s="185"/>
      <c r="T58" s="185"/>
      <c r="U58" s="185"/>
      <c r="V58" s="185"/>
      <c r="W58" s="185"/>
      <c r="X58" s="1895"/>
      <c r="Y58" s="1895"/>
      <c r="Z58" s="1895"/>
      <c r="AA58" s="1895"/>
    </row>
    <row r="59" spans="1:27" s="1525" customFormat="1">
      <c r="A59" s="1531">
        <f t="shared" si="0"/>
        <v>6.048000000000016</v>
      </c>
      <c r="B59" s="1562" t="s">
        <v>1177</v>
      </c>
      <c r="C59" s="1562" t="s">
        <v>1176</v>
      </c>
      <c r="D59" s="1563" t="s">
        <v>2037</v>
      </c>
      <c r="E59" s="191">
        <v>1516845.74</v>
      </c>
      <c r="F59" s="1564">
        <v>1516845.74</v>
      </c>
      <c r="G59" s="262">
        <f t="shared" si="1"/>
        <v>1516845.74</v>
      </c>
      <c r="H59" s="1514"/>
      <c r="I59" s="78" t="s">
        <v>1770</v>
      </c>
      <c r="J59" s="185"/>
      <c r="K59" s="185"/>
      <c r="L59" s="185"/>
      <c r="M59" s="185"/>
      <c r="N59" s="185"/>
      <c r="O59" s="185"/>
      <c r="P59" s="185"/>
      <c r="Q59" s="185"/>
      <c r="R59" s="185"/>
      <c r="S59" s="185"/>
      <c r="T59" s="185"/>
      <c r="U59" s="185"/>
      <c r="V59" s="185"/>
      <c r="W59" s="185"/>
      <c r="X59" s="1895"/>
      <c r="Y59" s="1895"/>
      <c r="Z59" s="1895"/>
      <c r="AA59" s="1895"/>
    </row>
    <row r="60" spans="1:27" s="1525" customFormat="1">
      <c r="A60" s="1531">
        <f t="shared" si="0"/>
        <v>6.0490000000000164</v>
      </c>
      <c r="B60" s="1562" t="s">
        <v>1178</v>
      </c>
      <c r="C60" s="1562" t="s">
        <v>1179</v>
      </c>
      <c r="D60" s="1563" t="s">
        <v>2037</v>
      </c>
      <c r="E60" s="191">
        <v>181574.62</v>
      </c>
      <c r="F60" s="1564">
        <v>181574.62</v>
      </c>
      <c r="G60" s="262">
        <f t="shared" si="1"/>
        <v>181574.62</v>
      </c>
      <c r="H60" s="1514"/>
      <c r="I60" s="78" t="s">
        <v>1770</v>
      </c>
      <c r="J60" s="185"/>
      <c r="K60" s="185"/>
      <c r="L60" s="185"/>
      <c r="M60" s="185"/>
      <c r="N60" s="185"/>
      <c r="O60" s="185"/>
      <c r="P60" s="185"/>
      <c r="Q60" s="185"/>
      <c r="R60" s="185"/>
      <c r="S60" s="185"/>
      <c r="T60" s="185"/>
      <c r="U60" s="185"/>
      <c r="V60" s="185"/>
      <c r="W60" s="185"/>
      <c r="X60" s="1895"/>
      <c r="Y60" s="1895"/>
      <c r="Z60" s="1895"/>
      <c r="AA60" s="1895"/>
    </row>
    <row r="61" spans="1:27" s="1525" customFormat="1">
      <c r="A61" s="1531">
        <f t="shared" si="0"/>
        <v>6.0500000000000167</v>
      </c>
      <c r="B61" s="1562" t="s">
        <v>1180</v>
      </c>
      <c r="C61" s="1562" t="s">
        <v>1179</v>
      </c>
      <c r="D61" s="1563" t="s">
        <v>2037</v>
      </c>
      <c r="E61" s="191">
        <v>43711.63</v>
      </c>
      <c r="F61" s="1564">
        <v>43711.63</v>
      </c>
      <c r="G61" s="262">
        <f t="shared" si="1"/>
        <v>43711.63</v>
      </c>
      <c r="H61" s="1514"/>
      <c r="I61" s="78" t="s">
        <v>1770</v>
      </c>
      <c r="J61" s="185"/>
      <c r="K61" s="185"/>
      <c r="L61" s="185"/>
      <c r="M61" s="185"/>
      <c r="N61" s="185"/>
      <c r="O61" s="185"/>
      <c r="P61" s="185"/>
      <c r="Q61" s="185"/>
      <c r="R61" s="185"/>
      <c r="S61" s="185"/>
      <c r="T61" s="185"/>
      <c r="U61" s="185"/>
      <c r="V61" s="185"/>
      <c r="W61" s="185"/>
      <c r="X61" s="1895"/>
      <c r="Y61" s="1895"/>
      <c r="Z61" s="1895"/>
      <c r="AA61" s="1895"/>
    </row>
    <row r="62" spans="1:27" s="1525" customFormat="1">
      <c r="A62" s="1531">
        <f t="shared" si="0"/>
        <v>6.051000000000017</v>
      </c>
      <c r="B62" s="1562" t="s">
        <v>1181</v>
      </c>
      <c r="C62" s="1562" t="s">
        <v>1182</v>
      </c>
      <c r="D62" s="1563" t="s">
        <v>2037</v>
      </c>
      <c r="E62" s="191">
        <v>844.58</v>
      </c>
      <c r="F62" s="1564">
        <v>69021.64</v>
      </c>
      <c r="G62" s="262">
        <f t="shared" si="1"/>
        <v>34933.11</v>
      </c>
      <c r="H62" s="1514"/>
      <c r="I62" s="78" t="s">
        <v>1770</v>
      </c>
      <c r="J62" s="185"/>
      <c r="K62" s="185"/>
      <c r="L62" s="185"/>
      <c r="M62" s="185"/>
      <c r="N62" s="185"/>
      <c r="O62" s="185"/>
      <c r="P62" s="185"/>
      <c r="Q62" s="185"/>
      <c r="R62" s="185"/>
      <c r="S62" s="185"/>
      <c r="T62" s="185"/>
      <c r="U62" s="185"/>
      <c r="V62" s="185"/>
      <c r="W62" s="185"/>
      <c r="X62" s="1895"/>
      <c r="Y62" s="1895"/>
      <c r="Z62" s="1895"/>
      <c r="AA62" s="1895"/>
    </row>
    <row r="63" spans="1:27" s="1525" customFormat="1">
      <c r="A63" s="1531">
        <f t="shared" si="0"/>
        <v>6.0520000000000174</v>
      </c>
      <c r="B63" s="1562" t="s">
        <v>1183</v>
      </c>
      <c r="C63" s="1562" t="s">
        <v>1182</v>
      </c>
      <c r="D63" s="1563" t="s">
        <v>2037</v>
      </c>
      <c r="E63" s="191">
        <v>873.88</v>
      </c>
      <c r="F63" s="1564">
        <v>873.88</v>
      </c>
      <c r="G63" s="262">
        <f t="shared" si="1"/>
        <v>873.88</v>
      </c>
      <c r="H63" s="1514"/>
      <c r="I63" s="78" t="s">
        <v>1770</v>
      </c>
      <c r="J63" s="185"/>
      <c r="K63" s="185"/>
      <c r="L63" s="185"/>
      <c r="M63" s="185"/>
      <c r="N63" s="185"/>
      <c r="O63" s="185"/>
      <c r="P63" s="185"/>
      <c r="Q63" s="185"/>
      <c r="R63" s="185"/>
      <c r="S63" s="185"/>
      <c r="T63" s="185"/>
      <c r="U63" s="185"/>
      <c r="V63" s="185"/>
      <c r="W63" s="185"/>
      <c r="X63" s="1895"/>
      <c r="Y63" s="1895"/>
      <c r="Z63" s="1895"/>
      <c r="AA63" s="1895"/>
    </row>
    <row r="64" spans="1:27" s="1525" customFormat="1">
      <c r="A64" s="1531">
        <f t="shared" si="0"/>
        <v>6.0530000000000177</v>
      </c>
      <c r="B64" s="1562" t="s">
        <v>1184</v>
      </c>
      <c r="C64" s="1562" t="s">
        <v>1185</v>
      </c>
      <c r="D64" s="1563" t="s">
        <v>2037</v>
      </c>
      <c r="E64" s="191">
        <v>2203.09</v>
      </c>
      <c r="F64" s="1564">
        <v>69082.63</v>
      </c>
      <c r="G64" s="262">
        <f t="shared" si="1"/>
        <v>35642.86</v>
      </c>
      <c r="H64" s="1514"/>
      <c r="I64" s="78" t="s">
        <v>1770</v>
      </c>
      <c r="J64" s="185"/>
      <c r="K64" s="185"/>
      <c r="L64" s="185"/>
      <c r="M64" s="185"/>
      <c r="N64" s="185"/>
      <c r="O64" s="185"/>
      <c r="P64" s="185"/>
      <c r="Q64" s="185"/>
      <c r="R64" s="185"/>
      <c r="S64" s="185"/>
      <c r="T64" s="185"/>
      <c r="U64" s="185"/>
      <c r="V64" s="185"/>
      <c r="W64" s="185"/>
      <c r="X64" s="1895"/>
      <c r="Y64" s="1895"/>
      <c r="Z64" s="1895"/>
      <c r="AA64" s="1895"/>
    </row>
    <row r="65" spans="1:27" s="1525" customFormat="1">
      <c r="A65" s="1531">
        <f t="shared" si="0"/>
        <v>6.054000000000018</v>
      </c>
      <c r="B65" s="1562" t="s">
        <v>1186</v>
      </c>
      <c r="C65" s="1562" t="s">
        <v>1185</v>
      </c>
      <c r="D65" s="1563" t="s">
        <v>2037</v>
      </c>
      <c r="E65" s="191">
        <v>5971.37</v>
      </c>
      <c r="F65" s="1564">
        <v>6131.08</v>
      </c>
      <c r="G65" s="262">
        <f t="shared" si="1"/>
        <v>6051.2250000000004</v>
      </c>
      <c r="H65" s="1514"/>
      <c r="I65" s="78" t="s">
        <v>1770</v>
      </c>
      <c r="J65" s="185"/>
      <c r="K65" s="185"/>
      <c r="L65" s="185"/>
      <c r="M65" s="185"/>
      <c r="N65" s="185"/>
      <c r="O65" s="185"/>
      <c r="P65" s="185"/>
      <c r="Q65" s="185"/>
      <c r="R65" s="185"/>
      <c r="S65" s="185"/>
      <c r="T65" s="185"/>
      <c r="U65" s="185"/>
      <c r="V65" s="185"/>
      <c r="W65" s="185"/>
      <c r="X65" s="1895"/>
      <c r="Y65" s="1895"/>
      <c r="Z65" s="1895"/>
      <c r="AA65" s="1895"/>
    </row>
    <row r="66" spans="1:27" s="1525" customFormat="1">
      <c r="A66" s="1531">
        <f t="shared" si="0"/>
        <v>6.0550000000000184</v>
      </c>
      <c r="B66" s="1562" t="s">
        <v>1187</v>
      </c>
      <c r="C66" s="1562" t="s">
        <v>1188</v>
      </c>
      <c r="D66" s="1563" t="s">
        <v>2037</v>
      </c>
      <c r="E66" s="191">
        <v>22588.05</v>
      </c>
      <c r="F66" s="1564">
        <v>204768.43</v>
      </c>
      <c r="G66" s="262">
        <f t="shared" si="1"/>
        <v>113678.23999999999</v>
      </c>
      <c r="H66" s="1514"/>
      <c r="I66" s="78" t="s">
        <v>1770</v>
      </c>
      <c r="J66" s="185"/>
      <c r="K66" s="185"/>
      <c r="L66" s="185"/>
      <c r="M66" s="185"/>
      <c r="N66" s="185"/>
      <c r="O66" s="185"/>
      <c r="P66" s="185"/>
      <c r="Q66" s="185"/>
      <c r="R66" s="185"/>
      <c r="S66" s="185"/>
      <c r="T66" s="185"/>
      <c r="U66" s="185"/>
      <c r="V66" s="185"/>
      <c r="W66" s="185"/>
      <c r="X66" s="1895"/>
      <c r="Y66" s="1895"/>
      <c r="Z66" s="1895"/>
      <c r="AA66" s="1895"/>
    </row>
    <row r="67" spans="1:27" s="1525" customFormat="1">
      <c r="A67" s="1531">
        <f t="shared" si="0"/>
        <v>6.0560000000000187</v>
      </c>
      <c r="B67" s="1562" t="s">
        <v>1189</v>
      </c>
      <c r="C67" s="1562" t="s">
        <v>1188</v>
      </c>
      <c r="D67" s="1563" t="s">
        <v>2037</v>
      </c>
      <c r="E67" s="191">
        <v>21284.23</v>
      </c>
      <c r="F67" s="1564">
        <v>21429.01</v>
      </c>
      <c r="G67" s="262">
        <f t="shared" si="1"/>
        <v>21356.62</v>
      </c>
      <c r="H67" s="1514"/>
      <c r="I67" s="78" t="s">
        <v>1770</v>
      </c>
      <c r="J67" s="185"/>
      <c r="K67" s="185"/>
      <c r="L67" s="185"/>
      <c r="M67" s="185"/>
      <c r="N67" s="185"/>
      <c r="O67" s="185"/>
      <c r="P67" s="185"/>
      <c r="Q67" s="185"/>
      <c r="R67" s="185"/>
      <c r="S67" s="185"/>
      <c r="T67" s="185"/>
      <c r="U67" s="185"/>
      <c r="V67" s="185"/>
      <c r="W67" s="185"/>
      <c r="X67" s="1895"/>
      <c r="Y67" s="1895"/>
      <c r="Z67" s="1895"/>
      <c r="AA67" s="1895"/>
    </row>
    <row r="68" spans="1:27" s="1525" customFormat="1">
      <c r="A68" s="1531">
        <f t="shared" si="0"/>
        <v>6.057000000000019</v>
      </c>
      <c r="B68" s="1562" t="s">
        <v>1190</v>
      </c>
      <c r="C68" s="1562" t="s">
        <v>1191</v>
      </c>
      <c r="D68" s="1563" t="s">
        <v>2037</v>
      </c>
      <c r="E68" s="191">
        <v>2253.16</v>
      </c>
      <c r="F68" s="1564">
        <v>2327.0300000000002</v>
      </c>
      <c r="G68" s="262">
        <f t="shared" si="1"/>
        <v>2290.0950000000003</v>
      </c>
      <c r="H68" s="1514"/>
      <c r="I68" s="78" t="s">
        <v>1770</v>
      </c>
      <c r="J68" s="185"/>
      <c r="K68" s="185"/>
      <c r="L68" s="185"/>
      <c r="M68" s="185"/>
      <c r="N68" s="185"/>
      <c r="O68" s="185"/>
      <c r="P68" s="185"/>
      <c r="Q68" s="185"/>
      <c r="R68" s="185"/>
      <c r="S68" s="185"/>
      <c r="T68" s="185"/>
      <c r="U68" s="185"/>
      <c r="V68" s="185"/>
      <c r="W68" s="185"/>
      <c r="X68" s="1895"/>
      <c r="Y68" s="1895"/>
      <c r="Z68" s="1895"/>
      <c r="AA68" s="1895"/>
    </row>
    <row r="69" spans="1:27" s="1525" customFormat="1">
      <c r="A69" s="1531">
        <f t="shared" si="0"/>
        <v>6.0580000000000194</v>
      </c>
      <c r="B69" s="1562" t="s">
        <v>1192</v>
      </c>
      <c r="C69" s="1562" t="s">
        <v>1193</v>
      </c>
      <c r="D69" s="1563" t="s">
        <v>2037</v>
      </c>
      <c r="E69" s="191">
        <v>2542.71</v>
      </c>
      <c r="F69" s="1564">
        <v>2542.71</v>
      </c>
      <c r="G69" s="262">
        <f t="shared" si="1"/>
        <v>2542.71</v>
      </c>
      <c r="H69" s="1514"/>
      <c r="I69" s="78" t="s">
        <v>1770</v>
      </c>
      <c r="J69" s="185"/>
      <c r="K69" s="185"/>
      <c r="L69" s="185"/>
      <c r="M69" s="185"/>
      <c r="N69" s="185"/>
      <c r="O69" s="185"/>
      <c r="P69" s="185"/>
      <c r="Q69" s="185"/>
      <c r="R69" s="185"/>
      <c r="S69" s="185"/>
      <c r="T69" s="185"/>
      <c r="U69" s="185"/>
      <c r="V69" s="185"/>
      <c r="W69" s="185"/>
      <c r="X69" s="1895"/>
      <c r="Y69" s="1895"/>
      <c r="Z69" s="1895"/>
      <c r="AA69" s="1895"/>
    </row>
    <row r="70" spans="1:27" s="1525" customFormat="1">
      <c r="A70" s="1531">
        <f t="shared" si="0"/>
        <v>6.0590000000000197</v>
      </c>
      <c r="B70" s="1562" t="s">
        <v>1194</v>
      </c>
      <c r="C70" s="1562" t="s">
        <v>1195</v>
      </c>
      <c r="D70" s="1563" t="s">
        <v>2037</v>
      </c>
      <c r="E70" s="191">
        <v>1108.26</v>
      </c>
      <c r="F70" s="1564">
        <v>1108.26</v>
      </c>
      <c r="G70" s="262">
        <f t="shared" si="1"/>
        <v>1108.26</v>
      </c>
      <c r="H70" s="1514"/>
      <c r="I70" s="78" t="s">
        <v>1770</v>
      </c>
      <c r="J70" s="185"/>
      <c r="K70" s="185"/>
      <c r="L70" s="185"/>
      <c r="M70" s="185"/>
      <c r="N70" s="185"/>
      <c r="O70" s="185"/>
      <c r="P70" s="185"/>
      <c r="Q70" s="185"/>
      <c r="R70" s="185"/>
      <c r="S70" s="185"/>
      <c r="T70" s="185"/>
      <c r="U70" s="185"/>
      <c r="V70" s="185"/>
      <c r="W70" s="185"/>
      <c r="X70" s="1895"/>
      <c r="Y70" s="1895"/>
      <c r="Z70" s="1895"/>
      <c r="AA70" s="1895"/>
    </row>
    <row r="71" spans="1:27" s="1525" customFormat="1">
      <c r="A71" s="1531">
        <f t="shared" si="0"/>
        <v>6.06000000000002</v>
      </c>
      <c r="B71" s="1562" t="s">
        <v>1196</v>
      </c>
      <c r="C71" s="1562" t="s">
        <v>1195</v>
      </c>
      <c r="D71" s="1563" t="s">
        <v>2037</v>
      </c>
      <c r="E71" s="191">
        <v>39535.629999999997</v>
      </c>
      <c r="F71" s="1564">
        <v>39535.629999999997</v>
      </c>
      <c r="G71" s="262">
        <f t="shared" si="1"/>
        <v>39535.629999999997</v>
      </c>
      <c r="H71" s="1514"/>
      <c r="I71" s="78" t="s">
        <v>1770</v>
      </c>
      <c r="J71" s="185"/>
      <c r="K71" s="185"/>
      <c r="L71" s="185"/>
      <c r="M71" s="185"/>
      <c r="N71" s="185"/>
      <c r="O71" s="185"/>
      <c r="P71" s="185"/>
      <c r="Q71" s="185"/>
      <c r="R71" s="185"/>
      <c r="S71" s="185"/>
      <c r="T71" s="185"/>
      <c r="U71" s="185"/>
      <c r="V71" s="185"/>
      <c r="W71" s="185"/>
      <c r="X71" s="1895"/>
      <c r="Y71" s="1895"/>
      <c r="Z71" s="1895"/>
      <c r="AA71" s="1895"/>
    </row>
    <row r="72" spans="1:27" s="1525" customFormat="1">
      <c r="A72" s="1531">
        <f t="shared" si="0"/>
        <v>6.0610000000000204</v>
      </c>
      <c r="B72" s="1562" t="s">
        <v>1197</v>
      </c>
      <c r="C72" s="1562" t="s">
        <v>1198</v>
      </c>
      <c r="D72" s="1563" t="s">
        <v>2037</v>
      </c>
      <c r="E72" s="191">
        <v>66568.479999999996</v>
      </c>
      <c r="F72" s="1564">
        <v>2662031.58</v>
      </c>
      <c r="G72" s="262">
        <f t="shared" si="1"/>
        <v>1364300.03</v>
      </c>
      <c r="H72" s="1514"/>
      <c r="I72" s="78" t="s">
        <v>1770</v>
      </c>
      <c r="J72" s="185"/>
      <c r="K72" s="185"/>
      <c r="L72" s="185"/>
      <c r="M72" s="185"/>
      <c r="N72" s="185"/>
      <c r="O72" s="185"/>
      <c r="P72" s="185"/>
      <c r="Q72" s="185"/>
      <c r="R72" s="185"/>
      <c r="S72" s="185"/>
      <c r="T72" s="185"/>
      <c r="U72" s="185"/>
      <c r="V72" s="185"/>
      <c r="W72" s="185"/>
      <c r="X72" s="1895"/>
      <c r="Y72" s="1895"/>
      <c r="Z72" s="1895"/>
      <c r="AA72" s="1895"/>
    </row>
    <row r="73" spans="1:27" s="1525" customFormat="1">
      <c r="A73" s="1531">
        <f t="shared" si="0"/>
        <v>6.0620000000000207</v>
      </c>
      <c r="B73" s="1562" t="s">
        <v>1199</v>
      </c>
      <c r="C73" s="1562" t="s">
        <v>1198</v>
      </c>
      <c r="D73" s="1563" t="s">
        <v>2037</v>
      </c>
      <c r="E73" s="191">
        <v>88787.91</v>
      </c>
      <c r="F73" s="1564">
        <v>88787.91</v>
      </c>
      <c r="G73" s="262">
        <f t="shared" si="1"/>
        <v>88787.91</v>
      </c>
      <c r="H73" s="1514"/>
      <c r="I73" s="78" t="s">
        <v>1770</v>
      </c>
      <c r="J73" s="185"/>
      <c r="K73" s="185"/>
      <c r="L73" s="185"/>
      <c r="M73" s="185"/>
      <c r="N73" s="185"/>
      <c r="O73" s="185"/>
      <c r="P73" s="185"/>
      <c r="Q73" s="185"/>
      <c r="R73" s="185"/>
      <c r="S73" s="185"/>
      <c r="T73" s="185"/>
      <c r="U73" s="185"/>
      <c r="V73" s="185"/>
      <c r="W73" s="185"/>
      <c r="X73" s="1895"/>
      <c r="Y73" s="1895"/>
      <c r="Z73" s="1895"/>
      <c r="AA73" s="1895"/>
    </row>
    <row r="74" spans="1:27" s="1525" customFormat="1">
      <c r="A74" s="1531">
        <f t="shared" si="0"/>
        <v>6.063000000000021</v>
      </c>
      <c r="B74" s="1562" t="s">
        <v>1200</v>
      </c>
      <c r="C74" s="1562" t="s">
        <v>1201</v>
      </c>
      <c r="D74" s="1563" t="s">
        <v>2037</v>
      </c>
      <c r="E74" s="191">
        <v>165013.41</v>
      </c>
      <c r="F74" s="1564">
        <v>165013.41</v>
      </c>
      <c r="G74" s="262">
        <f t="shared" si="1"/>
        <v>165013.41</v>
      </c>
      <c r="H74" s="1514"/>
      <c r="I74" s="78" t="s">
        <v>1770</v>
      </c>
      <c r="J74" s="185"/>
      <c r="K74" s="185"/>
      <c r="L74" s="185"/>
      <c r="M74" s="185"/>
      <c r="N74" s="185"/>
      <c r="O74" s="185"/>
      <c r="P74" s="185"/>
      <c r="Q74" s="185"/>
      <c r="R74" s="185"/>
      <c r="S74" s="185"/>
      <c r="T74" s="185"/>
      <c r="U74" s="185"/>
      <c r="V74" s="185"/>
      <c r="W74" s="185"/>
      <c r="X74" s="1895"/>
      <c r="Y74" s="1895"/>
      <c r="Z74" s="1895"/>
      <c r="AA74" s="1895"/>
    </row>
    <row r="75" spans="1:27" s="1525" customFormat="1">
      <c r="A75" s="1531">
        <f t="shared" si="0"/>
        <v>6.0640000000000214</v>
      </c>
      <c r="B75" s="1562" t="s">
        <v>1202</v>
      </c>
      <c r="C75" s="1562" t="s">
        <v>1203</v>
      </c>
      <c r="D75" s="1563" t="s">
        <v>2037</v>
      </c>
      <c r="E75" s="191">
        <v>11982.65</v>
      </c>
      <c r="F75" s="1564">
        <v>11095.46</v>
      </c>
      <c r="G75" s="262">
        <f t="shared" si="1"/>
        <v>11539.055</v>
      </c>
      <c r="H75" s="1514"/>
      <c r="I75" s="78" t="s">
        <v>1770</v>
      </c>
      <c r="J75" s="185"/>
      <c r="K75" s="185"/>
      <c r="L75" s="185"/>
      <c r="M75" s="185"/>
      <c r="N75" s="185"/>
      <c r="O75" s="185"/>
      <c r="P75" s="185"/>
      <c r="Q75" s="185"/>
      <c r="R75" s="185"/>
      <c r="S75" s="185"/>
      <c r="T75" s="185"/>
      <c r="U75" s="185"/>
      <c r="V75" s="185"/>
      <c r="W75" s="185"/>
      <c r="X75" s="1895"/>
      <c r="Y75" s="1895"/>
      <c r="Z75" s="1895"/>
      <c r="AA75" s="1895"/>
    </row>
    <row r="76" spans="1:27" s="1525" customFormat="1">
      <c r="A76" s="1531">
        <f t="shared" si="0"/>
        <v>6.0650000000000217</v>
      </c>
      <c r="B76" s="1562" t="s">
        <v>1204</v>
      </c>
      <c r="C76" s="1562" t="s">
        <v>1203</v>
      </c>
      <c r="D76" s="1563" t="s">
        <v>2037</v>
      </c>
      <c r="E76" s="191">
        <v>153305.65</v>
      </c>
      <c r="F76" s="1564">
        <v>153305.65</v>
      </c>
      <c r="G76" s="262">
        <f t="shared" si="1"/>
        <v>153305.65</v>
      </c>
      <c r="H76" s="1514"/>
      <c r="I76" s="78" t="s">
        <v>1770</v>
      </c>
      <c r="J76" s="185"/>
      <c r="K76" s="185"/>
      <c r="L76" s="185"/>
      <c r="M76" s="185"/>
      <c r="N76" s="185"/>
      <c r="O76" s="185"/>
      <c r="P76" s="185"/>
      <c r="Q76" s="185"/>
      <c r="R76" s="185"/>
      <c r="S76" s="185"/>
      <c r="T76" s="185"/>
      <c r="U76" s="185"/>
      <c r="V76" s="185"/>
      <c r="W76" s="185"/>
      <c r="X76" s="1895"/>
      <c r="Y76" s="1895"/>
      <c r="Z76" s="1895"/>
      <c r="AA76" s="1895"/>
    </row>
    <row r="77" spans="1:27" s="1525" customFormat="1">
      <c r="A77" s="1531">
        <f t="shared" ref="A77:A137" si="2">+A76+0.001</f>
        <v>6.066000000000022</v>
      </c>
      <c r="B77" s="1562" t="s">
        <v>1205</v>
      </c>
      <c r="C77" s="1562" t="s">
        <v>1206</v>
      </c>
      <c r="D77" s="1563" t="s">
        <v>2037</v>
      </c>
      <c r="E77" s="191">
        <v>16641.330000000002</v>
      </c>
      <c r="F77" s="1564">
        <v>16641.330000000002</v>
      </c>
      <c r="G77" s="262">
        <f t="shared" ref="G77:G141" si="3">+SUM(E77,F77)/2</f>
        <v>16641.330000000002</v>
      </c>
      <c r="H77" s="1514"/>
      <c r="I77" s="78" t="s">
        <v>1770</v>
      </c>
      <c r="J77" s="185"/>
      <c r="K77" s="185"/>
      <c r="L77" s="185"/>
      <c r="M77" s="185"/>
      <c r="N77" s="185"/>
      <c r="O77" s="185"/>
      <c r="P77" s="185"/>
      <c r="Q77" s="185"/>
      <c r="R77" s="185"/>
      <c r="S77" s="185"/>
      <c r="T77" s="185"/>
      <c r="U77" s="185"/>
      <c r="V77" s="185"/>
      <c r="W77" s="185"/>
      <c r="X77" s="1895"/>
      <c r="Y77" s="1895"/>
      <c r="Z77" s="1895"/>
      <c r="AA77" s="1895"/>
    </row>
    <row r="78" spans="1:27" s="1525" customFormat="1">
      <c r="A78" s="1531">
        <f t="shared" si="2"/>
        <v>6.0670000000000224</v>
      </c>
      <c r="B78" s="1562" t="s">
        <v>1207</v>
      </c>
      <c r="C78" s="1562" t="s">
        <v>1206</v>
      </c>
      <c r="D78" s="1563" t="s">
        <v>2037</v>
      </c>
      <c r="E78" s="191">
        <v>168588.14</v>
      </c>
      <c r="F78" s="1564">
        <v>3603458.64</v>
      </c>
      <c r="G78" s="262">
        <f t="shared" si="3"/>
        <v>1886023.3900000001</v>
      </c>
      <c r="H78" s="1514"/>
      <c r="I78" s="78" t="s">
        <v>1770</v>
      </c>
      <c r="J78" s="185"/>
      <c r="K78" s="185"/>
      <c r="L78" s="185"/>
      <c r="M78" s="185"/>
      <c r="N78" s="185"/>
      <c r="O78" s="185"/>
      <c r="P78" s="185"/>
      <c r="Q78" s="185"/>
      <c r="R78" s="185"/>
      <c r="S78" s="185"/>
      <c r="T78" s="185"/>
      <c r="U78" s="185"/>
      <c r="V78" s="185"/>
      <c r="W78" s="185"/>
      <c r="X78" s="1895"/>
      <c r="Y78" s="1895"/>
      <c r="Z78" s="1895"/>
      <c r="AA78" s="1895"/>
    </row>
    <row r="79" spans="1:27" s="1525" customFormat="1">
      <c r="A79" s="1531">
        <f t="shared" si="2"/>
        <v>6.0680000000000227</v>
      </c>
      <c r="B79" s="1562" t="s">
        <v>1208</v>
      </c>
      <c r="C79" s="1562" t="s">
        <v>1209</v>
      </c>
      <c r="D79" s="1563" t="s">
        <v>2037</v>
      </c>
      <c r="E79" s="191">
        <v>46930.07</v>
      </c>
      <c r="F79" s="1564">
        <v>46930.07</v>
      </c>
      <c r="G79" s="262">
        <f t="shared" si="3"/>
        <v>46930.07</v>
      </c>
      <c r="H79" s="1514"/>
      <c r="I79" s="78" t="s">
        <v>1770</v>
      </c>
      <c r="J79" s="185"/>
      <c r="K79" s="185"/>
      <c r="L79" s="185"/>
      <c r="M79" s="185"/>
      <c r="N79" s="185"/>
      <c r="O79" s="185"/>
      <c r="P79" s="185"/>
      <c r="Q79" s="185"/>
      <c r="R79" s="185"/>
      <c r="S79" s="185"/>
      <c r="T79" s="185"/>
      <c r="U79" s="185"/>
      <c r="V79" s="185"/>
      <c r="W79" s="185"/>
      <c r="X79" s="1895"/>
      <c r="Y79" s="1895"/>
      <c r="Z79" s="1895"/>
      <c r="AA79" s="1895"/>
    </row>
    <row r="80" spans="1:27" s="1525" customFormat="1">
      <c r="A80" s="1531">
        <f t="shared" si="2"/>
        <v>6.069000000000023</v>
      </c>
      <c r="B80" s="1562" t="s">
        <v>1210</v>
      </c>
      <c r="C80" s="1562" t="s">
        <v>1209</v>
      </c>
      <c r="D80" s="1563" t="s">
        <v>2037</v>
      </c>
      <c r="E80" s="191">
        <v>129181.43</v>
      </c>
      <c r="F80" s="1564">
        <v>129181.43</v>
      </c>
      <c r="G80" s="262">
        <f t="shared" si="3"/>
        <v>129181.43</v>
      </c>
      <c r="H80" s="1514"/>
      <c r="I80" s="78" t="s">
        <v>1770</v>
      </c>
      <c r="J80" s="185"/>
      <c r="K80" s="185"/>
      <c r="L80" s="185"/>
      <c r="M80" s="185"/>
      <c r="N80" s="185"/>
      <c r="O80" s="185"/>
      <c r="P80" s="185"/>
      <c r="Q80" s="185"/>
      <c r="R80" s="185"/>
      <c r="S80" s="185"/>
      <c r="T80" s="185"/>
      <c r="U80" s="185"/>
      <c r="V80" s="185"/>
      <c r="W80" s="185"/>
      <c r="X80" s="1895"/>
      <c r="Y80" s="1895"/>
      <c r="Z80" s="1895"/>
      <c r="AA80" s="1895"/>
    </row>
    <row r="81" spans="1:27" s="1525" customFormat="1">
      <c r="A81" s="1531">
        <f t="shared" si="2"/>
        <v>6.0700000000000234</v>
      </c>
      <c r="B81" s="1562" t="s">
        <v>1211</v>
      </c>
      <c r="C81" s="1562" t="s">
        <v>1212</v>
      </c>
      <c r="D81" s="1563" t="s">
        <v>2037</v>
      </c>
      <c r="E81" s="191">
        <v>16157.9</v>
      </c>
      <c r="F81" s="1564">
        <v>16157.9</v>
      </c>
      <c r="G81" s="262">
        <f t="shared" si="3"/>
        <v>16157.9</v>
      </c>
      <c r="H81" s="1514"/>
      <c r="I81" s="78" t="s">
        <v>1770</v>
      </c>
      <c r="J81" s="185"/>
      <c r="K81" s="185"/>
      <c r="L81" s="185"/>
      <c r="M81" s="185"/>
      <c r="N81" s="185"/>
      <c r="O81" s="185"/>
      <c r="P81" s="185"/>
      <c r="Q81" s="185"/>
      <c r="R81" s="185"/>
      <c r="S81" s="185"/>
      <c r="T81" s="185"/>
      <c r="U81" s="185"/>
      <c r="V81" s="185"/>
      <c r="W81" s="185"/>
      <c r="X81" s="1895"/>
      <c r="Y81" s="1895"/>
      <c r="Z81" s="1895"/>
      <c r="AA81" s="1895"/>
    </row>
    <row r="82" spans="1:27" s="1525" customFormat="1">
      <c r="A82" s="1531">
        <f t="shared" si="2"/>
        <v>6.0710000000000237</v>
      </c>
      <c r="B82" s="1562" t="s">
        <v>1213</v>
      </c>
      <c r="C82" s="1562" t="s">
        <v>1212</v>
      </c>
      <c r="D82" s="1563" t="s">
        <v>2037</v>
      </c>
      <c r="E82" s="191">
        <v>191652.89</v>
      </c>
      <c r="F82" s="1564">
        <v>259077.63</v>
      </c>
      <c r="G82" s="262">
        <f t="shared" si="3"/>
        <v>225365.26</v>
      </c>
      <c r="H82" s="1514"/>
      <c r="I82" s="78" t="s">
        <v>1770</v>
      </c>
      <c r="J82" s="185"/>
      <c r="K82" s="185"/>
      <c r="L82" s="185"/>
      <c r="M82" s="185"/>
      <c r="N82" s="185"/>
      <c r="O82" s="185"/>
      <c r="P82" s="185"/>
      <c r="Q82" s="185"/>
      <c r="R82" s="185"/>
      <c r="S82" s="185"/>
      <c r="T82" s="185"/>
      <c r="U82" s="185"/>
      <c r="V82" s="185"/>
      <c r="W82" s="185"/>
      <c r="X82" s="1895"/>
      <c r="Y82" s="1895"/>
      <c r="Z82" s="1895"/>
      <c r="AA82" s="1895"/>
    </row>
    <row r="83" spans="1:27" s="1525" customFormat="1">
      <c r="A83" s="1531">
        <f t="shared" si="2"/>
        <v>6.072000000000024</v>
      </c>
      <c r="B83" s="1562" t="s">
        <v>1214</v>
      </c>
      <c r="C83" s="1562" t="s">
        <v>1215</v>
      </c>
      <c r="D83" s="1563" t="s">
        <v>2037</v>
      </c>
      <c r="E83" s="191">
        <v>25492.080000000002</v>
      </c>
      <c r="F83" s="1564">
        <v>25492.080000000002</v>
      </c>
      <c r="G83" s="262">
        <f t="shared" si="3"/>
        <v>25492.080000000002</v>
      </c>
      <c r="H83" s="1514"/>
      <c r="I83" s="78" t="s">
        <v>1770</v>
      </c>
      <c r="J83" s="185"/>
      <c r="K83" s="185"/>
      <c r="L83" s="185"/>
      <c r="M83" s="185"/>
      <c r="N83" s="185"/>
      <c r="O83" s="185"/>
      <c r="P83" s="185"/>
      <c r="Q83" s="185"/>
      <c r="R83" s="185"/>
      <c r="S83" s="185"/>
      <c r="T83" s="185"/>
      <c r="U83" s="185"/>
      <c r="V83" s="185"/>
      <c r="W83" s="185"/>
      <c r="X83" s="1895"/>
      <c r="Y83" s="1895"/>
      <c r="Z83" s="1895"/>
      <c r="AA83" s="1895"/>
    </row>
    <row r="84" spans="1:27" s="1525" customFormat="1">
      <c r="A84" s="1531">
        <f t="shared" si="2"/>
        <v>6.0730000000000244</v>
      </c>
      <c r="B84" s="1562" t="s">
        <v>1216</v>
      </c>
      <c r="C84" s="1562" t="s">
        <v>1217</v>
      </c>
      <c r="D84" s="1563" t="s">
        <v>2037</v>
      </c>
      <c r="E84" s="191">
        <v>290108.15999999997</v>
      </c>
      <c r="F84" s="1564">
        <v>290108.15999999997</v>
      </c>
      <c r="G84" s="262">
        <f t="shared" si="3"/>
        <v>290108.15999999997</v>
      </c>
      <c r="H84" s="1514"/>
      <c r="I84" s="78" t="s">
        <v>1770</v>
      </c>
      <c r="J84" s="185"/>
      <c r="K84" s="185"/>
      <c r="L84" s="185"/>
      <c r="M84" s="185"/>
      <c r="N84" s="185"/>
      <c r="O84" s="185"/>
      <c r="P84" s="185"/>
      <c r="Q84" s="185"/>
      <c r="R84" s="185"/>
      <c r="S84" s="185"/>
      <c r="T84" s="185"/>
      <c r="U84" s="185"/>
      <c r="V84" s="185"/>
      <c r="W84" s="185"/>
      <c r="X84" s="1895"/>
      <c r="Y84" s="1895"/>
      <c r="Z84" s="1895"/>
      <c r="AA84" s="1895"/>
    </row>
    <row r="85" spans="1:27" s="1525" customFormat="1">
      <c r="A85" s="1531">
        <f t="shared" si="2"/>
        <v>6.0740000000000247</v>
      </c>
      <c r="B85" s="1562" t="s">
        <v>1218</v>
      </c>
      <c r="C85" s="1562" t="s">
        <v>1217</v>
      </c>
      <c r="D85" s="1563" t="s">
        <v>2037</v>
      </c>
      <c r="E85" s="191">
        <v>491290.95</v>
      </c>
      <c r="F85" s="1564">
        <v>491290.95</v>
      </c>
      <c r="G85" s="262">
        <f t="shared" si="3"/>
        <v>491290.95</v>
      </c>
      <c r="H85" s="1514"/>
      <c r="I85" s="78" t="s">
        <v>1770</v>
      </c>
      <c r="J85" s="185"/>
      <c r="K85" s="185"/>
      <c r="L85" s="185"/>
      <c r="M85" s="185"/>
      <c r="N85" s="185"/>
      <c r="O85" s="185"/>
      <c r="P85" s="185"/>
      <c r="Q85" s="185"/>
      <c r="R85" s="185"/>
      <c r="S85" s="185"/>
      <c r="T85" s="185"/>
      <c r="U85" s="185"/>
      <c r="V85" s="185"/>
      <c r="W85" s="185"/>
      <c r="X85" s="1895"/>
      <c r="Y85" s="1895"/>
      <c r="Z85" s="1895"/>
      <c r="AA85" s="1895"/>
    </row>
    <row r="86" spans="1:27" s="1525" customFormat="1">
      <c r="A86" s="1531">
        <f t="shared" si="2"/>
        <v>6.075000000000025</v>
      </c>
      <c r="B86" s="1562" t="s">
        <v>1219</v>
      </c>
      <c r="C86" s="1562" t="s">
        <v>1220</v>
      </c>
      <c r="D86" s="1563" t="s">
        <v>2037</v>
      </c>
      <c r="E86" s="191">
        <v>26285.45</v>
      </c>
      <c r="F86" s="1564">
        <v>26285.45</v>
      </c>
      <c r="G86" s="262">
        <f t="shared" si="3"/>
        <v>26285.45</v>
      </c>
      <c r="H86" s="1514"/>
      <c r="I86" s="78" t="s">
        <v>1770</v>
      </c>
      <c r="J86" s="185"/>
      <c r="K86" s="185"/>
      <c r="L86" s="185"/>
      <c r="M86" s="185"/>
      <c r="N86" s="185"/>
      <c r="O86" s="185"/>
      <c r="P86" s="185"/>
      <c r="Q86" s="185"/>
      <c r="R86" s="185"/>
      <c r="S86" s="185"/>
      <c r="T86" s="185"/>
      <c r="U86" s="185"/>
      <c r="V86" s="185"/>
      <c r="W86" s="185"/>
      <c r="X86" s="1895"/>
      <c r="Y86" s="1895"/>
      <c r="Z86" s="1895"/>
      <c r="AA86" s="1895"/>
    </row>
    <row r="87" spans="1:27" s="1525" customFormat="1">
      <c r="A87" s="1531">
        <f t="shared" si="2"/>
        <v>6.0760000000000254</v>
      </c>
      <c r="B87" s="1562" t="s">
        <v>1221</v>
      </c>
      <c r="C87" s="1562" t="s">
        <v>1220</v>
      </c>
      <c r="D87" s="1563" t="s">
        <v>2037</v>
      </c>
      <c r="E87" s="191">
        <v>334290.55</v>
      </c>
      <c r="F87" s="1564">
        <v>365721.55</v>
      </c>
      <c r="G87" s="262">
        <f t="shared" si="3"/>
        <v>350006.05</v>
      </c>
      <c r="H87" s="1514"/>
      <c r="I87" s="78" t="s">
        <v>1770</v>
      </c>
      <c r="J87" s="185"/>
      <c r="K87" s="185"/>
      <c r="L87" s="185"/>
      <c r="M87" s="185"/>
      <c r="N87" s="185"/>
      <c r="O87" s="185"/>
      <c r="P87" s="185"/>
      <c r="Q87" s="185"/>
      <c r="R87" s="185"/>
      <c r="S87" s="185"/>
      <c r="T87" s="185"/>
      <c r="U87" s="185"/>
      <c r="V87" s="185"/>
      <c r="W87" s="185"/>
      <c r="X87" s="1895"/>
      <c r="Y87" s="1895"/>
      <c r="Z87" s="1895"/>
      <c r="AA87" s="1895"/>
    </row>
    <row r="88" spans="1:27" s="1525" customFormat="1">
      <c r="A88" s="1531">
        <f t="shared" si="2"/>
        <v>6.0770000000000257</v>
      </c>
      <c r="B88" s="1562" t="s">
        <v>1222</v>
      </c>
      <c r="C88" s="1562" t="s">
        <v>1223</v>
      </c>
      <c r="D88" s="1563" t="s">
        <v>2037</v>
      </c>
      <c r="E88" s="191">
        <v>1.96</v>
      </c>
      <c r="F88" s="1564">
        <v>1.96</v>
      </c>
      <c r="G88" s="262">
        <f t="shared" si="3"/>
        <v>1.96</v>
      </c>
      <c r="H88" s="1514"/>
      <c r="I88" s="78" t="s">
        <v>1770</v>
      </c>
      <c r="J88" s="185"/>
      <c r="K88" s="185"/>
      <c r="L88" s="185"/>
      <c r="M88" s="185"/>
      <c r="N88" s="185"/>
      <c r="O88" s="185"/>
      <c r="P88" s="185"/>
      <c r="Q88" s="185"/>
      <c r="R88" s="185"/>
      <c r="S88" s="185"/>
      <c r="T88" s="185"/>
      <c r="U88" s="185"/>
      <c r="V88" s="185"/>
      <c r="W88" s="185"/>
      <c r="X88" s="1895"/>
      <c r="Y88" s="1895"/>
      <c r="Z88" s="1895"/>
      <c r="AA88" s="1895"/>
    </row>
    <row r="89" spans="1:27" s="1525" customFormat="1">
      <c r="A89" s="1531">
        <f t="shared" si="2"/>
        <v>6.078000000000026</v>
      </c>
      <c r="B89" s="1562" t="s">
        <v>1224</v>
      </c>
      <c r="C89" s="1562" t="s">
        <v>1223</v>
      </c>
      <c r="D89" s="1563" t="s">
        <v>2037</v>
      </c>
      <c r="E89" s="191">
        <v>223661.05</v>
      </c>
      <c r="F89" s="1564">
        <v>242425.78</v>
      </c>
      <c r="G89" s="262">
        <f t="shared" si="3"/>
        <v>233043.41499999998</v>
      </c>
      <c r="H89" s="1514"/>
      <c r="I89" s="78" t="s">
        <v>1770</v>
      </c>
      <c r="J89" s="185"/>
      <c r="K89" s="185"/>
      <c r="L89" s="185"/>
      <c r="M89" s="185"/>
      <c r="N89" s="185"/>
      <c r="O89" s="185"/>
      <c r="P89" s="185"/>
      <c r="Q89" s="185"/>
      <c r="R89" s="185"/>
      <c r="S89" s="185"/>
      <c r="T89" s="185"/>
      <c r="U89" s="185"/>
      <c r="V89" s="185"/>
      <c r="W89" s="185"/>
      <c r="X89" s="1895"/>
      <c r="Y89" s="1895"/>
      <c r="Z89" s="1895"/>
      <c r="AA89" s="1895"/>
    </row>
    <row r="90" spans="1:27" s="1525" customFormat="1">
      <c r="A90" s="1531">
        <f t="shared" si="2"/>
        <v>6.0790000000000264</v>
      </c>
      <c r="B90" s="1562" t="s">
        <v>1225</v>
      </c>
      <c r="C90" s="1562" t="s">
        <v>1226</v>
      </c>
      <c r="D90" s="1563" t="s">
        <v>2037</v>
      </c>
      <c r="E90" s="191">
        <v>86865.83</v>
      </c>
      <c r="F90" s="1564">
        <v>86865.83</v>
      </c>
      <c r="G90" s="262">
        <f t="shared" si="3"/>
        <v>86865.83</v>
      </c>
      <c r="H90" s="1514"/>
      <c r="I90" s="78" t="s">
        <v>1770</v>
      </c>
      <c r="J90" s="185"/>
      <c r="K90" s="185"/>
      <c r="L90" s="185"/>
      <c r="M90" s="185"/>
      <c r="N90" s="185"/>
      <c r="O90" s="185"/>
      <c r="P90" s="185"/>
      <c r="Q90" s="185"/>
      <c r="R90" s="185"/>
      <c r="S90" s="185"/>
      <c r="T90" s="185"/>
      <c r="U90" s="185"/>
      <c r="V90" s="185"/>
      <c r="W90" s="185"/>
      <c r="X90" s="1895"/>
      <c r="Y90" s="1895"/>
      <c r="Z90" s="1895"/>
      <c r="AA90" s="1895"/>
    </row>
    <row r="91" spans="1:27" s="1525" customFormat="1">
      <c r="A91" s="1531">
        <f t="shared" si="2"/>
        <v>6.0800000000000267</v>
      </c>
      <c r="B91" s="1562" t="s">
        <v>1227</v>
      </c>
      <c r="C91" s="1562" t="s">
        <v>1226</v>
      </c>
      <c r="D91" s="1563" t="s">
        <v>2037</v>
      </c>
      <c r="E91" s="191">
        <v>129578.38</v>
      </c>
      <c r="F91" s="1564">
        <v>129606.19</v>
      </c>
      <c r="G91" s="262">
        <f t="shared" si="3"/>
        <v>129592.285</v>
      </c>
      <c r="H91" s="1514"/>
      <c r="I91" s="78" t="s">
        <v>1770</v>
      </c>
      <c r="J91" s="185"/>
      <c r="K91" s="185"/>
      <c r="L91" s="185"/>
      <c r="M91" s="185"/>
      <c r="N91" s="185"/>
      <c r="O91" s="185"/>
      <c r="P91" s="185"/>
      <c r="Q91" s="185"/>
      <c r="R91" s="185"/>
      <c r="S91" s="185"/>
      <c r="T91" s="185"/>
      <c r="U91" s="185"/>
      <c r="V91" s="185"/>
      <c r="W91" s="185"/>
      <c r="X91" s="1895"/>
      <c r="Y91" s="1895"/>
      <c r="Z91" s="1895"/>
      <c r="AA91" s="1895"/>
    </row>
    <row r="92" spans="1:27" s="1525" customFormat="1">
      <c r="A92" s="1531">
        <f t="shared" si="2"/>
        <v>6.0810000000000271</v>
      </c>
      <c r="B92" s="1562" t="s">
        <v>1228</v>
      </c>
      <c r="C92" s="1562" t="s">
        <v>1229</v>
      </c>
      <c r="D92" s="1563" t="s">
        <v>2037</v>
      </c>
      <c r="E92" s="191">
        <v>14336.88</v>
      </c>
      <c r="F92" s="1564">
        <v>14336.88</v>
      </c>
      <c r="G92" s="262">
        <f t="shared" si="3"/>
        <v>14336.88</v>
      </c>
      <c r="H92" s="1514"/>
      <c r="I92" s="78" t="s">
        <v>1770</v>
      </c>
      <c r="J92" s="185"/>
      <c r="K92" s="185"/>
      <c r="L92" s="185"/>
      <c r="M92" s="185"/>
      <c r="N92" s="185"/>
      <c r="O92" s="185"/>
      <c r="P92" s="185"/>
      <c r="Q92" s="185"/>
      <c r="R92" s="185"/>
      <c r="S92" s="185"/>
      <c r="T92" s="185"/>
      <c r="U92" s="185"/>
      <c r="V92" s="185"/>
      <c r="W92" s="185"/>
      <c r="X92" s="1895"/>
      <c r="Y92" s="1895"/>
      <c r="Z92" s="1895"/>
      <c r="AA92" s="1895"/>
    </row>
    <row r="93" spans="1:27" s="1525" customFormat="1">
      <c r="A93" s="1531">
        <f t="shared" si="2"/>
        <v>6.0820000000000274</v>
      </c>
      <c r="B93" s="1562" t="s">
        <v>1230</v>
      </c>
      <c r="C93" s="1562" t="s">
        <v>1229</v>
      </c>
      <c r="D93" s="1563" t="s">
        <v>2037</v>
      </c>
      <c r="E93" s="191">
        <v>188753.12</v>
      </c>
      <c r="F93" s="1564">
        <v>142656.39000000001</v>
      </c>
      <c r="G93" s="262">
        <f t="shared" si="3"/>
        <v>165704.755</v>
      </c>
      <c r="H93" s="1514"/>
      <c r="I93" s="78" t="s">
        <v>1770</v>
      </c>
      <c r="J93" s="185"/>
      <c r="K93" s="185"/>
      <c r="L93" s="185"/>
      <c r="M93" s="185"/>
      <c r="N93" s="185"/>
      <c r="O93" s="185"/>
      <c r="P93" s="185"/>
      <c r="Q93" s="185"/>
      <c r="R93" s="185"/>
      <c r="S93" s="185"/>
      <c r="T93" s="185"/>
      <c r="U93" s="185"/>
      <c r="V93" s="185"/>
      <c r="W93" s="185"/>
      <c r="X93" s="1895"/>
      <c r="Y93" s="1895"/>
      <c r="Z93" s="1895"/>
      <c r="AA93" s="1895"/>
    </row>
    <row r="94" spans="1:27" s="1525" customFormat="1">
      <c r="A94" s="1531">
        <f t="shared" si="2"/>
        <v>6.0830000000000277</v>
      </c>
      <c r="B94" s="1562" t="s">
        <v>1231</v>
      </c>
      <c r="C94" s="1562" t="s">
        <v>1232</v>
      </c>
      <c r="D94" s="1563" t="s">
        <v>2037</v>
      </c>
      <c r="E94" s="191">
        <v>11668.88</v>
      </c>
      <c r="F94" s="1564">
        <v>11668.88</v>
      </c>
      <c r="G94" s="262">
        <f t="shared" si="3"/>
        <v>11668.88</v>
      </c>
      <c r="H94" s="1514"/>
      <c r="I94" s="78" t="s">
        <v>1770</v>
      </c>
      <c r="J94" s="185"/>
      <c r="K94" s="185"/>
      <c r="L94" s="185"/>
      <c r="M94" s="185"/>
      <c r="N94" s="185"/>
      <c r="O94" s="185"/>
      <c r="P94" s="185"/>
      <c r="Q94" s="185"/>
      <c r="R94" s="185"/>
      <c r="S94" s="185"/>
      <c r="T94" s="185"/>
      <c r="U94" s="185"/>
      <c r="V94" s="185"/>
      <c r="W94" s="185"/>
      <c r="X94" s="1895"/>
      <c r="Y94" s="1895"/>
      <c r="Z94" s="1895"/>
      <c r="AA94" s="1895"/>
    </row>
    <row r="95" spans="1:27" s="1525" customFormat="1">
      <c r="A95" s="1531">
        <f t="shared" si="2"/>
        <v>6.0840000000000281</v>
      </c>
      <c r="B95" s="1562" t="s">
        <v>1233</v>
      </c>
      <c r="C95" s="1562" t="s">
        <v>1232</v>
      </c>
      <c r="D95" s="1563" t="s">
        <v>2037</v>
      </c>
      <c r="E95" s="191">
        <v>206916.27</v>
      </c>
      <c r="F95" s="1564">
        <v>206916.27</v>
      </c>
      <c r="G95" s="262">
        <f t="shared" si="3"/>
        <v>206916.27</v>
      </c>
      <c r="H95" s="1514"/>
      <c r="I95" s="78" t="s">
        <v>1770</v>
      </c>
      <c r="J95" s="185"/>
      <c r="K95" s="185"/>
      <c r="L95" s="185"/>
      <c r="M95" s="185"/>
      <c r="N95" s="185"/>
      <c r="O95" s="185"/>
      <c r="P95" s="185"/>
      <c r="Q95" s="185"/>
      <c r="R95" s="185"/>
      <c r="S95" s="185"/>
      <c r="T95" s="185"/>
      <c r="U95" s="185"/>
      <c r="V95" s="185"/>
      <c r="W95" s="185"/>
      <c r="X95" s="1895"/>
      <c r="Y95" s="1895"/>
      <c r="Z95" s="1895"/>
      <c r="AA95" s="1895"/>
    </row>
    <row r="96" spans="1:27" s="1525" customFormat="1">
      <c r="A96" s="1531">
        <f t="shared" si="2"/>
        <v>6.0850000000000284</v>
      </c>
      <c r="B96" s="1562" t="s">
        <v>1234</v>
      </c>
      <c r="C96" s="1562" t="s">
        <v>1235</v>
      </c>
      <c r="D96" s="1563" t="s">
        <v>2037</v>
      </c>
      <c r="E96" s="191">
        <v>7550.48</v>
      </c>
      <c r="F96" s="1564">
        <v>201097.56</v>
      </c>
      <c r="G96" s="262">
        <f t="shared" si="3"/>
        <v>104324.02</v>
      </c>
      <c r="H96" s="1514"/>
      <c r="I96" s="78" t="s">
        <v>1770</v>
      </c>
      <c r="J96" s="185"/>
      <c r="K96" s="185"/>
      <c r="L96" s="185"/>
      <c r="M96" s="185"/>
      <c r="N96" s="185"/>
      <c r="O96" s="185"/>
      <c r="P96" s="185"/>
      <c r="Q96" s="185"/>
      <c r="R96" s="185"/>
      <c r="S96" s="185"/>
      <c r="T96" s="185"/>
      <c r="U96" s="185"/>
      <c r="V96" s="185"/>
      <c r="W96" s="185"/>
      <c r="X96" s="1895"/>
      <c r="Y96" s="1895"/>
      <c r="Z96" s="1895"/>
      <c r="AA96" s="1895"/>
    </row>
    <row r="97" spans="1:27" s="1525" customFormat="1">
      <c r="A97" s="1531">
        <f t="shared" si="2"/>
        <v>6.0860000000000287</v>
      </c>
      <c r="B97" s="1562" t="s">
        <v>1236</v>
      </c>
      <c r="C97" s="1562" t="s">
        <v>1235</v>
      </c>
      <c r="D97" s="1563" t="s">
        <v>2037</v>
      </c>
      <c r="E97" s="191">
        <v>3192686.81</v>
      </c>
      <c r="F97" s="1564">
        <v>3241365.01</v>
      </c>
      <c r="G97" s="262">
        <f t="shared" si="3"/>
        <v>3217025.91</v>
      </c>
      <c r="H97" s="1514"/>
      <c r="I97" s="78" t="s">
        <v>1770</v>
      </c>
      <c r="J97" s="185"/>
      <c r="K97" s="185"/>
      <c r="L97" s="185"/>
      <c r="M97" s="185"/>
      <c r="N97" s="185"/>
      <c r="O97" s="185"/>
      <c r="P97" s="185"/>
      <c r="Q97" s="185"/>
      <c r="R97" s="185"/>
      <c r="S97" s="185"/>
      <c r="T97" s="185"/>
      <c r="U97" s="185"/>
      <c r="V97" s="185"/>
      <c r="W97" s="185"/>
      <c r="X97" s="1895"/>
      <c r="Y97" s="1895"/>
      <c r="Z97" s="1895"/>
      <c r="AA97" s="1895"/>
    </row>
    <row r="98" spans="1:27" s="1525" customFormat="1">
      <c r="A98" s="1531">
        <f t="shared" si="2"/>
        <v>6.0870000000000291</v>
      </c>
      <c r="B98" s="1562" t="s">
        <v>1237</v>
      </c>
      <c r="C98" s="1562" t="s">
        <v>1238</v>
      </c>
      <c r="D98" s="1563" t="s">
        <v>2037</v>
      </c>
      <c r="E98" s="191">
        <v>9534.77</v>
      </c>
      <c r="F98" s="1564">
        <v>9534.77</v>
      </c>
      <c r="G98" s="262">
        <f t="shared" si="3"/>
        <v>9534.77</v>
      </c>
      <c r="H98" s="1514"/>
      <c r="I98" s="78" t="s">
        <v>1770</v>
      </c>
      <c r="J98" s="185"/>
      <c r="K98" s="185"/>
      <c r="L98" s="185"/>
      <c r="M98" s="185"/>
      <c r="N98" s="185"/>
      <c r="O98" s="185"/>
      <c r="P98" s="185"/>
      <c r="Q98" s="185"/>
      <c r="R98" s="185"/>
      <c r="S98" s="185"/>
      <c r="T98" s="185"/>
      <c r="U98" s="185"/>
      <c r="V98" s="185"/>
      <c r="W98" s="185"/>
      <c r="X98" s="1895"/>
      <c r="Y98" s="1895"/>
      <c r="Z98" s="1895"/>
      <c r="AA98" s="1895"/>
    </row>
    <row r="99" spans="1:27" s="1525" customFormat="1">
      <c r="A99" s="1531">
        <f t="shared" si="2"/>
        <v>6.0880000000000294</v>
      </c>
      <c r="B99" s="1562" t="s">
        <v>1239</v>
      </c>
      <c r="C99" s="1562" t="s">
        <v>1238</v>
      </c>
      <c r="D99" s="1563" t="s">
        <v>2037</v>
      </c>
      <c r="E99" s="191">
        <v>286890.55</v>
      </c>
      <c r="F99" s="1564">
        <v>286890.55</v>
      </c>
      <c r="G99" s="262">
        <f t="shared" si="3"/>
        <v>286890.55</v>
      </c>
      <c r="H99" s="1514"/>
      <c r="I99" s="78" t="s">
        <v>1770</v>
      </c>
      <c r="J99" s="185"/>
      <c r="K99" s="185"/>
      <c r="L99" s="185"/>
      <c r="M99" s="185"/>
      <c r="N99" s="185"/>
      <c r="O99" s="185"/>
      <c r="P99" s="185"/>
      <c r="Q99" s="185"/>
      <c r="R99" s="185"/>
      <c r="S99" s="185"/>
      <c r="T99" s="185"/>
      <c r="U99" s="185"/>
      <c r="V99" s="185"/>
      <c r="W99" s="185"/>
      <c r="X99" s="1895"/>
      <c r="Y99" s="1895"/>
      <c r="Z99" s="1895"/>
      <c r="AA99" s="1895"/>
    </row>
    <row r="100" spans="1:27" s="1525" customFormat="1">
      <c r="A100" s="1531">
        <f t="shared" si="2"/>
        <v>6.0890000000000297</v>
      </c>
      <c r="B100" s="1562" t="s">
        <v>1240</v>
      </c>
      <c r="C100" s="1562" t="s">
        <v>1241</v>
      </c>
      <c r="D100" s="1563" t="s">
        <v>2037</v>
      </c>
      <c r="E100" s="191">
        <v>3848.39</v>
      </c>
      <c r="F100" s="1564">
        <v>3848.39</v>
      </c>
      <c r="G100" s="262">
        <f t="shared" si="3"/>
        <v>3848.39</v>
      </c>
      <c r="H100" s="1514"/>
      <c r="I100" s="78" t="s">
        <v>1770</v>
      </c>
      <c r="J100" s="185"/>
      <c r="K100" s="185"/>
      <c r="L100" s="185"/>
      <c r="M100" s="185"/>
      <c r="N100" s="185"/>
      <c r="O100" s="185"/>
      <c r="P100" s="185"/>
      <c r="Q100" s="185"/>
      <c r="R100" s="185"/>
      <c r="S100" s="185"/>
      <c r="T100" s="185"/>
      <c r="U100" s="185"/>
      <c r="V100" s="185"/>
      <c r="W100" s="185"/>
      <c r="X100" s="1895"/>
      <c r="Y100" s="1895"/>
      <c r="Z100" s="1895"/>
      <c r="AA100" s="1895"/>
    </row>
    <row r="101" spans="1:27" s="1525" customFormat="1">
      <c r="A101" s="1531">
        <f t="shared" si="2"/>
        <v>6.0900000000000301</v>
      </c>
      <c r="B101" s="1562" t="s">
        <v>1991</v>
      </c>
      <c r="C101" s="1562" t="s">
        <v>1241</v>
      </c>
      <c r="D101" s="1563" t="s">
        <v>2037</v>
      </c>
      <c r="E101" s="191">
        <v>11823.66</v>
      </c>
      <c r="F101" s="1564">
        <v>11833.04</v>
      </c>
      <c r="G101" s="262">
        <f t="shared" si="3"/>
        <v>11828.35</v>
      </c>
      <c r="H101" s="1514"/>
      <c r="I101" s="78" t="s">
        <v>1770</v>
      </c>
      <c r="J101" s="185"/>
      <c r="K101" s="185"/>
      <c r="L101" s="185"/>
      <c r="M101" s="185"/>
      <c r="N101" s="185" t="s">
        <v>1992</v>
      </c>
      <c r="O101" s="185"/>
      <c r="P101" s="185"/>
      <c r="Q101" s="185"/>
      <c r="R101" s="185"/>
      <c r="S101" s="185"/>
      <c r="T101" s="185"/>
      <c r="U101" s="185"/>
      <c r="V101" s="185"/>
      <c r="W101" s="185"/>
      <c r="X101" s="1895"/>
      <c r="Y101" s="1895"/>
      <c r="Z101" s="1895"/>
      <c r="AA101" s="1895"/>
    </row>
    <row r="102" spans="1:27" s="1525" customFormat="1">
      <c r="A102" s="1531">
        <f t="shared" si="2"/>
        <v>6.0910000000000304</v>
      </c>
      <c r="B102" s="1562" t="s">
        <v>1242</v>
      </c>
      <c r="C102" s="1562" t="s">
        <v>1243</v>
      </c>
      <c r="D102" s="1563" t="s">
        <v>2037</v>
      </c>
      <c r="E102" s="191">
        <v>436606.7</v>
      </c>
      <c r="F102" s="1564">
        <v>436606.7</v>
      </c>
      <c r="G102" s="262">
        <f t="shared" si="3"/>
        <v>436606.7</v>
      </c>
      <c r="H102" s="1514"/>
      <c r="I102" s="78" t="s">
        <v>1770</v>
      </c>
      <c r="J102" s="185"/>
      <c r="K102" s="185"/>
      <c r="L102" s="185"/>
      <c r="M102" s="185"/>
      <c r="N102" s="185"/>
      <c r="O102" s="185"/>
      <c r="P102" s="185"/>
      <c r="Q102" s="185"/>
      <c r="R102" s="185"/>
      <c r="S102" s="185"/>
      <c r="T102" s="185"/>
      <c r="U102" s="185"/>
      <c r="V102" s="185"/>
      <c r="W102" s="185"/>
      <c r="X102" s="1895"/>
      <c r="Y102" s="1895"/>
      <c r="Z102" s="1895"/>
      <c r="AA102" s="1895"/>
    </row>
    <row r="103" spans="1:27" s="1525" customFormat="1">
      <c r="A103" s="1531">
        <f t="shared" si="2"/>
        <v>6.0920000000000307</v>
      </c>
      <c r="B103" s="1562" t="s">
        <v>1244</v>
      </c>
      <c r="C103" s="1562" t="s">
        <v>1243</v>
      </c>
      <c r="D103" s="1563" t="s">
        <v>2037</v>
      </c>
      <c r="E103" s="191">
        <v>911244.66</v>
      </c>
      <c r="F103" s="1564">
        <v>911244.66</v>
      </c>
      <c r="G103" s="262">
        <f t="shared" si="3"/>
        <v>911244.66</v>
      </c>
      <c r="H103" s="1514"/>
      <c r="I103" s="78" t="s">
        <v>1770</v>
      </c>
      <c r="J103" s="185"/>
      <c r="K103" s="185"/>
      <c r="L103" s="185"/>
      <c r="M103" s="185"/>
      <c r="N103" s="185"/>
      <c r="O103" s="185"/>
      <c r="P103" s="185"/>
      <c r="Q103" s="185"/>
      <c r="R103" s="185"/>
      <c r="S103" s="185"/>
      <c r="T103" s="185"/>
      <c r="U103" s="185"/>
      <c r="V103" s="185"/>
      <c r="W103" s="185"/>
      <c r="X103" s="1895"/>
      <c r="Y103" s="1895"/>
      <c r="Z103" s="1895"/>
      <c r="AA103" s="1895"/>
    </row>
    <row r="104" spans="1:27" s="1525" customFormat="1">
      <c r="A104" s="1531">
        <f t="shared" si="2"/>
        <v>6.0930000000000311</v>
      </c>
      <c r="B104" s="1562" t="s">
        <v>1245</v>
      </c>
      <c r="C104" s="1562" t="s">
        <v>1246</v>
      </c>
      <c r="D104" s="1563" t="s">
        <v>2037</v>
      </c>
      <c r="E104" s="191">
        <v>39382.879999999997</v>
      </c>
      <c r="F104" s="1564">
        <v>184515.93</v>
      </c>
      <c r="G104" s="262">
        <f t="shared" si="3"/>
        <v>111949.405</v>
      </c>
      <c r="H104" s="1514"/>
      <c r="I104" s="78" t="s">
        <v>1770</v>
      </c>
      <c r="J104" s="185"/>
      <c r="K104" s="185"/>
      <c r="L104" s="185"/>
      <c r="M104" s="185"/>
      <c r="N104" s="185"/>
      <c r="O104" s="185"/>
      <c r="P104" s="185"/>
      <c r="Q104" s="185"/>
      <c r="R104" s="185"/>
      <c r="S104" s="185"/>
      <c r="T104" s="185"/>
      <c r="U104" s="185"/>
      <c r="V104" s="185"/>
      <c r="W104" s="185"/>
      <c r="X104" s="1895"/>
      <c r="Y104" s="1895"/>
      <c r="Z104" s="1895"/>
      <c r="AA104" s="1895"/>
    </row>
    <row r="105" spans="1:27" s="1525" customFormat="1">
      <c r="A105" s="1531">
        <f t="shared" si="2"/>
        <v>6.0940000000000314</v>
      </c>
      <c r="B105" s="1562" t="s">
        <v>1247</v>
      </c>
      <c r="C105" s="1562" t="s">
        <v>1246</v>
      </c>
      <c r="D105" s="1563" t="s">
        <v>2037</v>
      </c>
      <c r="E105" s="191">
        <v>870975.71</v>
      </c>
      <c r="F105" s="1564">
        <v>2000205.26</v>
      </c>
      <c r="G105" s="262">
        <f t="shared" si="3"/>
        <v>1435590.4849999999</v>
      </c>
      <c r="H105" s="1514"/>
      <c r="I105" s="78" t="s">
        <v>1770</v>
      </c>
      <c r="J105" s="185"/>
      <c r="K105" s="185"/>
      <c r="L105" s="185"/>
      <c r="M105" s="185"/>
      <c r="N105" s="185"/>
      <c r="O105" s="185"/>
      <c r="P105" s="185"/>
      <c r="Q105" s="185"/>
      <c r="R105" s="185"/>
      <c r="S105" s="185"/>
      <c r="T105" s="185"/>
      <c r="U105" s="185"/>
      <c r="V105" s="185"/>
      <c r="W105" s="185"/>
      <c r="X105" s="1895"/>
      <c r="Y105" s="1895"/>
      <c r="Z105" s="1895"/>
      <c r="AA105" s="1895"/>
    </row>
    <row r="106" spans="1:27" s="1525" customFormat="1">
      <c r="A106" s="1531">
        <f t="shared" si="2"/>
        <v>6.0950000000000317</v>
      </c>
      <c r="B106" s="1562" t="s">
        <v>1248</v>
      </c>
      <c r="C106" s="1562" t="s">
        <v>1249</v>
      </c>
      <c r="D106" s="1563" t="s">
        <v>2037</v>
      </c>
      <c r="E106" s="191">
        <v>86424.74</v>
      </c>
      <c r="F106" s="1564">
        <v>123859.71</v>
      </c>
      <c r="G106" s="262">
        <f t="shared" si="3"/>
        <v>105142.22500000001</v>
      </c>
      <c r="H106" s="1514"/>
      <c r="I106" s="78" t="s">
        <v>1770</v>
      </c>
      <c r="J106" s="185"/>
      <c r="K106" s="185"/>
      <c r="L106" s="185"/>
      <c r="M106" s="185"/>
      <c r="N106" s="185"/>
      <c r="O106" s="185"/>
      <c r="P106" s="185"/>
      <c r="Q106" s="185"/>
      <c r="R106" s="185"/>
      <c r="S106" s="185"/>
      <c r="T106" s="185"/>
      <c r="U106" s="185"/>
      <c r="V106" s="185"/>
      <c r="W106" s="185"/>
      <c r="X106" s="1895"/>
      <c r="Y106" s="1895"/>
      <c r="Z106" s="1895"/>
      <c r="AA106" s="1895"/>
    </row>
    <row r="107" spans="1:27" s="1525" customFormat="1">
      <c r="A107" s="1531">
        <f t="shared" si="2"/>
        <v>6.0960000000000321</v>
      </c>
      <c r="B107" s="1562" t="s">
        <v>1250</v>
      </c>
      <c r="C107" s="1562" t="s">
        <v>1249</v>
      </c>
      <c r="D107" s="1563" t="s">
        <v>2037</v>
      </c>
      <c r="E107" s="191">
        <v>3115536.95</v>
      </c>
      <c r="F107" s="1564">
        <v>3329880.3</v>
      </c>
      <c r="G107" s="262">
        <f t="shared" si="3"/>
        <v>3222708.625</v>
      </c>
      <c r="H107" s="1514"/>
      <c r="I107" s="78" t="s">
        <v>1770</v>
      </c>
      <c r="J107" s="185"/>
      <c r="K107" s="185"/>
      <c r="L107" s="185"/>
      <c r="M107" s="185"/>
      <c r="N107" s="185"/>
      <c r="O107" s="185"/>
      <c r="P107" s="185"/>
      <c r="Q107" s="185"/>
      <c r="R107" s="185"/>
      <c r="S107" s="185"/>
      <c r="T107" s="185"/>
      <c r="U107" s="185"/>
      <c r="V107" s="185"/>
      <c r="W107" s="185"/>
      <c r="X107" s="1895"/>
      <c r="Y107" s="1895"/>
      <c r="Z107" s="1895"/>
      <c r="AA107" s="1895"/>
    </row>
    <row r="108" spans="1:27" s="1525" customFormat="1">
      <c r="A108" s="1531">
        <f t="shared" si="2"/>
        <v>6.0970000000000324</v>
      </c>
      <c r="B108" s="1562" t="s">
        <v>1251</v>
      </c>
      <c r="C108" s="1562" t="s">
        <v>1252</v>
      </c>
      <c r="D108" s="1563" t="s">
        <v>2037</v>
      </c>
      <c r="E108" s="191">
        <v>2092.85</v>
      </c>
      <c r="F108" s="1564">
        <v>2092.85</v>
      </c>
      <c r="G108" s="262">
        <f t="shared" si="3"/>
        <v>2092.85</v>
      </c>
      <c r="H108" s="1514"/>
      <c r="I108" s="78" t="s">
        <v>1770</v>
      </c>
      <c r="J108" s="185"/>
      <c r="K108" s="185"/>
      <c r="L108" s="185"/>
      <c r="M108" s="185"/>
      <c r="N108" s="185"/>
      <c r="O108" s="185"/>
      <c r="P108" s="185"/>
      <c r="Q108" s="185"/>
      <c r="R108" s="185"/>
      <c r="S108" s="185"/>
      <c r="T108" s="185"/>
      <c r="U108" s="185"/>
      <c r="V108" s="185"/>
      <c r="W108" s="185"/>
      <c r="X108" s="1895"/>
      <c r="Y108" s="1895"/>
      <c r="Z108" s="1895"/>
      <c r="AA108" s="1895"/>
    </row>
    <row r="109" spans="1:27" s="1525" customFormat="1">
      <c r="A109" s="1531">
        <f t="shared" si="2"/>
        <v>6.0980000000000327</v>
      </c>
      <c r="B109" s="1562" t="s">
        <v>1253</v>
      </c>
      <c r="C109" s="1562" t="s">
        <v>1252</v>
      </c>
      <c r="D109" s="1563" t="s">
        <v>2037</v>
      </c>
      <c r="E109" s="191">
        <v>833422.31</v>
      </c>
      <c r="F109" s="1564">
        <v>833422.31</v>
      </c>
      <c r="G109" s="262">
        <f t="shared" si="3"/>
        <v>833422.31</v>
      </c>
      <c r="H109" s="1514"/>
      <c r="I109" s="78" t="s">
        <v>1770</v>
      </c>
      <c r="J109" s="185"/>
      <c r="K109" s="185"/>
      <c r="L109" s="185"/>
      <c r="M109" s="185"/>
      <c r="N109" s="185"/>
      <c r="O109" s="185"/>
      <c r="P109" s="185"/>
      <c r="Q109" s="185"/>
      <c r="R109" s="185"/>
      <c r="S109" s="185"/>
      <c r="T109" s="185"/>
      <c r="U109" s="185"/>
      <c r="V109" s="185"/>
      <c r="W109" s="185"/>
      <c r="X109" s="1895"/>
      <c r="Y109" s="1895"/>
      <c r="Z109" s="1895"/>
      <c r="AA109" s="1895"/>
    </row>
    <row r="110" spans="1:27" s="1525" customFormat="1">
      <c r="A110" s="1531">
        <f t="shared" si="2"/>
        <v>6.0990000000000331</v>
      </c>
      <c r="B110" s="1562" t="s">
        <v>1254</v>
      </c>
      <c r="C110" s="1562" t="s">
        <v>1255</v>
      </c>
      <c r="D110" s="1563" t="s">
        <v>2037</v>
      </c>
      <c r="E110" s="191">
        <v>14085.14</v>
      </c>
      <c r="F110" s="1564">
        <v>14085.14</v>
      </c>
      <c r="G110" s="262">
        <f t="shared" si="3"/>
        <v>14085.14</v>
      </c>
      <c r="H110" s="1514"/>
      <c r="I110" s="78" t="s">
        <v>1770</v>
      </c>
      <c r="J110" s="185"/>
      <c r="K110" s="185"/>
      <c r="L110" s="185"/>
      <c r="M110" s="185"/>
      <c r="N110" s="185"/>
      <c r="O110" s="185"/>
      <c r="P110" s="185"/>
      <c r="Q110" s="185"/>
      <c r="R110" s="185"/>
      <c r="S110" s="185"/>
      <c r="T110" s="185"/>
      <c r="U110" s="185"/>
      <c r="V110" s="185"/>
      <c r="W110" s="185"/>
      <c r="X110" s="1895"/>
      <c r="Y110" s="1895"/>
      <c r="Z110" s="1895"/>
      <c r="AA110" s="1895"/>
    </row>
    <row r="111" spans="1:27" s="1525" customFormat="1">
      <c r="A111" s="1531">
        <f t="shared" si="2"/>
        <v>6.1000000000000334</v>
      </c>
      <c r="B111" s="1562" t="s">
        <v>1256</v>
      </c>
      <c r="C111" s="1562" t="s">
        <v>1255</v>
      </c>
      <c r="D111" s="1563" t="s">
        <v>2037</v>
      </c>
      <c r="E111" s="191">
        <v>933974.04</v>
      </c>
      <c r="F111" s="1564">
        <v>933974.04</v>
      </c>
      <c r="G111" s="262">
        <f t="shared" si="3"/>
        <v>933974.04</v>
      </c>
      <c r="H111" s="1514"/>
      <c r="I111" s="78" t="s">
        <v>1770</v>
      </c>
      <c r="J111" s="185"/>
      <c r="K111" s="185"/>
      <c r="L111" s="185"/>
      <c r="M111" s="185"/>
      <c r="N111" s="185"/>
      <c r="O111" s="185"/>
      <c r="P111" s="185"/>
      <c r="Q111" s="185"/>
      <c r="R111" s="185"/>
      <c r="S111" s="185"/>
      <c r="T111" s="185"/>
      <c r="U111" s="185"/>
      <c r="V111" s="185"/>
      <c r="W111" s="185"/>
      <c r="X111" s="1895"/>
      <c r="Y111" s="1895"/>
      <c r="Z111" s="1895"/>
      <c r="AA111" s="1895"/>
    </row>
    <row r="112" spans="1:27" s="1525" customFormat="1">
      <c r="A112" s="1531">
        <f t="shared" si="2"/>
        <v>6.1010000000000337</v>
      </c>
      <c r="B112" s="1562" t="s">
        <v>1257</v>
      </c>
      <c r="C112" s="1562" t="s">
        <v>1258</v>
      </c>
      <c r="D112" s="1563" t="s">
        <v>2037</v>
      </c>
      <c r="E112" s="191">
        <v>6380.08</v>
      </c>
      <c r="F112" s="1564">
        <v>174016.91</v>
      </c>
      <c r="G112" s="262">
        <f t="shared" si="3"/>
        <v>90198.494999999995</v>
      </c>
      <c r="H112" s="1514"/>
      <c r="I112" s="78" t="s">
        <v>1770</v>
      </c>
      <c r="J112" s="185"/>
      <c r="K112" s="185"/>
      <c r="L112" s="185"/>
      <c r="M112" s="185"/>
      <c r="N112" s="185"/>
      <c r="O112" s="185"/>
      <c r="P112" s="185"/>
      <c r="Q112" s="185"/>
      <c r="R112" s="185"/>
      <c r="S112" s="185"/>
      <c r="T112" s="185"/>
      <c r="U112" s="185"/>
      <c r="V112" s="185"/>
      <c r="W112" s="185"/>
      <c r="X112" s="1895"/>
      <c r="Y112" s="1895"/>
      <c r="Z112" s="1895"/>
      <c r="AA112" s="1895"/>
    </row>
    <row r="113" spans="1:27" s="1525" customFormat="1">
      <c r="A113" s="1531">
        <f t="shared" si="2"/>
        <v>6.1020000000000341</v>
      </c>
      <c r="B113" s="1562" t="s">
        <v>1259</v>
      </c>
      <c r="C113" s="1562" t="s">
        <v>1258</v>
      </c>
      <c r="D113" s="1563" t="s">
        <v>2037</v>
      </c>
      <c r="E113" s="191">
        <v>551117.65</v>
      </c>
      <c r="F113" s="1564">
        <v>551117.65</v>
      </c>
      <c r="G113" s="262">
        <f t="shared" si="3"/>
        <v>551117.65</v>
      </c>
      <c r="H113" s="1514"/>
      <c r="I113" s="78" t="s">
        <v>1770</v>
      </c>
      <c r="J113" s="185"/>
      <c r="K113" s="185"/>
      <c r="L113" s="185"/>
      <c r="M113" s="185"/>
      <c r="N113" s="185"/>
      <c r="O113" s="185"/>
      <c r="P113" s="185"/>
      <c r="Q113" s="185"/>
      <c r="R113" s="185"/>
      <c r="S113" s="185"/>
      <c r="T113" s="185"/>
      <c r="U113" s="185"/>
      <c r="V113" s="185"/>
      <c r="W113" s="185"/>
      <c r="X113" s="1895"/>
      <c r="Y113" s="1895"/>
      <c r="Z113" s="1895"/>
      <c r="AA113" s="1895"/>
    </row>
    <row r="114" spans="1:27" s="1525" customFormat="1">
      <c r="A114" s="1531">
        <f t="shared" si="2"/>
        <v>6.1030000000000344</v>
      </c>
      <c r="B114" s="1562" t="s">
        <v>1260</v>
      </c>
      <c r="C114" s="1562" t="s">
        <v>1261</v>
      </c>
      <c r="D114" s="1563" t="s">
        <v>2037</v>
      </c>
      <c r="E114" s="191">
        <v>547.41</v>
      </c>
      <c r="F114" s="1564">
        <v>547.41</v>
      </c>
      <c r="G114" s="262">
        <f t="shared" si="3"/>
        <v>547.41</v>
      </c>
      <c r="H114" s="1514"/>
      <c r="I114" s="78" t="s">
        <v>1770</v>
      </c>
      <c r="J114" s="185"/>
      <c r="K114" s="185"/>
      <c r="L114" s="185"/>
      <c r="M114" s="185"/>
      <c r="N114" s="185"/>
      <c r="O114" s="185"/>
      <c r="P114" s="185"/>
      <c r="Q114" s="185"/>
      <c r="R114" s="185"/>
      <c r="S114" s="185"/>
      <c r="T114" s="185"/>
      <c r="U114" s="185"/>
      <c r="V114" s="185"/>
      <c r="W114" s="185"/>
      <c r="X114" s="1895"/>
      <c r="Y114" s="1895"/>
      <c r="Z114" s="1895"/>
      <c r="AA114" s="1895"/>
    </row>
    <row r="115" spans="1:27" s="1525" customFormat="1">
      <c r="A115" s="1531">
        <f t="shared" si="2"/>
        <v>6.1040000000000347</v>
      </c>
      <c r="B115" s="1562" t="s">
        <v>1262</v>
      </c>
      <c r="C115" s="1562" t="s">
        <v>1263</v>
      </c>
      <c r="D115" s="1563" t="s">
        <v>2037</v>
      </c>
      <c r="E115" s="191">
        <v>3463.27</v>
      </c>
      <c r="F115" s="1564">
        <v>3463.27</v>
      </c>
      <c r="G115" s="262">
        <f t="shared" si="3"/>
        <v>3463.27</v>
      </c>
      <c r="H115" s="1514"/>
      <c r="I115" s="78" t="s">
        <v>1770</v>
      </c>
      <c r="J115" s="185"/>
      <c r="K115" s="185"/>
      <c r="L115" s="185"/>
      <c r="M115" s="185"/>
      <c r="N115" s="185"/>
      <c r="O115" s="185"/>
      <c r="P115" s="185"/>
      <c r="Q115" s="185"/>
      <c r="R115" s="185"/>
      <c r="S115" s="185"/>
      <c r="T115" s="185"/>
      <c r="U115" s="185"/>
      <c r="V115" s="185"/>
      <c r="W115" s="185"/>
      <c r="X115" s="1895"/>
      <c r="Y115" s="1895"/>
      <c r="Z115" s="1895"/>
      <c r="AA115" s="1895"/>
    </row>
    <row r="116" spans="1:27" s="1525" customFormat="1">
      <c r="A116" s="1531">
        <f t="shared" si="2"/>
        <v>6.1050000000000351</v>
      </c>
      <c r="B116" s="1562" t="s">
        <v>1264</v>
      </c>
      <c r="C116" s="1562" t="s">
        <v>1263</v>
      </c>
      <c r="D116" s="1563" t="s">
        <v>2037</v>
      </c>
      <c r="E116" s="191">
        <v>372862.31</v>
      </c>
      <c r="F116" s="1564">
        <v>372862.31</v>
      </c>
      <c r="G116" s="262">
        <f t="shared" si="3"/>
        <v>372862.31</v>
      </c>
      <c r="H116" s="1514"/>
      <c r="I116" s="78" t="s">
        <v>1770</v>
      </c>
      <c r="J116" s="185"/>
      <c r="K116" s="185"/>
      <c r="L116" s="185"/>
      <c r="M116" s="185"/>
      <c r="N116" s="185"/>
      <c r="O116" s="185"/>
      <c r="P116" s="185"/>
      <c r="Q116" s="185"/>
      <c r="R116" s="185"/>
      <c r="S116" s="185"/>
      <c r="T116" s="185"/>
      <c r="U116" s="185"/>
      <c r="V116" s="185"/>
      <c r="W116" s="185"/>
      <c r="X116" s="1895"/>
      <c r="Y116" s="1895"/>
      <c r="Z116" s="1895"/>
      <c r="AA116" s="1895"/>
    </row>
    <row r="117" spans="1:27" s="1525" customFormat="1">
      <c r="A117" s="1531">
        <f t="shared" si="2"/>
        <v>6.1060000000000354</v>
      </c>
      <c r="B117" s="1562" t="s">
        <v>1265</v>
      </c>
      <c r="C117" s="1562" t="s">
        <v>1266</v>
      </c>
      <c r="D117" s="1563" t="s">
        <v>2037</v>
      </c>
      <c r="E117" s="191">
        <v>4596.66</v>
      </c>
      <c r="F117" s="1564">
        <v>4596.66</v>
      </c>
      <c r="G117" s="262">
        <f t="shared" si="3"/>
        <v>4596.66</v>
      </c>
      <c r="H117" s="1514"/>
      <c r="I117" s="78" t="s">
        <v>1770</v>
      </c>
      <c r="J117" s="185"/>
      <c r="K117" s="185"/>
      <c r="L117" s="185"/>
      <c r="M117" s="185"/>
      <c r="N117" s="185"/>
      <c r="O117" s="185"/>
      <c r="P117" s="185"/>
      <c r="Q117" s="185"/>
      <c r="R117" s="185"/>
      <c r="S117" s="185"/>
      <c r="T117" s="185"/>
      <c r="U117" s="185"/>
      <c r="V117" s="185"/>
      <c r="W117" s="185"/>
      <c r="X117" s="1895"/>
      <c r="Y117" s="1895"/>
      <c r="Z117" s="1895"/>
      <c r="AA117" s="1895"/>
    </row>
    <row r="118" spans="1:27" s="1525" customFormat="1">
      <c r="A118" s="1531">
        <f t="shared" si="2"/>
        <v>6.1070000000000357</v>
      </c>
      <c r="B118" s="1562" t="s">
        <v>1267</v>
      </c>
      <c r="C118" s="1562" t="s">
        <v>1266</v>
      </c>
      <c r="D118" s="1563" t="s">
        <v>2037</v>
      </c>
      <c r="E118" s="191">
        <v>528638.1</v>
      </c>
      <c r="F118" s="1564">
        <v>552790.06000000006</v>
      </c>
      <c r="G118" s="262">
        <f t="shared" si="3"/>
        <v>540714.08000000007</v>
      </c>
      <c r="H118" s="1514"/>
      <c r="I118" s="78" t="s">
        <v>1770</v>
      </c>
      <c r="J118" s="185"/>
      <c r="K118" s="185"/>
      <c r="L118" s="185"/>
      <c r="M118" s="185"/>
      <c r="N118" s="185"/>
      <c r="O118" s="185"/>
      <c r="P118" s="185"/>
      <c r="Q118" s="185"/>
      <c r="R118" s="185"/>
      <c r="S118" s="185"/>
      <c r="T118" s="185"/>
      <c r="U118" s="185"/>
      <c r="V118" s="185"/>
      <c r="W118" s="185"/>
      <c r="X118" s="1895"/>
      <c r="Y118" s="1895"/>
      <c r="Z118" s="1895"/>
      <c r="AA118" s="1895"/>
    </row>
    <row r="119" spans="1:27" s="1525" customFormat="1">
      <c r="A119" s="1531">
        <f t="shared" si="2"/>
        <v>6.1080000000000361</v>
      </c>
      <c r="B119" s="1562" t="s">
        <v>1268</v>
      </c>
      <c r="C119" s="1562" t="s">
        <v>1266</v>
      </c>
      <c r="D119" s="1563" t="s">
        <v>2037</v>
      </c>
      <c r="E119" s="191">
        <v>92253.41</v>
      </c>
      <c r="F119" s="1564">
        <v>92253.41</v>
      </c>
      <c r="G119" s="262">
        <f t="shared" si="3"/>
        <v>92253.41</v>
      </c>
      <c r="H119" s="1514"/>
      <c r="I119" s="78" t="s">
        <v>1770</v>
      </c>
      <c r="J119" s="185"/>
      <c r="K119" s="185"/>
      <c r="L119" s="185"/>
      <c r="M119" s="185"/>
      <c r="N119" s="185"/>
      <c r="O119" s="185"/>
      <c r="P119" s="185"/>
      <c r="Q119" s="185"/>
      <c r="R119" s="185"/>
      <c r="S119" s="185"/>
      <c r="T119" s="185"/>
      <c r="U119" s="185"/>
      <c r="V119" s="185"/>
      <c r="W119" s="185"/>
      <c r="X119" s="1895"/>
      <c r="Y119" s="1895"/>
      <c r="Z119" s="1895"/>
      <c r="AA119" s="1895"/>
    </row>
    <row r="120" spans="1:27" s="1525" customFormat="1">
      <c r="A120" s="1531">
        <f t="shared" si="2"/>
        <v>6.1090000000000364</v>
      </c>
      <c r="B120" s="1562" t="s">
        <v>1269</v>
      </c>
      <c r="C120" s="1562" t="s">
        <v>1270</v>
      </c>
      <c r="D120" s="1563" t="s">
        <v>2037</v>
      </c>
      <c r="E120" s="191">
        <v>13978.21</v>
      </c>
      <c r="F120" s="1564">
        <v>129576.02</v>
      </c>
      <c r="G120" s="262">
        <f t="shared" si="3"/>
        <v>71777.115000000005</v>
      </c>
      <c r="H120" s="1514"/>
      <c r="I120" s="78" t="s">
        <v>1770</v>
      </c>
      <c r="J120" s="185"/>
      <c r="K120" s="185"/>
      <c r="L120" s="185"/>
      <c r="M120" s="185"/>
      <c r="N120" s="185"/>
      <c r="O120" s="185"/>
      <c r="P120" s="185"/>
      <c r="Q120" s="185"/>
      <c r="R120" s="185"/>
      <c r="S120" s="185"/>
      <c r="T120" s="185"/>
      <c r="U120" s="185"/>
      <c r="V120" s="185"/>
      <c r="W120" s="185"/>
      <c r="X120" s="1895"/>
      <c r="Y120" s="1895"/>
      <c r="Z120" s="1895"/>
      <c r="AA120" s="1895"/>
    </row>
    <row r="121" spans="1:27" s="1525" customFormat="1">
      <c r="A121" s="1531">
        <f t="shared" si="2"/>
        <v>6.1100000000000367</v>
      </c>
      <c r="B121" s="1562" t="s">
        <v>1271</v>
      </c>
      <c r="C121" s="1562" t="s">
        <v>1270</v>
      </c>
      <c r="D121" s="1563" t="s">
        <v>2037</v>
      </c>
      <c r="E121" s="191">
        <v>597793.1</v>
      </c>
      <c r="F121" s="1564">
        <v>597793.1</v>
      </c>
      <c r="G121" s="262">
        <f t="shared" si="3"/>
        <v>597793.1</v>
      </c>
      <c r="H121" s="1514"/>
      <c r="I121" s="78" t="s">
        <v>1770</v>
      </c>
      <c r="J121" s="185"/>
      <c r="K121" s="185"/>
      <c r="L121" s="185"/>
      <c r="M121" s="185"/>
      <c r="N121" s="185"/>
      <c r="O121" s="185"/>
      <c r="P121" s="185"/>
      <c r="Q121" s="185"/>
      <c r="R121" s="185"/>
      <c r="S121" s="185"/>
      <c r="T121" s="185"/>
      <c r="U121" s="185"/>
      <c r="V121" s="185"/>
      <c r="W121" s="185"/>
      <c r="X121" s="1895"/>
      <c r="Y121" s="1895"/>
      <c r="Z121" s="1895"/>
      <c r="AA121" s="1895"/>
    </row>
    <row r="122" spans="1:27" s="1525" customFormat="1">
      <c r="A122" s="1531">
        <f t="shared" si="2"/>
        <v>6.1110000000000371</v>
      </c>
      <c r="B122" s="1562" t="s">
        <v>1272</v>
      </c>
      <c r="C122" s="1562" t="s">
        <v>1273</v>
      </c>
      <c r="D122" s="1563" t="s">
        <v>2037</v>
      </c>
      <c r="E122" s="191">
        <v>521.88</v>
      </c>
      <c r="F122" s="1564">
        <v>79705.710000000006</v>
      </c>
      <c r="G122" s="262">
        <f t="shared" si="3"/>
        <v>40113.795000000006</v>
      </c>
      <c r="H122" s="1514"/>
      <c r="I122" s="78" t="s">
        <v>1770</v>
      </c>
      <c r="J122" s="185"/>
      <c r="K122" s="185"/>
      <c r="L122" s="185"/>
      <c r="M122" s="185"/>
      <c r="N122" s="185"/>
      <c r="O122" s="185"/>
      <c r="P122" s="185"/>
      <c r="Q122" s="185"/>
      <c r="R122" s="185"/>
      <c r="S122" s="185"/>
      <c r="T122" s="185"/>
      <c r="U122" s="185"/>
      <c r="V122" s="185"/>
      <c r="W122" s="185"/>
      <c r="X122" s="1895"/>
      <c r="Y122" s="1895"/>
      <c r="Z122" s="1895"/>
      <c r="AA122" s="1895"/>
    </row>
    <row r="123" spans="1:27" s="1525" customFormat="1">
      <c r="A123" s="1531">
        <f t="shared" si="2"/>
        <v>6.1120000000000374</v>
      </c>
      <c r="B123" s="1562" t="s">
        <v>1274</v>
      </c>
      <c r="C123" s="1562" t="s">
        <v>1273</v>
      </c>
      <c r="D123" s="1563" t="s">
        <v>2037</v>
      </c>
      <c r="E123" s="191">
        <v>126958.85</v>
      </c>
      <c r="F123" s="1564">
        <v>126958.85</v>
      </c>
      <c r="G123" s="262">
        <f t="shared" si="3"/>
        <v>126958.85</v>
      </c>
      <c r="H123" s="1514"/>
      <c r="I123" s="78" t="s">
        <v>1770</v>
      </c>
      <c r="J123" s="185"/>
      <c r="K123" s="185"/>
      <c r="L123" s="185"/>
      <c r="M123" s="185"/>
      <c r="N123" s="185"/>
      <c r="O123" s="185"/>
      <c r="P123" s="185"/>
      <c r="Q123" s="185"/>
      <c r="R123" s="185"/>
      <c r="S123" s="185"/>
      <c r="T123" s="185"/>
      <c r="U123" s="185"/>
      <c r="V123" s="185"/>
      <c r="W123" s="185"/>
      <c r="X123" s="1895"/>
      <c r="Y123" s="1895"/>
      <c r="Z123" s="1895"/>
      <c r="AA123" s="1895"/>
    </row>
    <row r="124" spans="1:27" s="1525" customFormat="1">
      <c r="A124" s="1531">
        <f t="shared" si="2"/>
        <v>6.1130000000000377</v>
      </c>
      <c r="B124" s="1562" t="s">
        <v>1275</v>
      </c>
      <c r="C124" s="1562" t="s">
        <v>1276</v>
      </c>
      <c r="D124" s="1563" t="s">
        <v>2037</v>
      </c>
      <c r="E124" s="191">
        <v>19411.169999999998</v>
      </c>
      <c r="F124" s="1564">
        <v>19411.169999999998</v>
      </c>
      <c r="G124" s="262">
        <f t="shared" si="3"/>
        <v>19411.169999999998</v>
      </c>
      <c r="H124" s="1514"/>
      <c r="I124" s="78" t="s">
        <v>1770</v>
      </c>
      <c r="J124" s="185"/>
      <c r="K124" s="185"/>
      <c r="L124" s="185"/>
      <c r="M124" s="185"/>
      <c r="N124" s="185"/>
      <c r="O124" s="185"/>
      <c r="P124" s="185"/>
      <c r="Q124" s="185"/>
      <c r="R124" s="185"/>
      <c r="S124" s="185"/>
      <c r="T124" s="185"/>
      <c r="U124" s="185"/>
      <c r="V124" s="185"/>
      <c r="W124" s="185"/>
      <c r="X124" s="1895"/>
      <c r="Y124" s="1895"/>
      <c r="Z124" s="1895"/>
      <c r="AA124" s="1895"/>
    </row>
    <row r="125" spans="1:27" s="1525" customFormat="1">
      <c r="A125" s="1531">
        <f t="shared" si="2"/>
        <v>6.1140000000000381</v>
      </c>
      <c r="B125" s="1562" t="s">
        <v>1277</v>
      </c>
      <c r="C125" s="1562" t="s">
        <v>1276</v>
      </c>
      <c r="D125" s="1563" t="s">
        <v>2037</v>
      </c>
      <c r="E125" s="191">
        <v>321857.18</v>
      </c>
      <c r="F125" s="1564">
        <v>321857.18</v>
      </c>
      <c r="G125" s="262">
        <f t="shared" si="3"/>
        <v>321857.18</v>
      </c>
      <c r="H125" s="1514"/>
      <c r="I125" s="78" t="s">
        <v>1770</v>
      </c>
      <c r="J125" s="185"/>
      <c r="K125" s="185"/>
      <c r="L125" s="185"/>
      <c r="M125" s="185"/>
      <c r="N125" s="185"/>
      <c r="O125" s="185"/>
      <c r="P125" s="185"/>
      <c r="Q125" s="185"/>
      <c r="R125" s="185"/>
      <c r="S125" s="185"/>
      <c r="T125" s="185"/>
      <c r="U125" s="185"/>
      <c r="V125" s="185"/>
      <c r="W125" s="185"/>
      <c r="X125" s="1895"/>
      <c r="Y125" s="1895"/>
      <c r="Z125" s="1895"/>
      <c r="AA125" s="1895"/>
    </row>
    <row r="126" spans="1:27" s="1525" customFormat="1">
      <c r="A126" s="1531">
        <f t="shared" si="2"/>
        <v>6.1150000000000384</v>
      </c>
      <c r="B126" s="1562" t="s">
        <v>1278</v>
      </c>
      <c r="C126" s="1562" t="s">
        <v>1279</v>
      </c>
      <c r="D126" s="1563" t="s">
        <v>2037</v>
      </c>
      <c r="E126" s="191">
        <v>50404.71</v>
      </c>
      <c r="F126" s="1564">
        <v>201548.95</v>
      </c>
      <c r="G126" s="262">
        <f t="shared" si="3"/>
        <v>125976.83</v>
      </c>
      <c r="H126" s="1514"/>
      <c r="I126" s="78" t="s">
        <v>1770</v>
      </c>
      <c r="J126" s="185"/>
      <c r="K126" s="185"/>
      <c r="L126" s="185"/>
      <c r="M126" s="185"/>
      <c r="N126" s="185"/>
      <c r="O126" s="185"/>
      <c r="P126" s="185"/>
      <c r="Q126" s="185"/>
      <c r="R126" s="185"/>
      <c r="S126" s="185"/>
      <c r="T126" s="185"/>
      <c r="U126" s="185"/>
      <c r="V126" s="185"/>
      <c r="W126" s="185"/>
      <c r="X126" s="1895"/>
      <c r="Y126" s="1895"/>
      <c r="Z126" s="1895"/>
      <c r="AA126" s="1895"/>
    </row>
    <row r="127" spans="1:27" s="1525" customFormat="1">
      <c r="A127" s="1531">
        <f t="shared" si="2"/>
        <v>6.1160000000000387</v>
      </c>
      <c r="B127" s="1562" t="s">
        <v>1280</v>
      </c>
      <c r="C127" s="1562" t="s">
        <v>1279</v>
      </c>
      <c r="D127" s="1563" t="s">
        <v>2037</v>
      </c>
      <c r="E127" s="191">
        <v>632192.74</v>
      </c>
      <c r="F127" s="1564">
        <v>632192.74</v>
      </c>
      <c r="G127" s="262">
        <f t="shared" si="3"/>
        <v>632192.74</v>
      </c>
      <c r="H127" s="1514"/>
      <c r="I127" s="78" t="s">
        <v>1770</v>
      </c>
      <c r="J127" s="185"/>
      <c r="K127" s="185"/>
      <c r="L127" s="185"/>
      <c r="M127" s="185"/>
      <c r="N127" s="185"/>
      <c r="O127" s="185"/>
      <c r="P127" s="185"/>
      <c r="Q127" s="185"/>
      <c r="R127" s="185"/>
      <c r="S127" s="185"/>
      <c r="T127" s="185"/>
      <c r="U127" s="185"/>
      <c r="V127" s="185"/>
      <c r="W127" s="185"/>
      <c r="X127" s="1895"/>
      <c r="Y127" s="1895"/>
      <c r="Z127" s="1895"/>
      <c r="AA127" s="1895"/>
    </row>
    <row r="128" spans="1:27" s="1525" customFormat="1">
      <c r="A128" s="1531">
        <f t="shared" si="2"/>
        <v>6.1170000000000391</v>
      </c>
      <c r="B128" s="1562" t="s">
        <v>1281</v>
      </c>
      <c r="C128" s="1562" t="s">
        <v>1282</v>
      </c>
      <c r="D128" s="1563" t="s">
        <v>2037</v>
      </c>
      <c r="E128" s="191">
        <v>18167.79</v>
      </c>
      <c r="F128" s="1564">
        <v>163300.84</v>
      </c>
      <c r="G128" s="262">
        <f t="shared" si="3"/>
        <v>90734.315000000002</v>
      </c>
      <c r="H128" s="1514"/>
      <c r="I128" s="78" t="s">
        <v>1770</v>
      </c>
      <c r="J128" s="185"/>
      <c r="K128" s="185"/>
      <c r="L128" s="185"/>
      <c r="M128" s="185"/>
      <c r="N128" s="185"/>
      <c r="O128" s="185"/>
      <c r="P128" s="185"/>
      <c r="Q128" s="185"/>
      <c r="R128" s="185"/>
      <c r="S128" s="185"/>
      <c r="T128" s="185"/>
      <c r="U128" s="185"/>
      <c r="V128" s="185"/>
      <c r="W128" s="185"/>
      <c r="X128" s="1895"/>
      <c r="Y128" s="1895"/>
      <c r="Z128" s="1895"/>
      <c r="AA128" s="1895"/>
    </row>
    <row r="129" spans="1:27" s="1525" customFormat="1">
      <c r="A129" s="1531">
        <f t="shared" si="2"/>
        <v>6.1180000000000394</v>
      </c>
      <c r="B129" s="1562" t="s">
        <v>1283</v>
      </c>
      <c r="C129" s="1562" t="s">
        <v>1282</v>
      </c>
      <c r="D129" s="1563" t="s">
        <v>2037</v>
      </c>
      <c r="E129" s="191">
        <v>134737.68</v>
      </c>
      <c r="F129" s="1564">
        <v>134737.68</v>
      </c>
      <c r="G129" s="262">
        <f t="shared" si="3"/>
        <v>134737.68</v>
      </c>
      <c r="H129" s="1514"/>
      <c r="I129" s="78" t="s">
        <v>1770</v>
      </c>
      <c r="J129" s="185"/>
      <c r="K129" s="185"/>
      <c r="L129" s="185"/>
      <c r="M129" s="185"/>
      <c r="N129" s="185"/>
      <c r="O129" s="185"/>
      <c r="P129" s="185"/>
      <c r="Q129" s="185"/>
      <c r="R129" s="185"/>
      <c r="S129" s="185"/>
      <c r="T129" s="185"/>
      <c r="U129" s="185"/>
      <c r="V129" s="185"/>
      <c r="W129" s="185"/>
      <c r="X129" s="1895"/>
      <c r="Y129" s="1895"/>
      <c r="Z129" s="1895"/>
      <c r="AA129" s="1895"/>
    </row>
    <row r="130" spans="1:27" s="1525" customFormat="1">
      <c r="A130" s="1531">
        <f t="shared" si="2"/>
        <v>6.1190000000000397</v>
      </c>
      <c r="B130" s="1562" t="s">
        <v>1284</v>
      </c>
      <c r="C130" s="1562" t="s">
        <v>1285</v>
      </c>
      <c r="D130" s="1563" t="s">
        <v>2037</v>
      </c>
      <c r="E130" s="191">
        <v>1514.52</v>
      </c>
      <c r="F130" s="1564">
        <v>1514.52</v>
      </c>
      <c r="G130" s="262">
        <f t="shared" si="3"/>
        <v>1514.52</v>
      </c>
      <c r="H130" s="1514"/>
      <c r="I130" s="78" t="s">
        <v>1770</v>
      </c>
      <c r="J130" s="185"/>
      <c r="K130" s="185"/>
      <c r="L130" s="185"/>
      <c r="M130" s="185"/>
      <c r="N130" s="185"/>
      <c r="O130" s="185"/>
      <c r="P130" s="185"/>
      <c r="Q130" s="185"/>
      <c r="R130" s="185"/>
      <c r="S130" s="185"/>
      <c r="T130" s="185"/>
      <c r="U130" s="185"/>
      <c r="V130" s="185"/>
      <c r="W130" s="185"/>
      <c r="X130" s="1895"/>
      <c r="Y130" s="1895"/>
      <c r="Z130" s="1895"/>
      <c r="AA130" s="1895"/>
    </row>
    <row r="131" spans="1:27" s="1525" customFormat="1">
      <c r="A131" s="1531">
        <f t="shared" si="2"/>
        <v>6.1200000000000401</v>
      </c>
      <c r="B131" s="1562" t="s">
        <v>1286</v>
      </c>
      <c r="C131" s="1562" t="s">
        <v>1285</v>
      </c>
      <c r="D131" s="1563" t="s">
        <v>2037</v>
      </c>
      <c r="E131" s="191">
        <v>1555032.9</v>
      </c>
      <c r="F131" s="1564">
        <v>1555032.9</v>
      </c>
      <c r="G131" s="262">
        <f t="shared" si="3"/>
        <v>1555032.9</v>
      </c>
      <c r="H131" s="1514"/>
      <c r="I131" s="78" t="s">
        <v>1770</v>
      </c>
      <c r="J131" s="185"/>
      <c r="K131" s="185"/>
      <c r="L131" s="185"/>
      <c r="M131" s="185"/>
      <c r="N131" s="185"/>
      <c r="O131" s="185"/>
      <c r="P131" s="185"/>
      <c r="Q131" s="185"/>
      <c r="R131" s="185"/>
      <c r="S131" s="185"/>
      <c r="T131" s="185"/>
      <c r="U131" s="185"/>
      <c r="V131" s="185"/>
      <c r="W131" s="185"/>
      <c r="X131" s="1895"/>
      <c r="Y131" s="1895"/>
      <c r="Z131" s="1895"/>
      <c r="AA131" s="1895"/>
    </row>
    <row r="132" spans="1:27" s="1525" customFormat="1">
      <c r="A132" s="1531">
        <f t="shared" si="2"/>
        <v>6.1210000000000404</v>
      </c>
      <c r="B132" s="1562" t="s">
        <v>1287</v>
      </c>
      <c r="C132" s="1562" t="s">
        <v>1288</v>
      </c>
      <c r="D132" s="1563" t="s">
        <v>2037</v>
      </c>
      <c r="E132" s="191">
        <v>24334.44</v>
      </c>
      <c r="F132" s="1564">
        <v>266625.71999999997</v>
      </c>
      <c r="G132" s="262">
        <f t="shared" si="3"/>
        <v>145480.07999999999</v>
      </c>
      <c r="H132" s="1514"/>
      <c r="I132" s="78" t="s">
        <v>1770</v>
      </c>
      <c r="J132" s="185"/>
      <c r="K132" s="185"/>
      <c r="L132" s="185"/>
      <c r="M132" s="185"/>
      <c r="N132" s="185"/>
      <c r="O132" s="185"/>
      <c r="P132" s="185"/>
      <c r="Q132" s="185"/>
      <c r="R132" s="185"/>
      <c r="S132" s="185"/>
      <c r="T132" s="185"/>
      <c r="U132" s="185"/>
      <c r="V132" s="185"/>
      <c r="W132" s="185"/>
      <c r="X132" s="1895"/>
      <c r="Y132" s="1895"/>
      <c r="Z132" s="1895"/>
      <c r="AA132" s="1895"/>
    </row>
    <row r="133" spans="1:27" s="1525" customFormat="1">
      <c r="A133" s="1531">
        <f t="shared" si="2"/>
        <v>6.1220000000000407</v>
      </c>
      <c r="B133" s="1562" t="s">
        <v>1289</v>
      </c>
      <c r="C133" s="1562" t="s">
        <v>1290</v>
      </c>
      <c r="D133" s="1762">
        <v>0</v>
      </c>
      <c r="E133" s="191">
        <v>0</v>
      </c>
      <c r="F133" s="1564">
        <v>0</v>
      </c>
      <c r="G133" s="262">
        <f t="shared" si="3"/>
        <v>0</v>
      </c>
      <c r="H133" s="1514"/>
      <c r="I133" s="78" t="s">
        <v>1770</v>
      </c>
      <c r="J133" s="185"/>
      <c r="K133" s="185"/>
      <c r="L133" s="185"/>
      <c r="M133" s="185"/>
      <c r="N133" s="185"/>
      <c r="O133" s="185"/>
      <c r="P133" s="185"/>
      <c r="Q133" s="185"/>
      <c r="R133" s="185"/>
      <c r="S133" s="185"/>
      <c r="T133" s="185"/>
      <c r="U133" s="185"/>
      <c r="V133" s="185"/>
      <c r="W133" s="185"/>
      <c r="X133" s="1895"/>
      <c r="Y133" s="1895"/>
      <c r="Z133" s="1895"/>
      <c r="AA133" s="1895"/>
    </row>
    <row r="134" spans="1:27" s="1525" customFormat="1">
      <c r="A134" s="1531">
        <f t="shared" si="2"/>
        <v>6.1230000000000411</v>
      </c>
      <c r="B134" s="1562" t="s">
        <v>1291</v>
      </c>
      <c r="C134" s="1562" t="s">
        <v>1290</v>
      </c>
      <c r="D134" s="1563" t="s">
        <v>2037</v>
      </c>
      <c r="E134" s="191">
        <v>1618.97</v>
      </c>
      <c r="F134" s="1564">
        <v>1667.91</v>
      </c>
      <c r="G134" s="262">
        <f t="shared" si="3"/>
        <v>1643.44</v>
      </c>
      <c r="H134" s="1514"/>
      <c r="I134" s="78" t="s">
        <v>1770</v>
      </c>
      <c r="J134" s="185"/>
      <c r="K134" s="185"/>
      <c r="L134" s="185"/>
      <c r="M134" s="185"/>
      <c r="N134" s="185"/>
      <c r="O134" s="185"/>
      <c r="P134" s="185"/>
      <c r="Q134" s="185"/>
      <c r="R134" s="185"/>
      <c r="S134" s="185"/>
      <c r="T134" s="185"/>
      <c r="U134" s="185"/>
      <c r="V134" s="185"/>
      <c r="W134" s="185"/>
      <c r="X134" s="1895"/>
      <c r="Y134" s="1895"/>
      <c r="Z134" s="1895"/>
      <c r="AA134" s="1895"/>
    </row>
    <row r="135" spans="1:27" s="1525" customFormat="1">
      <c r="A135" s="1897">
        <f t="shared" si="2"/>
        <v>6.1240000000000414</v>
      </c>
      <c r="B135" s="1898" t="s">
        <v>1292</v>
      </c>
      <c r="C135" s="1562" t="s">
        <v>1293</v>
      </c>
      <c r="D135" s="1563" t="s">
        <v>2037</v>
      </c>
      <c r="E135" s="191">
        <v>1224917.83</v>
      </c>
      <c r="F135" s="1564">
        <v>1224917.83</v>
      </c>
      <c r="G135" s="262">
        <f t="shared" si="3"/>
        <v>1224917.83</v>
      </c>
      <c r="H135" s="1514"/>
      <c r="I135" s="78" t="s">
        <v>1770</v>
      </c>
      <c r="J135" s="185"/>
      <c r="K135" s="185"/>
      <c r="L135" s="185"/>
      <c r="M135" s="185"/>
      <c r="N135" s="185"/>
      <c r="O135" s="185"/>
      <c r="P135" s="185"/>
      <c r="Q135" s="185"/>
      <c r="R135" s="185"/>
      <c r="S135" s="185"/>
      <c r="T135" s="185"/>
      <c r="U135" s="185"/>
      <c r="V135" s="185"/>
      <c r="W135" s="185"/>
      <c r="X135" s="1895"/>
      <c r="Y135" s="1895"/>
      <c r="Z135" s="1895"/>
      <c r="AA135" s="1895"/>
    </row>
    <row r="136" spans="1:27" s="1525" customFormat="1">
      <c r="A136" s="1897">
        <f t="shared" si="2"/>
        <v>6.1250000000000417</v>
      </c>
      <c r="B136" s="1898" t="s">
        <v>1294</v>
      </c>
      <c r="C136" s="1562" t="s">
        <v>1295</v>
      </c>
      <c r="D136" s="1563" t="s">
        <v>2037</v>
      </c>
      <c r="E136" s="191">
        <v>1272376.9099999999</v>
      </c>
      <c r="F136" s="1564">
        <v>1272376.9099999999</v>
      </c>
      <c r="G136" s="262">
        <f t="shared" si="3"/>
        <v>1272376.9099999999</v>
      </c>
      <c r="H136" s="1514"/>
      <c r="I136" s="78" t="s">
        <v>1770</v>
      </c>
      <c r="J136" s="185"/>
      <c r="K136" s="185"/>
      <c r="L136" s="185"/>
      <c r="M136" s="185"/>
      <c r="N136" s="185"/>
      <c r="O136" s="185"/>
      <c r="P136" s="185"/>
      <c r="Q136" s="185"/>
      <c r="R136" s="185"/>
      <c r="S136" s="185"/>
      <c r="T136" s="185"/>
      <c r="U136" s="185"/>
      <c r="V136" s="185"/>
      <c r="W136" s="185"/>
      <c r="X136" s="1895"/>
      <c r="Y136" s="1895"/>
      <c r="Z136" s="1895"/>
      <c r="AA136" s="1895"/>
    </row>
    <row r="137" spans="1:27" s="1525" customFormat="1">
      <c r="A137" s="1897">
        <f t="shared" si="2"/>
        <v>6.1260000000000421</v>
      </c>
      <c r="B137" s="1898" t="s">
        <v>1296</v>
      </c>
      <c r="C137" s="1562" t="s">
        <v>1297</v>
      </c>
      <c r="D137" s="1563" t="s">
        <v>2037</v>
      </c>
      <c r="E137" s="191">
        <v>1312652.03</v>
      </c>
      <c r="F137" s="1564">
        <v>1312652.03</v>
      </c>
      <c r="G137" s="262">
        <f t="shared" si="3"/>
        <v>1312652.03</v>
      </c>
      <c r="H137" s="1514"/>
      <c r="I137" s="78" t="s">
        <v>1770</v>
      </c>
      <c r="J137" s="185"/>
      <c r="K137" s="185"/>
      <c r="L137" s="185"/>
      <c r="M137" s="185"/>
      <c r="N137" s="185"/>
      <c r="O137" s="185"/>
      <c r="P137" s="185"/>
      <c r="Q137" s="185"/>
      <c r="R137" s="185"/>
      <c r="S137" s="185"/>
      <c r="T137" s="185"/>
      <c r="U137" s="185"/>
      <c r="V137" s="185"/>
      <c r="W137" s="185"/>
      <c r="X137" s="1895"/>
      <c r="Y137" s="1895"/>
      <c r="Z137" s="1895"/>
      <c r="AA137" s="1895"/>
    </row>
    <row r="138" spans="1:27" s="1525" customFormat="1">
      <c r="A138" s="1643">
        <v>6.1270000000000424</v>
      </c>
      <c r="B138" s="1644" t="s">
        <v>1772</v>
      </c>
      <c r="C138" s="1644" t="s">
        <v>1026</v>
      </c>
      <c r="D138" s="1563" t="s">
        <v>2037</v>
      </c>
      <c r="E138" s="191">
        <v>404264.31</v>
      </c>
      <c r="F138" s="1564">
        <v>404264.31</v>
      </c>
      <c r="G138" s="262">
        <f t="shared" si="3"/>
        <v>404264.31</v>
      </c>
      <c r="H138" s="1645"/>
      <c r="I138" s="78" t="s">
        <v>1773</v>
      </c>
      <c r="J138" s="1645"/>
      <c r="K138" s="1646"/>
      <c r="L138" s="78"/>
      <c r="M138" s="185"/>
      <c r="N138" s="185"/>
      <c r="O138" s="185"/>
      <c r="P138" s="185"/>
      <c r="Q138" s="185"/>
      <c r="R138" s="185"/>
      <c r="S138" s="185"/>
      <c r="T138" s="185"/>
      <c r="U138" s="185"/>
      <c r="V138" s="185"/>
      <c r="W138" s="185"/>
      <c r="X138" s="1895"/>
      <c r="Y138" s="1895"/>
      <c r="Z138" s="1895"/>
      <c r="AA138" s="1895"/>
    </row>
    <row r="139" spans="1:27">
      <c r="A139" s="1533">
        <f>+A138+0.001</f>
        <v>6.1280000000000427</v>
      </c>
      <c r="B139" s="1331" t="s">
        <v>1768</v>
      </c>
      <c r="C139" s="1331" t="s">
        <v>1769</v>
      </c>
      <c r="D139" s="1563" t="s">
        <v>2037</v>
      </c>
      <c r="E139" s="191">
        <v>0</v>
      </c>
      <c r="F139" s="1564">
        <v>61115.11</v>
      </c>
      <c r="G139" s="262">
        <f t="shared" si="3"/>
        <v>30557.555</v>
      </c>
      <c r="H139" s="43"/>
      <c r="I139" s="78" t="s">
        <v>1771</v>
      </c>
    </row>
    <row r="140" spans="1:27">
      <c r="A140" s="1533">
        <f>+A139+0.001</f>
        <v>6.1290000000000431</v>
      </c>
      <c r="B140" s="1331" t="s">
        <v>1993</v>
      </c>
      <c r="C140" s="1331" t="s">
        <v>1769</v>
      </c>
      <c r="D140" s="1563" t="s">
        <v>2037</v>
      </c>
      <c r="E140" s="191">
        <v>1647.88</v>
      </c>
      <c r="F140" s="1564">
        <v>1990.26</v>
      </c>
      <c r="G140" s="262">
        <f t="shared" ref="G140" si="4">+SUM(E140,F140)/2</f>
        <v>1819.0700000000002</v>
      </c>
      <c r="H140" s="43"/>
      <c r="I140" s="78" t="s">
        <v>1771</v>
      </c>
    </row>
    <row r="141" spans="1:27">
      <c r="A141" s="1533">
        <f>+A139+0.001</f>
        <v>6.1290000000000431</v>
      </c>
      <c r="B141" s="1331" t="s">
        <v>936</v>
      </c>
      <c r="C141" s="1331"/>
      <c r="D141" s="1331"/>
      <c r="E141" s="1332">
        <v>0</v>
      </c>
      <c r="F141" s="1507">
        <v>0</v>
      </c>
      <c r="G141" s="262">
        <f t="shared" si="3"/>
        <v>0</v>
      </c>
      <c r="H141" s="43"/>
      <c r="I141" s="43"/>
    </row>
    <row r="142" spans="1:27">
      <c r="A142" s="1333" t="s">
        <v>927</v>
      </c>
      <c r="B142" s="1331" t="s">
        <v>936</v>
      </c>
      <c r="C142" s="1331"/>
      <c r="D142" s="1331"/>
      <c r="E142" s="1332">
        <v>0</v>
      </c>
      <c r="F142" s="1507">
        <v>0</v>
      </c>
      <c r="G142" s="262">
        <f t="shared" ref="G142:G143" si="5">+SUM(E142,F142)/2</f>
        <v>0</v>
      </c>
      <c r="H142" s="43"/>
      <c r="I142" s="43"/>
    </row>
    <row r="143" spans="1:27">
      <c r="A143" s="1333" t="str">
        <f>+A11&amp;".XXX"</f>
        <v>6.XXX</v>
      </c>
      <c r="B143" s="1331" t="s">
        <v>936</v>
      </c>
      <c r="C143" s="1331"/>
      <c r="D143" s="1331"/>
      <c r="E143" s="1454">
        <v>0</v>
      </c>
      <c r="F143" s="1508">
        <v>0</v>
      </c>
      <c r="G143" s="558">
        <f t="shared" si="5"/>
        <v>0</v>
      </c>
      <c r="H143" s="43"/>
      <c r="I143" s="43"/>
    </row>
    <row r="144" spans="1:27">
      <c r="A144" s="1532">
        <f>+A11+1</f>
        <v>7</v>
      </c>
      <c r="B144" s="1231" t="s">
        <v>113</v>
      </c>
      <c r="C144" s="1231"/>
      <c r="D144" s="1231"/>
      <c r="E144" s="1215">
        <f>SUM(E12:E143)</f>
        <v>81086186.659999967</v>
      </c>
      <c r="F144" s="1509">
        <f>SUM(F12:F143)</f>
        <v>100940848.54999997</v>
      </c>
      <c r="G144" s="1215">
        <f>SUM(G12:G143)</f>
        <v>91013517.604999945</v>
      </c>
      <c r="H144" s="43"/>
      <c r="I144" s="43"/>
    </row>
    <row r="145" spans="1:7">
      <c r="A145" s="556"/>
      <c r="B145" s="43"/>
      <c r="C145" s="43"/>
      <c r="D145" s="43"/>
      <c r="E145" s="262"/>
      <c r="F145" s="938"/>
      <c r="G145" s="43"/>
    </row>
    <row r="146" spans="1:7">
      <c r="A146" s="43" t="s">
        <v>298</v>
      </c>
      <c r="B146" s="43"/>
      <c r="C146" s="43"/>
      <c r="D146" s="43"/>
      <c r="E146" s="1678"/>
      <c r="F146" s="1678"/>
      <c r="G146" s="43"/>
    </row>
    <row r="147" spans="1:7" s="678" customFormat="1">
      <c r="A147" s="867" t="s">
        <v>167</v>
      </c>
      <c r="B147" s="2021" t="str">
        <f>+"Reference Appendix A Note "&amp;'Appendix A'!A318</f>
        <v>Reference Appendix A Note M</v>
      </c>
      <c r="C147" s="2021"/>
      <c r="D147" s="2021"/>
      <c r="E147" s="2021"/>
      <c r="F147" s="2021"/>
      <c r="G147" s="2021"/>
    </row>
    <row r="148" spans="1:7">
      <c r="A148" s="867"/>
    </row>
  </sheetData>
  <mergeCells count="6">
    <mergeCell ref="B147:G147"/>
    <mergeCell ref="A1:G1"/>
    <mergeCell ref="A2:G2"/>
    <mergeCell ref="A3:G3"/>
    <mergeCell ref="I10:M12"/>
    <mergeCell ref="I15:M20"/>
  </mergeCells>
  <printOptions horizontalCentered="1"/>
  <pageMargins left="0.56999999999999995" right="0.5" top="0.5" bottom="0.7" header="0.3" footer="0.5"/>
  <pageSetup scale="70" fitToHeight="0" orientation="portrait" r:id="rId1"/>
  <headerFooter>
    <oddFooter>&amp;R&amp;12&amp;A</oddFooter>
  </headerFooter>
  <ignoredErrors>
    <ignoredError sqref="A147"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3"/>
  <sheetViews>
    <sheetView zoomScaleNormal="100" workbookViewId="0">
      <selection activeCell="A21" sqref="A21"/>
    </sheetView>
  </sheetViews>
  <sheetFormatPr defaultColWidth="8.88671875" defaultRowHeight="13.2"/>
  <cols>
    <col min="1" max="1" width="6.44140625" style="679" bestFit="1" customWidth="1"/>
    <col min="2" max="2" width="54" style="42" bestFit="1" customWidth="1"/>
    <col min="3" max="11" width="11.44140625" style="42" bestFit="1" customWidth="1"/>
    <col min="12" max="16" width="11.33203125" style="42" customWidth="1"/>
    <col min="17" max="17" width="28.5546875" style="42" customWidth="1"/>
    <col min="18" max="16384" width="8.88671875" style="42"/>
  </cols>
  <sheetData>
    <row r="1" spans="1:17">
      <c r="A1" s="2026" t="str">
        <f>+'MISO Cover'!C6</f>
        <v>Entergy Louisiana, LLC</v>
      </c>
      <c r="B1" s="2026"/>
      <c r="C1" s="2026"/>
      <c r="D1" s="2026"/>
      <c r="E1" s="2026"/>
      <c r="F1" s="2026"/>
      <c r="G1" s="2026"/>
      <c r="H1" s="2026"/>
      <c r="I1" s="2026"/>
      <c r="J1" s="2026"/>
      <c r="K1" s="2026"/>
      <c r="L1" s="2026"/>
      <c r="M1" s="2026"/>
      <c r="N1" s="2026"/>
      <c r="O1" s="2026"/>
      <c r="P1" s="2026"/>
      <c r="Q1" s="783"/>
    </row>
    <row r="2" spans="1:17">
      <c r="A2" s="2024" t="s">
        <v>901</v>
      </c>
      <c r="B2" s="2024"/>
      <c r="C2" s="2024"/>
      <c r="D2" s="2024"/>
      <c r="E2" s="2024"/>
      <c r="F2" s="2024"/>
      <c r="G2" s="2024"/>
      <c r="H2" s="2024"/>
      <c r="I2" s="2024"/>
      <c r="J2" s="2024"/>
      <c r="K2" s="2024"/>
      <c r="L2" s="2024"/>
      <c r="M2" s="2024"/>
      <c r="N2" s="2024"/>
      <c r="O2" s="2024"/>
      <c r="P2" s="2024"/>
    </row>
    <row r="3" spans="1:17">
      <c r="A3" s="2024" t="str">
        <f>+'MISO Cover'!K4</f>
        <v>For  the 12 Months Ended 12/31/2016</v>
      </c>
      <c r="B3" s="2024"/>
      <c r="C3" s="2024"/>
      <c r="D3" s="2024"/>
      <c r="E3" s="2024"/>
      <c r="F3" s="2024"/>
      <c r="G3" s="2024"/>
      <c r="H3" s="2024"/>
      <c r="I3" s="2024"/>
      <c r="J3" s="2024"/>
      <c r="K3" s="2024"/>
      <c r="L3" s="2024"/>
      <c r="M3" s="2024"/>
      <c r="N3" s="2024"/>
      <c r="O3" s="2024"/>
      <c r="P3" s="2024"/>
    </row>
    <row r="4" spans="1:17">
      <c r="A4" s="747"/>
    </row>
    <row r="5" spans="1:17" s="749" customFormat="1">
      <c r="A5" s="747" t="s">
        <v>279</v>
      </c>
      <c r="B5" s="749" t="s">
        <v>67</v>
      </c>
      <c r="C5" s="749" t="s">
        <v>114</v>
      </c>
      <c r="D5" s="749" t="s">
        <v>55</v>
      </c>
      <c r="E5" s="749" t="s">
        <v>68</v>
      </c>
      <c r="F5" s="749" t="s">
        <v>66</v>
      </c>
      <c r="G5" s="749" t="s">
        <v>154</v>
      </c>
      <c r="H5" s="749" t="s">
        <v>69</v>
      </c>
      <c r="I5" s="749" t="s">
        <v>166</v>
      </c>
      <c r="J5" s="749" t="s">
        <v>59</v>
      </c>
      <c r="K5" s="749" t="s">
        <v>60</v>
      </c>
      <c r="L5" s="749" t="s">
        <v>71</v>
      </c>
      <c r="M5" s="749" t="s">
        <v>98</v>
      </c>
      <c r="N5" s="749" t="s">
        <v>99</v>
      </c>
      <c r="O5" s="749" t="s">
        <v>155</v>
      </c>
      <c r="P5" s="749" t="s">
        <v>221</v>
      </c>
    </row>
    <row r="6" spans="1:17" s="749" customFormat="1">
      <c r="A6" s="747"/>
      <c r="C6" s="1463" t="s">
        <v>37</v>
      </c>
      <c r="D6" s="1463" t="s">
        <v>27</v>
      </c>
      <c r="E6" s="1463" t="s">
        <v>28</v>
      </c>
      <c r="F6" s="1463" t="s">
        <v>29</v>
      </c>
      <c r="G6" s="1463" t="s">
        <v>30</v>
      </c>
      <c r="H6" s="1463" t="s">
        <v>26</v>
      </c>
      <c r="I6" s="1463" t="s">
        <v>31</v>
      </c>
      <c r="J6" s="1463" t="s">
        <v>32</v>
      </c>
      <c r="K6" s="1463" t="s">
        <v>33</v>
      </c>
      <c r="L6" s="1463" t="s">
        <v>34</v>
      </c>
      <c r="M6" s="1463" t="s">
        <v>35</v>
      </c>
      <c r="N6" s="1463" t="s">
        <v>36</v>
      </c>
      <c r="O6" s="1463" t="s">
        <v>37</v>
      </c>
      <c r="P6" s="1481" t="s">
        <v>414</v>
      </c>
    </row>
    <row r="7" spans="1:17" ht="13.95" customHeight="1">
      <c r="A7" s="923">
        <v>1</v>
      </c>
      <c r="B7" s="42" t="s">
        <v>518</v>
      </c>
      <c r="C7" s="784"/>
      <c r="D7" s="784"/>
    </row>
    <row r="8" spans="1:17" ht="13.2" customHeight="1">
      <c r="A8" s="923">
        <f t="shared" ref="A8:A13" si="0">A7+0.1</f>
        <v>1.1000000000000001</v>
      </c>
      <c r="B8" s="566" t="s">
        <v>971</v>
      </c>
      <c r="C8" s="1329">
        <v>3833016.72</v>
      </c>
      <c r="D8" s="1329">
        <v>3833016.72</v>
      </c>
      <c r="E8" s="1329">
        <v>3833016.72</v>
      </c>
      <c r="F8" s="1329">
        <v>3833016.72</v>
      </c>
      <c r="G8" s="1329">
        <v>3833016.72</v>
      </c>
      <c r="H8" s="1329">
        <v>3833016.72</v>
      </c>
      <c r="I8" s="1329">
        <v>3833016.72</v>
      </c>
      <c r="J8" s="1329">
        <v>3833016.72</v>
      </c>
      <c r="K8" s="1329">
        <v>3833016.72</v>
      </c>
      <c r="L8" s="1329">
        <v>3833016.72</v>
      </c>
      <c r="M8" s="1329">
        <v>3833016.72</v>
      </c>
      <c r="N8" s="1329">
        <v>3833016.72</v>
      </c>
      <c r="O8" s="1329">
        <v>3833016.72</v>
      </c>
      <c r="P8" s="249">
        <f>+SUM(C8:O8)/13</f>
        <v>3833016.7199999993</v>
      </c>
    </row>
    <row r="9" spans="1:17" s="83" customFormat="1" ht="14.4" customHeight="1">
      <c r="A9" s="1545">
        <f t="shared" si="0"/>
        <v>1.2000000000000002</v>
      </c>
      <c r="B9" s="1565" t="s">
        <v>1298</v>
      </c>
      <c r="C9" s="191">
        <v>75558.81</v>
      </c>
      <c r="D9" s="191">
        <v>75558.81</v>
      </c>
      <c r="E9" s="191">
        <v>75558.81</v>
      </c>
      <c r="F9" s="191">
        <v>75558.81</v>
      </c>
      <c r="G9" s="191">
        <v>75558.81</v>
      </c>
      <c r="H9" s="191">
        <v>75558.81</v>
      </c>
      <c r="I9" s="191">
        <v>75558.81</v>
      </c>
      <c r="J9" s="191">
        <v>75558.81</v>
      </c>
      <c r="K9" s="191">
        <v>75558.81</v>
      </c>
      <c r="L9" s="191">
        <v>75558.81</v>
      </c>
      <c r="M9" s="191">
        <v>75558.81</v>
      </c>
      <c r="N9" s="191">
        <v>75558.81</v>
      </c>
      <c r="O9" s="191">
        <v>75558.81</v>
      </c>
      <c r="P9" s="520">
        <f t="shared" ref="P9:P12" si="1">+SUM(C9:O9)/13</f>
        <v>75558.810000000027</v>
      </c>
      <c r="Q9" s="1535" t="s">
        <v>1302</v>
      </c>
    </row>
    <row r="10" spans="1:17" s="83" customFormat="1" ht="14.4" customHeight="1">
      <c r="A10" s="1545">
        <f t="shared" si="0"/>
        <v>1.3000000000000003</v>
      </c>
      <c r="B10" s="1565" t="s">
        <v>1300</v>
      </c>
      <c r="C10" s="191">
        <v>4046125.13</v>
      </c>
      <c r="D10" s="191">
        <v>4046125.13</v>
      </c>
      <c r="E10" s="191">
        <v>4046125.13</v>
      </c>
      <c r="F10" s="191">
        <v>4046125.13</v>
      </c>
      <c r="G10" s="191">
        <v>4046125.13</v>
      </c>
      <c r="H10" s="191">
        <v>4046125.13</v>
      </c>
      <c r="I10" s="191">
        <v>4046125.13</v>
      </c>
      <c r="J10" s="191">
        <v>4046125.13</v>
      </c>
      <c r="K10" s="191">
        <v>4046125.13</v>
      </c>
      <c r="L10" s="191">
        <v>4046125.13</v>
      </c>
      <c r="M10" s="191">
        <v>4046125.13</v>
      </c>
      <c r="N10" s="191">
        <v>4046125.13</v>
      </c>
      <c r="O10" s="191">
        <v>4046125.13</v>
      </c>
      <c r="P10" s="520">
        <f t="shared" si="1"/>
        <v>4046125.1300000004</v>
      </c>
      <c r="Q10" s="1535" t="s">
        <v>1302</v>
      </c>
    </row>
    <row r="11" spans="1:17" s="83" customFormat="1" ht="14.4" customHeight="1">
      <c r="A11" s="1545">
        <f t="shared" si="0"/>
        <v>1.4000000000000004</v>
      </c>
      <c r="B11" s="1565" t="s">
        <v>1299</v>
      </c>
      <c r="C11" s="191">
        <v>4000000</v>
      </c>
      <c r="D11" s="191">
        <v>4000000</v>
      </c>
      <c r="E11" s="191">
        <v>4000000</v>
      </c>
      <c r="F11" s="191">
        <v>4000000</v>
      </c>
      <c r="G11" s="191">
        <v>4000000</v>
      </c>
      <c r="H11" s="191">
        <v>4000000</v>
      </c>
      <c r="I11" s="191">
        <v>4000000</v>
      </c>
      <c r="J11" s="191">
        <v>4000000</v>
      </c>
      <c r="K11" s="191">
        <v>4000000</v>
      </c>
      <c r="L11" s="191">
        <v>4000000</v>
      </c>
      <c r="M11" s="191">
        <v>4000000</v>
      </c>
      <c r="N11" s="191">
        <v>4000000</v>
      </c>
      <c r="O11" s="191">
        <v>4000000</v>
      </c>
      <c r="P11" s="520">
        <f t="shared" si="1"/>
        <v>4000000</v>
      </c>
      <c r="Q11" s="1535" t="s">
        <v>1302</v>
      </c>
    </row>
    <row r="12" spans="1:17" s="83" customFormat="1" ht="14.4" customHeight="1">
      <c r="A12" s="1545">
        <f t="shared" si="0"/>
        <v>1.5000000000000004</v>
      </c>
      <c r="B12" s="1565" t="s">
        <v>1301</v>
      </c>
      <c r="C12" s="191">
        <v>1743305.16</v>
      </c>
      <c r="D12" s="191">
        <v>1743305.16</v>
      </c>
      <c r="E12" s="191">
        <v>1743305.16</v>
      </c>
      <c r="F12" s="191">
        <v>1743305.16</v>
      </c>
      <c r="G12" s="191">
        <v>1743305.16</v>
      </c>
      <c r="H12" s="191">
        <v>1743305.16</v>
      </c>
      <c r="I12" s="191">
        <v>1743305.16</v>
      </c>
      <c r="J12" s="191">
        <v>1743305.16</v>
      </c>
      <c r="K12" s="191">
        <v>1743305.16</v>
      </c>
      <c r="L12" s="191">
        <v>1743305.16</v>
      </c>
      <c r="M12" s="191">
        <v>1743305.16</v>
      </c>
      <c r="N12" s="191">
        <v>1743305.16</v>
      </c>
      <c r="O12" s="191">
        <v>1743305.16</v>
      </c>
      <c r="P12" s="520">
        <f t="shared" si="1"/>
        <v>1743305.16</v>
      </c>
      <c r="Q12" s="1535" t="s">
        <v>1302</v>
      </c>
    </row>
    <row r="13" spans="1:17" ht="13.95" customHeight="1">
      <c r="A13" s="1512">
        <f t="shared" si="0"/>
        <v>1.6000000000000005</v>
      </c>
      <c r="B13" s="1271" t="s">
        <v>936</v>
      </c>
      <c r="C13" s="1329">
        <v>0</v>
      </c>
      <c r="D13" s="1329">
        <v>0</v>
      </c>
      <c r="E13" s="1329">
        <v>0</v>
      </c>
      <c r="F13" s="1329">
        <v>0</v>
      </c>
      <c r="G13" s="1329">
        <v>0</v>
      </c>
      <c r="H13" s="1329">
        <v>0</v>
      </c>
      <c r="I13" s="1329">
        <v>0</v>
      </c>
      <c r="J13" s="1329">
        <v>0</v>
      </c>
      <c r="K13" s="1329">
        <v>0</v>
      </c>
      <c r="L13" s="1329">
        <v>0</v>
      </c>
      <c r="M13" s="1329">
        <v>0</v>
      </c>
      <c r="N13" s="1329">
        <v>0</v>
      </c>
      <c r="O13" s="1329">
        <v>0</v>
      </c>
      <c r="P13" s="249">
        <f t="shared" ref="P13:P14" si="2">+SUM(C13:O13)/13</f>
        <v>0</v>
      </c>
    </row>
    <row r="14" spans="1:17" ht="13.95" customHeight="1">
      <c r="A14" s="1328" t="s">
        <v>927</v>
      </c>
      <c r="B14" s="1271" t="s">
        <v>936</v>
      </c>
      <c r="C14" s="1329">
        <v>0</v>
      </c>
      <c r="D14" s="1329">
        <v>0</v>
      </c>
      <c r="E14" s="1329">
        <v>0</v>
      </c>
      <c r="F14" s="1329">
        <v>0</v>
      </c>
      <c r="G14" s="1329">
        <v>0</v>
      </c>
      <c r="H14" s="1329">
        <v>0</v>
      </c>
      <c r="I14" s="1329">
        <v>0</v>
      </c>
      <c r="J14" s="1329">
        <v>0</v>
      </c>
      <c r="K14" s="1329">
        <v>0</v>
      </c>
      <c r="L14" s="1329">
        <v>0</v>
      </c>
      <c r="M14" s="1329">
        <v>0</v>
      </c>
      <c r="N14" s="1329">
        <v>0</v>
      </c>
      <c r="O14" s="1329">
        <v>0</v>
      </c>
      <c r="P14" s="249">
        <f t="shared" si="2"/>
        <v>0</v>
      </c>
    </row>
    <row r="15" spans="1:17" ht="13.95" customHeight="1">
      <c r="A15" s="1328" t="s">
        <v>931</v>
      </c>
      <c r="B15" s="1271" t="s">
        <v>936</v>
      </c>
      <c r="C15" s="1761">
        <v>0</v>
      </c>
      <c r="D15" s="1761">
        <v>0</v>
      </c>
      <c r="E15" s="1761">
        <v>0</v>
      </c>
      <c r="F15" s="1761">
        <v>0</v>
      </c>
      <c r="G15" s="1761">
        <v>0</v>
      </c>
      <c r="H15" s="1761">
        <v>0</v>
      </c>
      <c r="I15" s="1761">
        <v>0</v>
      </c>
      <c r="J15" s="1761">
        <v>0</v>
      </c>
      <c r="K15" s="1761">
        <v>0</v>
      </c>
      <c r="L15" s="1761">
        <v>0</v>
      </c>
      <c r="M15" s="1761">
        <v>0</v>
      </c>
      <c r="N15" s="1761">
        <v>0</v>
      </c>
      <c r="O15" s="1761">
        <v>0</v>
      </c>
      <c r="P15" s="559">
        <f>+SUM(C15:O15)/13</f>
        <v>0</v>
      </c>
    </row>
    <row r="16" spans="1:17" ht="13.95" customHeight="1">
      <c r="A16" s="1245">
        <f>+A7+1</f>
        <v>2</v>
      </c>
      <c r="B16" s="566" t="str">
        <f>+"Total - Generator (Sum of Line "&amp;A7&amp;" Subparts)"</f>
        <v>Total - Generator (Sum of Line 1 Subparts)</v>
      </c>
      <c r="C16" s="692">
        <f t="shared" ref="C16:P16" si="3">SUM(C8:C15)</f>
        <v>13698005.82</v>
      </c>
      <c r="D16" s="692">
        <f t="shared" si="3"/>
        <v>13698005.82</v>
      </c>
      <c r="E16" s="692">
        <f t="shared" si="3"/>
        <v>13698005.82</v>
      </c>
      <c r="F16" s="692">
        <f t="shared" si="3"/>
        <v>13698005.82</v>
      </c>
      <c r="G16" s="692">
        <f t="shared" si="3"/>
        <v>13698005.82</v>
      </c>
      <c r="H16" s="692">
        <f t="shared" si="3"/>
        <v>13698005.82</v>
      </c>
      <c r="I16" s="692">
        <f t="shared" si="3"/>
        <v>13698005.82</v>
      </c>
      <c r="J16" s="692">
        <f t="shared" si="3"/>
        <v>13698005.82</v>
      </c>
      <c r="K16" s="692">
        <f t="shared" si="3"/>
        <v>13698005.82</v>
      </c>
      <c r="L16" s="692">
        <f t="shared" si="3"/>
        <v>13698005.82</v>
      </c>
      <c r="M16" s="692">
        <f t="shared" si="3"/>
        <v>13698005.82</v>
      </c>
      <c r="N16" s="692">
        <f t="shared" si="3"/>
        <v>13698005.82</v>
      </c>
      <c r="O16" s="692">
        <f t="shared" si="3"/>
        <v>13698005.82</v>
      </c>
      <c r="P16" s="785">
        <f t="shared" si="3"/>
        <v>13698005.82</v>
      </c>
    </row>
    <row r="17" spans="1:17" ht="13.95" customHeight="1">
      <c r="A17" s="923">
        <f>+A16+1</f>
        <v>3</v>
      </c>
      <c r="B17" s="566"/>
      <c r="C17" s="270"/>
      <c r="D17" s="270"/>
      <c r="E17" s="270"/>
      <c r="F17" s="270"/>
      <c r="G17" s="270"/>
      <c r="H17" s="270"/>
      <c r="I17" s="270"/>
      <c r="J17" s="270"/>
      <c r="K17" s="270"/>
      <c r="L17" s="270"/>
      <c r="M17" s="270"/>
      <c r="N17" s="270"/>
      <c r="O17" s="270"/>
    </row>
    <row r="18" spans="1:17" ht="13.95" customHeight="1">
      <c r="A18" s="923">
        <f>+A17+1</f>
        <v>4</v>
      </c>
      <c r="B18" s="688" t="s">
        <v>516</v>
      </c>
      <c r="C18" s="270"/>
      <c r="D18" s="270"/>
      <c r="E18" s="270"/>
      <c r="F18" s="270"/>
      <c r="G18" s="270"/>
      <c r="H18" s="270"/>
      <c r="I18" s="270"/>
      <c r="J18" s="270"/>
      <c r="K18" s="270"/>
      <c r="L18" s="270"/>
      <c r="M18" s="270"/>
      <c r="N18" s="270"/>
      <c r="O18" s="270"/>
    </row>
    <row r="19" spans="1:17" ht="13.95" customHeight="1">
      <c r="A19" s="1493">
        <f>A18+0.1</f>
        <v>4.0999999999999996</v>
      </c>
      <c r="B19" s="566" t="s">
        <v>972</v>
      </c>
      <c r="C19" s="191">
        <v>5664145.1100000003</v>
      </c>
      <c r="D19" s="191">
        <v>5664145.1100000003</v>
      </c>
      <c r="E19" s="191">
        <v>5664145.1100000003</v>
      </c>
      <c r="F19" s="191">
        <v>5664145.1100000003</v>
      </c>
      <c r="G19" s="191">
        <v>5664145.1100000003</v>
      </c>
      <c r="H19" s="191">
        <v>5664145.1100000003</v>
      </c>
      <c r="I19" s="191">
        <v>5664145.1100000003</v>
      </c>
      <c r="J19" s="191">
        <v>5664145.1100000003</v>
      </c>
      <c r="K19" s="191">
        <v>5664145.1100000003</v>
      </c>
      <c r="L19" s="191">
        <v>5664145.1100000003</v>
      </c>
      <c r="M19" s="191">
        <v>5664145.1100000003</v>
      </c>
      <c r="N19" s="191">
        <v>5663235.6299999999</v>
      </c>
      <c r="O19" s="191">
        <v>5663235.6299999999</v>
      </c>
      <c r="P19" s="520">
        <f>+SUM(C19:O19)/13</f>
        <v>5664005.1899999995</v>
      </c>
    </row>
    <row r="20" spans="1:17" ht="13.95" customHeight="1">
      <c r="A20" s="1500">
        <f t="shared" ref="A20:A21" si="4">A19+0.1</f>
        <v>4.1999999999999993</v>
      </c>
      <c r="B20" s="566" t="s">
        <v>973</v>
      </c>
      <c r="C20" s="191">
        <v>311138.68</v>
      </c>
      <c r="D20" s="191">
        <v>311138.68</v>
      </c>
      <c r="E20" s="191">
        <v>311138.68</v>
      </c>
      <c r="F20" s="191">
        <v>311138.68</v>
      </c>
      <c r="G20" s="191">
        <v>311138.68</v>
      </c>
      <c r="H20" s="191">
        <v>311138.68</v>
      </c>
      <c r="I20" s="191">
        <v>311138.68</v>
      </c>
      <c r="J20" s="191">
        <v>311138.68</v>
      </c>
      <c r="K20" s="191">
        <v>311138.68</v>
      </c>
      <c r="L20" s="191">
        <v>311138.68</v>
      </c>
      <c r="M20" s="191">
        <v>311138.68</v>
      </c>
      <c r="N20" s="191">
        <v>311138.68</v>
      </c>
      <c r="O20" s="191">
        <v>311138.68</v>
      </c>
      <c r="P20" s="520">
        <f t="shared" ref="P20:P25" si="5">+SUM(C20:O20)/13</f>
        <v>311138.68000000005</v>
      </c>
    </row>
    <row r="21" spans="1:17" ht="13.95" customHeight="1">
      <c r="A21" s="1500">
        <f t="shared" si="4"/>
        <v>4.2999999999999989</v>
      </c>
      <c r="B21" s="566" t="s">
        <v>974</v>
      </c>
      <c r="C21" s="191">
        <v>301690.73</v>
      </c>
      <c r="D21" s="191">
        <v>301690.73</v>
      </c>
      <c r="E21" s="191">
        <v>301690.73</v>
      </c>
      <c r="F21" s="191">
        <v>301690.73</v>
      </c>
      <c r="G21" s="191">
        <v>301690.73</v>
      </c>
      <c r="H21" s="191">
        <v>301690.73</v>
      </c>
      <c r="I21" s="191">
        <v>301690.73</v>
      </c>
      <c r="J21" s="191">
        <v>301690.73</v>
      </c>
      <c r="K21" s="191">
        <v>301690.73</v>
      </c>
      <c r="L21" s="191">
        <v>301690.73</v>
      </c>
      <c r="M21" s="191">
        <v>301690.73</v>
      </c>
      <c r="N21" s="191">
        <v>301690.73</v>
      </c>
      <c r="O21" s="191">
        <v>301690.73</v>
      </c>
      <c r="P21" s="520">
        <f t="shared" si="5"/>
        <v>301690.73</v>
      </c>
    </row>
    <row r="22" spans="1:17" s="83" customFormat="1" ht="14.4" customHeight="1">
      <c r="A22" s="1545">
        <f>A21+0.1</f>
        <v>4.3999999999999986</v>
      </c>
      <c r="B22" s="1565" t="s">
        <v>1601</v>
      </c>
      <c r="C22" s="191">
        <v>3099741.87</v>
      </c>
      <c r="D22" s="191">
        <v>3099741.87</v>
      </c>
      <c r="E22" s="191">
        <v>3099741.87</v>
      </c>
      <c r="F22" s="191">
        <v>3099741.87</v>
      </c>
      <c r="G22" s="191">
        <v>3099741.87</v>
      </c>
      <c r="H22" s="191">
        <v>3099741.87</v>
      </c>
      <c r="I22" s="191">
        <v>3099741.87</v>
      </c>
      <c r="J22" s="191">
        <v>3099741.87</v>
      </c>
      <c r="K22" s="191">
        <v>3099741.87</v>
      </c>
      <c r="L22" s="191">
        <v>3099741.87</v>
      </c>
      <c r="M22" s="191">
        <v>3099741.87</v>
      </c>
      <c r="N22" s="191">
        <v>3099741.87</v>
      </c>
      <c r="O22" s="191">
        <v>3099741.87</v>
      </c>
      <c r="P22" s="520">
        <f t="shared" ref="P22" si="6">+SUM(C22:O22)/13</f>
        <v>3099741.87</v>
      </c>
      <c r="Q22" s="1535" t="s">
        <v>1302</v>
      </c>
    </row>
    <row r="23" spans="1:17" ht="13.95" customHeight="1">
      <c r="A23" s="1330">
        <f>A22+0.1</f>
        <v>4.4999999999999982</v>
      </c>
      <c r="B23" s="1271" t="s">
        <v>936</v>
      </c>
      <c r="C23" s="1329">
        <v>0</v>
      </c>
      <c r="D23" s="1329">
        <v>0</v>
      </c>
      <c r="E23" s="1329">
        <v>0</v>
      </c>
      <c r="F23" s="1329">
        <v>0</v>
      </c>
      <c r="G23" s="1329">
        <v>0</v>
      </c>
      <c r="H23" s="1329">
        <v>0</v>
      </c>
      <c r="I23" s="1329">
        <v>0</v>
      </c>
      <c r="J23" s="1329">
        <v>0</v>
      </c>
      <c r="K23" s="1329">
        <v>0</v>
      </c>
      <c r="L23" s="1329">
        <v>0</v>
      </c>
      <c r="M23" s="1329">
        <v>0</v>
      </c>
      <c r="N23" s="1329">
        <v>0</v>
      </c>
      <c r="O23" s="1329">
        <v>0</v>
      </c>
      <c r="P23" s="249">
        <f t="shared" si="5"/>
        <v>0</v>
      </c>
    </row>
    <row r="24" spans="1:17" ht="13.95" customHeight="1">
      <c r="A24" s="1328" t="s">
        <v>927</v>
      </c>
      <c r="B24" s="1271" t="s">
        <v>936</v>
      </c>
      <c r="C24" s="1329">
        <v>0</v>
      </c>
      <c r="D24" s="1329">
        <v>0</v>
      </c>
      <c r="E24" s="1329">
        <v>0</v>
      </c>
      <c r="F24" s="1329">
        <v>0</v>
      </c>
      <c r="G24" s="1329">
        <v>0</v>
      </c>
      <c r="H24" s="1329">
        <v>0</v>
      </c>
      <c r="I24" s="1329">
        <v>0</v>
      </c>
      <c r="J24" s="1329">
        <v>0</v>
      </c>
      <c r="K24" s="1329">
        <v>0</v>
      </c>
      <c r="L24" s="1329">
        <v>0</v>
      </c>
      <c r="M24" s="1329">
        <v>0</v>
      </c>
      <c r="N24" s="1329">
        <v>0</v>
      </c>
      <c r="O24" s="1329">
        <v>0</v>
      </c>
      <c r="P24" s="249">
        <f t="shared" si="5"/>
        <v>0</v>
      </c>
    </row>
    <row r="25" spans="1:17" ht="13.95" customHeight="1">
      <c r="A25" s="1330" t="s">
        <v>928</v>
      </c>
      <c r="B25" s="1271" t="s">
        <v>936</v>
      </c>
      <c r="C25" s="257">
        <v>0</v>
      </c>
      <c r="D25" s="257">
        <v>0</v>
      </c>
      <c r="E25" s="257">
        <v>0</v>
      </c>
      <c r="F25" s="257">
        <v>0</v>
      </c>
      <c r="G25" s="257">
        <v>0</v>
      </c>
      <c r="H25" s="257">
        <v>0</v>
      </c>
      <c r="I25" s="257">
        <v>0</v>
      </c>
      <c r="J25" s="257">
        <v>0</v>
      </c>
      <c r="K25" s="257">
        <v>0</v>
      </c>
      <c r="L25" s="257">
        <v>0</v>
      </c>
      <c r="M25" s="257">
        <v>0</v>
      </c>
      <c r="N25" s="257">
        <v>0</v>
      </c>
      <c r="O25" s="257">
        <v>0</v>
      </c>
      <c r="P25" s="559">
        <f t="shared" si="5"/>
        <v>0</v>
      </c>
    </row>
    <row r="26" spans="1:17" s="41" customFormat="1" ht="13.95" customHeight="1">
      <c r="A26" s="923">
        <f>+A18+1</f>
        <v>5</v>
      </c>
      <c r="B26" s="566" t="str">
        <f>+"Total - Transm Substation (Sum of Line "&amp;A18&amp;" Subparts)"</f>
        <v>Total - Transm Substation (Sum of Line 4 Subparts)</v>
      </c>
      <c r="C26" s="77">
        <f t="shared" ref="C26:O26" si="7">SUM(C19:C25)</f>
        <v>9376716.3900000006</v>
      </c>
      <c r="D26" s="77">
        <f t="shared" si="7"/>
        <v>9376716.3900000006</v>
      </c>
      <c r="E26" s="77">
        <f t="shared" si="7"/>
        <v>9376716.3900000006</v>
      </c>
      <c r="F26" s="77">
        <f t="shared" si="7"/>
        <v>9376716.3900000006</v>
      </c>
      <c r="G26" s="77">
        <f t="shared" si="7"/>
        <v>9376716.3900000006</v>
      </c>
      <c r="H26" s="77">
        <f t="shared" si="7"/>
        <v>9376716.3900000006</v>
      </c>
      <c r="I26" s="77">
        <f t="shared" si="7"/>
        <v>9376716.3900000006</v>
      </c>
      <c r="J26" s="77">
        <f t="shared" si="7"/>
        <v>9376716.3900000006</v>
      </c>
      <c r="K26" s="77">
        <f t="shared" si="7"/>
        <v>9376716.3900000006</v>
      </c>
      <c r="L26" s="77">
        <f t="shared" si="7"/>
        <v>9376716.3900000006</v>
      </c>
      <c r="M26" s="77">
        <f t="shared" si="7"/>
        <v>9376716.3900000006</v>
      </c>
      <c r="N26" s="77">
        <f t="shared" si="7"/>
        <v>9375806.9100000001</v>
      </c>
      <c r="O26" s="77">
        <f t="shared" si="7"/>
        <v>9375806.9100000001</v>
      </c>
      <c r="P26" s="77">
        <f>+SUM(C26:O26)/13</f>
        <v>9376576.4700000007</v>
      </c>
    </row>
    <row r="27" spans="1:17" s="41" customFormat="1" ht="13.95" customHeight="1">
      <c r="A27" s="923">
        <f>+A26+1</f>
        <v>6</v>
      </c>
      <c r="B27" s="566"/>
      <c r="C27" s="77"/>
      <c r="D27" s="77"/>
      <c r="E27" s="77"/>
      <c r="F27" s="77"/>
      <c r="G27" s="77"/>
      <c r="H27" s="77"/>
      <c r="I27" s="77"/>
      <c r="J27" s="77"/>
      <c r="K27" s="77"/>
      <c r="L27" s="77"/>
      <c r="M27" s="77"/>
      <c r="N27" s="77"/>
      <c r="O27" s="77"/>
      <c r="P27" s="77"/>
    </row>
    <row r="28" spans="1:17" ht="13.95" customHeight="1" thickBot="1">
      <c r="A28" s="923">
        <f>+A27+1</f>
        <v>7</v>
      </c>
      <c r="B28" s="202" t="s">
        <v>517</v>
      </c>
      <c r="C28" s="693">
        <f t="shared" ref="C28:P28" si="8">+C16+C26</f>
        <v>23074722.210000001</v>
      </c>
      <c r="D28" s="693">
        <f t="shared" si="8"/>
        <v>23074722.210000001</v>
      </c>
      <c r="E28" s="693">
        <f t="shared" si="8"/>
        <v>23074722.210000001</v>
      </c>
      <c r="F28" s="693">
        <f t="shared" si="8"/>
        <v>23074722.210000001</v>
      </c>
      <c r="G28" s="693">
        <f t="shared" si="8"/>
        <v>23074722.210000001</v>
      </c>
      <c r="H28" s="693">
        <f t="shared" si="8"/>
        <v>23074722.210000001</v>
      </c>
      <c r="I28" s="693">
        <f t="shared" si="8"/>
        <v>23074722.210000001</v>
      </c>
      <c r="J28" s="693">
        <f t="shared" si="8"/>
        <v>23074722.210000001</v>
      </c>
      <c r="K28" s="693">
        <f t="shared" si="8"/>
        <v>23074722.210000001</v>
      </c>
      <c r="L28" s="693">
        <f t="shared" si="8"/>
        <v>23074722.210000001</v>
      </c>
      <c r="M28" s="693">
        <f t="shared" si="8"/>
        <v>23074722.210000001</v>
      </c>
      <c r="N28" s="693">
        <f t="shared" si="8"/>
        <v>23073812.73</v>
      </c>
      <c r="O28" s="693">
        <f t="shared" si="8"/>
        <v>23073812.73</v>
      </c>
      <c r="P28" s="693">
        <f t="shared" si="8"/>
        <v>23074582.289999999</v>
      </c>
    </row>
    <row r="29" spans="1:17" ht="13.95" customHeight="1" thickTop="1">
      <c r="A29" s="923"/>
      <c r="B29" s="566" t="str">
        <f>+"Sum of Lines "&amp;A16&amp;" + "&amp;A26</f>
        <v>Sum of Lines 2 + 5</v>
      </c>
      <c r="C29" s="249"/>
      <c r="D29" s="249"/>
    </row>
    <row r="30" spans="1:17" ht="13.95" customHeight="1">
      <c r="A30" s="923"/>
      <c r="B30" s="566"/>
      <c r="C30" s="249"/>
      <c r="D30" s="249"/>
    </row>
    <row r="31" spans="1:17" ht="13.95" customHeight="1">
      <c r="A31" s="43" t="s">
        <v>298</v>
      </c>
    </row>
    <row r="32" spans="1:17" ht="13.95" customHeight="1">
      <c r="A32" s="766" t="s">
        <v>167</v>
      </c>
      <c r="B32" s="2025" t="str">
        <f>+"Reference Appendix A Note "&amp;'Appendix A'!A318</f>
        <v>Reference Appendix A Note M</v>
      </c>
      <c r="C32" s="2025"/>
      <c r="D32" s="2025"/>
      <c r="E32" s="2025"/>
      <c r="F32" s="2025"/>
      <c r="G32" s="2025"/>
      <c r="H32" s="2025"/>
      <c r="I32" s="2025"/>
      <c r="J32" s="2025"/>
      <c r="K32" s="2025"/>
      <c r="L32" s="2025"/>
      <c r="M32" s="2025"/>
      <c r="N32" s="2025"/>
      <c r="O32" s="2025"/>
      <c r="P32" s="2025"/>
    </row>
    <row r="33" ht="13.95" customHeight="1"/>
  </sheetData>
  <mergeCells count="4">
    <mergeCell ref="A3:P3"/>
    <mergeCell ref="B32:P32"/>
    <mergeCell ref="A1:P1"/>
    <mergeCell ref="A2:P2"/>
  </mergeCells>
  <pageMargins left="0.5" right="0.5" top="0.5" bottom="0.5" header="0.3" footer="0.5"/>
  <pageSetup scale="59" fitToHeight="0" orientation="landscape" r:id="rId1"/>
  <headerFooter>
    <oddFooter>&amp;R&amp;A</oddFooter>
  </headerFooter>
  <ignoredErrors>
    <ignoredError sqref="A32"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89"/>
  <sheetViews>
    <sheetView zoomScaleNormal="100" zoomScaleSheetLayoutView="90" workbookViewId="0">
      <selection activeCell="A21" sqref="A21"/>
    </sheetView>
  </sheetViews>
  <sheetFormatPr defaultColWidth="9.109375" defaultRowHeight="13.2"/>
  <cols>
    <col min="1" max="1" width="5.44140625" style="174" customWidth="1"/>
    <col min="2" max="2" width="51.44140625" style="173" customWidth="1"/>
    <col min="3" max="3" width="12.44140625" style="173" bestFit="1" customWidth="1"/>
    <col min="4" max="4" width="12.6640625" style="173" customWidth="1"/>
    <col min="5" max="5" width="15.33203125" style="173" bestFit="1" customWidth="1"/>
    <col min="6" max="6" width="11.88671875" style="173" customWidth="1"/>
    <col min="7" max="7" width="11.44140625" style="173" customWidth="1"/>
    <col min="8" max="8" width="11.44140625" style="173" bestFit="1" customWidth="1"/>
    <col min="9" max="9" width="9.88671875" style="173" customWidth="1"/>
    <col min="10" max="10" width="9.109375" style="173"/>
    <col min="11" max="11" width="7.5546875" style="173" customWidth="1"/>
    <col min="12" max="12" width="34" style="173" customWidth="1"/>
    <col min="13" max="13" width="16.109375" style="173" customWidth="1"/>
    <col min="14" max="14" width="9.109375" style="173"/>
    <col min="15" max="15" width="9.109375" style="42"/>
    <col min="16" max="16384" width="9.109375" style="173"/>
  </cols>
  <sheetData>
    <row r="1" spans="1:15">
      <c r="A1" s="1983" t="str">
        <f>+'MISO Cover'!C6</f>
        <v>Entergy Louisiana, LLC</v>
      </c>
      <c r="B1" s="1983"/>
      <c r="C1" s="1983"/>
      <c r="D1" s="1983"/>
      <c r="E1" s="1983"/>
      <c r="F1" s="1983"/>
      <c r="G1" s="1983"/>
      <c r="H1" s="1983"/>
      <c r="I1" s="1983"/>
      <c r="O1" s="173"/>
    </row>
    <row r="2" spans="1:15">
      <c r="A2" s="1983" t="s">
        <v>672</v>
      </c>
      <c r="B2" s="1983"/>
      <c r="C2" s="1983"/>
      <c r="D2" s="1983"/>
      <c r="E2" s="1983"/>
      <c r="F2" s="1983"/>
      <c r="G2" s="1983"/>
      <c r="H2" s="1983"/>
      <c r="I2" s="1983"/>
      <c r="O2" s="173"/>
    </row>
    <row r="3" spans="1:15">
      <c r="A3" s="2030" t="str">
        <f>+'MISO Cover'!K4</f>
        <v>For  the 12 Months Ended 12/31/2016</v>
      </c>
      <c r="B3" s="2030"/>
      <c r="C3" s="2030"/>
      <c r="D3" s="2030"/>
      <c r="E3" s="2030"/>
      <c r="F3" s="2030"/>
      <c r="G3" s="2030"/>
      <c r="H3" s="2030"/>
      <c r="I3" s="2030"/>
      <c r="K3" s="790"/>
      <c r="O3" s="173"/>
    </row>
    <row r="4" spans="1:15">
      <c r="B4" s="791"/>
      <c r="C4" s="751"/>
      <c r="D4" s="751"/>
      <c r="E4" s="751"/>
      <c r="F4" s="751"/>
      <c r="G4" s="751"/>
      <c r="H4" s="751"/>
      <c r="I4" s="751"/>
      <c r="O4" s="173"/>
    </row>
    <row r="5" spans="1:15" s="278" customFormat="1">
      <c r="A5" s="709" t="s">
        <v>279</v>
      </c>
      <c r="B5" s="1453" t="s">
        <v>67</v>
      </c>
      <c r="C5" s="1453" t="s">
        <v>1089</v>
      </c>
      <c r="D5" s="1453" t="s">
        <v>55</v>
      </c>
      <c r="E5" s="1453" t="s">
        <v>68</v>
      </c>
      <c r="F5" s="1453" t="s">
        <v>66</v>
      </c>
      <c r="G5" s="1453" t="s">
        <v>1090</v>
      </c>
      <c r="H5" s="1453" t="s">
        <v>69</v>
      </c>
      <c r="I5" s="1453" t="s">
        <v>166</v>
      </c>
    </row>
    <row r="6" spans="1:15" s="42" customFormat="1">
      <c r="A6" s="708"/>
      <c r="B6" s="543"/>
      <c r="C6" s="544"/>
      <c r="D6" s="544"/>
      <c r="E6" s="544"/>
      <c r="F6" s="544"/>
      <c r="G6" s="544"/>
      <c r="H6" s="544"/>
      <c r="I6" s="543"/>
    </row>
    <row r="7" spans="1:15">
      <c r="A7" s="202">
        <v>1</v>
      </c>
      <c r="B7" s="548" t="s">
        <v>462</v>
      </c>
      <c r="C7" s="549" t="s">
        <v>463</v>
      </c>
      <c r="D7" s="625" t="s">
        <v>135</v>
      </c>
      <c r="E7" s="628"/>
      <c r="F7" s="628" t="s">
        <v>169</v>
      </c>
      <c r="G7" s="629" t="s">
        <v>153</v>
      </c>
      <c r="H7" s="552" t="s">
        <v>20</v>
      </c>
      <c r="I7" s="549" t="s">
        <v>168</v>
      </c>
      <c r="O7" s="173"/>
    </row>
    <row r="8" spans="1:15">
      <c r="A8" s="202">
        <f>+A7+0.1</f>
        <v>1.1000000000000001</v>
      </c>
      <c r="B8" s="545" t="s">
        <v>460</v>
      </c>
      <c r="C8" s="197">
        <f>SUM(D8:G8)</f>
        <v>4825636.75</v>
      </c>
      <c r="D8" s="626">
        <v>976405.76</v>
      </c>
      <c r="E8" s="511"/>
      <c r="F8" s="275">
        <v>235219.45999999996</v>
      </c>
      <c r="G8" s="894">
        <f>+H8+I8</f>
        <v>3614011.53</v>
      </c>
      <c r="H8" s="550">
        <v>3348989.4499999997</v>
      </c>
      <c r="I8" s="275">
        <v>265022.08000000002</v>
      </c>
      <c r="O8" s="173"/>
    </row>
    <row r="9" spans="1:15" s="278" customFormat="1" ht="15">
      <c r="A9" s="202">
        <f>+A8+0.1</f>
        <v>1.2000000000000002</v>
      </c>
      <c r="B9" s="546" t="s">
        <v>461</v>
      </c>
      <c r="C9" s="225">
        <f>SUM(D9:G9)</f>
        <v>9717872.8299999982</v>
      </c>
      <c r="D9" s="627"/>
      <c r="E9" s="547"/>
      <c r="F9" s="547"/>
      <c r="G9" s="1457">
        <f>+H9+I9</f>
        <v>9717872.8299999982</v>
      </c>
      <c r="H9" s="551">
        <v>9717872.8299999982</v>
      </c>
      <c r="I9" s="547"/>
    </row>
    <row r="10" spans="1:15" s="278" customFormat="1">
      <c r="A10" s="202">
        <f>+A7+1</f>
        <v>2</v>
      </c>
      <c r="B10" s="542" t="s">
        <v>564</v>
      </c>
      <c r="C10" s="1188">
        <f>SUM(C8:C9)</f>
        <v>14543509.579999998</v>
      </c>
      <c r="D10" s="1189">
        <f>SUM(D8:D9)</f>
        <v>976405.76</v>
      </c>
      <c r="E10" s="1188"/>
      <c r="F10" s="1188">
        <f>SUM(F8:F9)</f>
        <v>235219.45999999996</v>
      </c>
      <c r="G10" s="1188">
        <f>+G8+G9</f>
        <v>13331884.359999998</v>
      </c>
      <c r="H10" s="1190">
        <f>SUM(H8:H9)</f>
        <v>13066862.279999997</v>
      </c>
      <c r="I10" s="1188">
        <f>SUM(I8:I9)</f>
        <v>265022.08000000002</v>
      </c>
    </row>
    <row r="11" spans="1:15" s="278" customFormat="1">
      <c r="A11" s="202">
        <f>1+A10</f>
        <v>3</v>
      </c>
      <c r="B11" s="542"/>
      <c r="C11" s="541"/>
      <c r="D11" s="541"/>
      <c r="E11" s="541"/>
      <c r="F11" s="541"/>
      <c r="G11" s="541"/>
      <c r="H11" s="541"/>
      <c r="I11" s="541"/>
    </row>
    <row r="12" spans="1:15" s="278" customFormat="1">
      <c r="A12" s="1176">
        <f>1+A11</f>
        <v>4</v>
      </c>
      <c r="B12" s="1191"/>
      <c r="C12" s="494"/>
      <c r="D12" s="2029" t="s">
        <v>812</v>
      </c>
      <c r="E12" s="2029"/>
      <c r="F12" s="2029"/>
      <c r="G12" s="2029"/>
    </row>
    <row r="13" spans="1:15" s="1135" customFormat="1">
      <c r="A13" s="1176">
        <f t="shared" ref="A13:A14" si="0">1+A12</f>
        <v>5</v>
      </c>
      <c r="B13" s="1191"/>
      <c r="C13" s="494"/>
      <c r="D13" s="2027" t="s">
        <v>135</v>
      </c>
      <c r="E13" s="2027"/>
      <c r="F13" s="1192"/>
      <c r="G13" s="1192"/>
    </row>
    <row r="14" spans="1:15" s="786" customFormat="1">
      <c r="A14" s="1176">
        <f t="shared" si="0"/>
        <v>6</v>
      </c>
      <c r="B14" s="1193" t="s">
        <v>464</v>
      </c>
      <c r="C14" s="593"/>
      <c r="D14" s="595" t="s">
        <v>550</v>
      </c>
      <c r="E14" s="1194" t="s">
        <v>773</v>
      </c>
      <c r="F14" s="1195" t="s">
        <v>142</v>
      </c>
      <c r="G14" s="596" t="s">
        <v>153</v>
      </c>
      <c r="H14" s="1136"/>
      <c r="I14" s="1136"/>
      <c r="J14" s="1135"/>
      <c r="K14" s="1135"/>
      <c r="L14" s="1135"/>
    </row>
    <row r="15" spans="1:15" ht="15.75" customHeight="1">
      <c r="A15" s="866">
        <f>+A14+0.01</f>
        <v>6.01</v>
      </c>
      <c r="B15" s="1571" t="s">
        <v>1602</v>
      </c>
      <c r="C15" s="275">
        <v>364481.37</v>
      </c>
      <c r="D15" s="597"/>
      <c r="E15" s="511"/>
      <c r="F15" s="511"/>
      <c r="G15" s="598">
        <f t="shared" ref="G15:G24" si="1">+C15</f>
        <v>364481.37</v>
      </c>
      <c r="H15" s="594"/>
      <c r="I15" s="594"/>
      <c r="K15" s="42"/>
      <c r="L15" s="42"/>
      <c r="M15" s="42"/>
      <c r="N15" s="42"/>
    </row>
    <row r="16" spans="1:15" s="786" customFormat="1" ht="15.75" customHeight="1">
      <c r="A16" s="866">
        <f t="shared" ref="A16:A60" si="2">+A15+0.01</f>
        <v>6.02</v>
      </c>
      <c r="B16" s="1571" t="s">
        <v>1603</v>
      </c>
      <c r="C16" s="275">
        <v>0</v>
      </c>
      <c r="D16" s="597"/>
      <c r="E16" s="511"/>
      <c r="F16" s="511"/>
      <c r="G16" s="598">
        <f t="shared" si="1"/>
        <v>0</v>
      </c>
    </row>
    <row r="17" spans="1:16" ht="15.75" customHeight="1">
      <c r="A17" s="866">
        <f t="shared" si="2"/>
        <v>6.0299999999999994</v>
      </c>
      <c r="B17" s="1571" t="s">
        <v>1604</v>
      </c>
      <c r="C17" s="275">
        <v>0</v>
      </c>
      <c r="D17" s="597"/>
      <c r="E17" s="511"/>
      <c r="F17" s="511"/>
      <c r="G17" s="598">
        <f t="shared" si="1"/>
        <v>0</v>
      </c>
      <c r="J17" s="787"/>
      <c r="K17" s="517"/>
      <c r="L17" s="517"/>
      <c r="M17" s="517"/>
      <c r="N17" s="517"/>
      <c r="O17" s="517"/>
      <c r="P17" s="787"/>
    </row>
    <row r="18" spans="1:16" s="786" customFormat="1" ht="15.75" customHeight="1">
      <c r="A18" s="866">
        <f t="shared" si="2"/>
        <v>6.0399999999999991</v>
      </c>
      <c r="B18" s="1571" t="s">
        <v>1605</v>
      </c>
      <c r="C18" s="275">
        <v>1522157.6800000002</v>
      </c>
      <c r="D18" s="597"/>
      <c r="E18" s="511"/>
      <c r="F18" s="511"/>
      <c r="G18" s="598">
        <f t="shared" si="1"/>
        <v>1522157.6800000002</v>
      </c>
    </row>
    <row r="19" spans="1:16" s="786" customFormat="1" ht="15.75" customHeight="1">
      <c r="A19" s="866">
        <f t="shared" si="2"/>
        <v>6.0499999999999989</v>
      </c>
      <c r="B19" s="1571" t="s">
        <v>1606</v>
      </c>
      <c r="C19" s="275">
        <v>2199264</v>
      </c>
      <c r="D19" s="597"/>
      <c r="E19" s="511"/>
      <c r="F19" s="511"/>
      <c r="G19" s="598">
        <f>+C19</f>
        <v>2199264</v>
      </c>
    </row>
    <row r="20" spans="1:16" s="786" customFormat="1" ht="15.75" customHeight="1">
      <c r="A20" s="866">
        <f t="shared" si="2"/>
        <v>6.0599999999999987</v>
      </c>
      <c r="B20" s="1571" t="s">
        <v>1607</v>
      </c>
      <c r="C20" s="275">
        <v>96430.000000000029</v>
      </c>
      <c r="D20" s="597"/>
      <c r="E20" s="511"/>
      <c r="F20" s="511"/>
      <c r="G20" s="598">
        <f>+C20</f>
        <v>96430.000000000029</v>
      </c>
    </row>
    <row r="21" spans="1:16" s="786" customFormat="1" ht="15.75" customHeight="1">
      <c r="A21" s="866">
        <f t="shared" si="2"/>
        <v>6.0699999999999985</v>
      </c>
      <c r="B21" s="1571" t="s">
        <v>1984</v>
      </c>
      <c r="C21" s="275">
        <v>168.91000000000003</v>
      </c>
      <c r="D21" s="597"/>
      <c r="E21" s="511"/>
      <c r="F21" s="511"/>
      <c r="G21" s="598">
        <f>+C21</f>
        <v>168.91000000000003</v>
      </c>
    </row>
    <row r="22" spans="1:16" s="786" customFormat="1" ht="15.75" customHeight="1">
      <c r="A22" s="866">
        <f t="shared" si="2"/>
        <v>6.0799999999999983</v>
      </c>
      <c r="B22" s="1571" t="s">
        <v>1608</v>
      </c>
      <c r="C22" s="275">
        <v>4621431.09</v>
      </c>
      <c r="D22" s="597"/>
      <c r="E22" s="511"/>
      <c r="F22" s="511"/>
      <c r="G22" s="598">
        <f t="shared" si="1"/>
        <v>4621431.09</v>
      </c>
    </row>
    <row r="23" spans="1:16" ht="15.75" customHeight="1">
      <c r="A23" s="866">
        <f t="shared" si="2"/>
        <v>6.0899999999999981</v>
      </c>
      <c r="B23" s="1571" t="s">
        <v>1609</v>
      </c>
      <c r="C23" s="275">
        <v>94454</v>
      </c>
      <c r="D23" s="597"/>
      <c r="E23" s="511"/>
      <c r="F23" s="511"/>
      <c r="G23" s="598">
        <f t="shared" si="1"/>
        <v>94454</v>
      </c>
      <c r="H23" s="175"/>
      <c r="I23" s="786"/>
      <c r="J23" s="786"/>
      <c r="K23" s="42"/>
      <c r="L23" s="42"/>
      <c r="M23" s="42"/>
      <c r="N23" s="42"/>
    </row>
    <row r="24" spans="1:16" ht="15.75" customHeight="1">
      <c r="A24" s="866">
        <f t="shared" si="2"/>
        <v>6.0999999999999979</v>
      </c>
      <c r="B24" s="1571" t="s">
        <v>1610</v>
      </c>
      <c r="C24" s="275">
        <v>0</v>
      </c>
      <c r="D24" s="597"/>
      <c r="E24" s="511"/>
      <c r="F24" s="511"/>
      <c r="G24" s="598">
        <f t="shared" si="1"/>
        <v>0</v>
      </c>
      <c r="H24" s="786"/>
      <c r="I24" s="786"/>
      <c r="J24" s="786"/>
      <c r="K24" s="42"/>
      <c r="L24" s="42"/>
      <c r="M24" s="42"/>
      <c r="N24" s="42"/>
    </row>
    <row r="25" spans="1:16" ht="15.75" customHeight="1">
      <c r="A25" s="866">
        <f t="shared" si="2"/>
        <v>6.1099999999999977</v>
      </c>
      <c r="B25" s="1571" t="s">
        <v>1611</v>
      </c>
      <c r="C25" s="275">
        <v>0</v>
      </c>
      <c r="D25" s="597"/>
      <c r="E25" s="511">
        <f>+C25</f>
        <v>0</v>
      </c>
      <c r="F25" s="511"/>
      <c r="G25" s="598"/>
      <c r="H25" s="788"/>
      <c r="K25" s="42"/>
      <c r="L25" s="42"/>
      <c r="M25" s="42"/>
      <c r="N25" s="42"/>
    </row>
    <row r="26" spans="1:16" ht="15.75" customHeight="1">
      <c r="A26" s="866">
        <f t="shared" si="2"/>
        <v>6.1199999999999974</v>
      </c>
      <c r="B26" s="1571" t="s">
        <v>1612</v>
      </c>
      <c r="C26" s="275">
        <v>0</v>
      </c>
      <c r="D26" s="1196">
        <f>+C26</f>
        <v>0</v>
      </c>
      <c r="E26" s="199"/>
      <c r="F26" s="199"/>
      <c r="G26" s="598"/>
      <c r="K26" s="42"/>
      <c r="L26" s="42"/>
      <c r="M26" s="42"/>
      <c r="N26" s="42"/>
    </row>
    <row r="27" spans="1:16" ht="15.75" customHeight="1">
      <c r="A27" s="866">
        <f t="shared" si="2"/>
        <v>6.1299999999999972</v>
      </c>
      <c r="B27" s="1571" t="s">
        <v>1613</v>
      </c>
      <c r="C27" s="275">
        <v>11302485.040000001</v>
      </c>
      <c r="D27" s="1196"/>
      <c r="E27" s="199">
        <f>+C27</f>
        <v>11302485.040000001</v>
      </c>
      <c r="F27" s="199"/>
      <c r="G27" s="598"/>
      <c r="J27" s="173" t="s">
        <v>1986</v>
      </c>
      <c r="K27" s="42"/>
      <c r="L27" s="42"/>
      <c r="M27" s="42"/>
      <c r="N27" s="42"/>
    </row>
    <row r="28" spans="1:16" s="786" customFormat="1" ht="15.75" customHeight="1">
      <c r="A28" s="866">
        <f t="shared" si="2"/>
        <v>6.139999999999997</v>
      </c>
      <c r="B28" s="1571" t="s">
        <v>1614</v>
      </c>
      <c r="C28" s="275">
        <v>0</v>
      </c>
      <c r="D28" s="597"/>
      <c r="E28" s="511"/>
      <c r="F28" s="511"/>
      <c r="G28" s="598">
        <f>+C28</f>
        <v>0</v>
      </c>
      <c r="H28" s="173"/>
      <c r="I28" s="173"/>
      <c r="J28" s="173"/>
    </row>
    <row r="29" spans="1:16" ht="15.75" customHeight="1">
      <c r="A29" s="866">
        <f t="shared" si="2"/>
        <v>6.1499999999999968</v>
      </c>
      <c r="B29" s="1571" t="s">
        <v>1615</v>
      </c>
      <c r="C29" s="275">
        <v>0</v>
      </c>
      <c r="D29" s="597"/>
      <c r="E29" s="511"/>
      <c r="F29" s="511"/>
      <c r="G29" s="598">
        <f>+C29</f>
        <v>0</v>
      </c>
      <c r="K29" s="42"/>
      <c r="L29" s="42"/>
      <c r="M29" s="42"/>
      <c r="N29" s="42"/>
    </row>
    <row r="30" spans="1:16" ht="15.75" customHeight="1">
      <c r="A30" s="866">
        <f t="shared" si="2"/>
        <v>6.1599999999999966</v>
      </c>
      <c r="B30" s="1571" t="s">
        <v>1616</v>
      </c>
      <c r="C30" s="275">
        <v>0</v>
      </c>
      <c r="D30" s="597"/>
      <c r="E30" s="511"/>
      <c r="F30" s="511"/>
      <c r="G30" s="598">
        <f>+C30</f>
        <v>0</v>
      </c>
      <c r="H30" s="786"/>
      <c r="I30" s="786"/>
      <c r="J30" s="786"/>
      <c r="K30" s="42"/>
      <c r="L30" s="42"/>
      <c r="M30" s="42"/>
      <c r="N30" s="42"/>
    </row>
    <row r="31" spans="1:16" ht="15.75" customHeight="1">
      <c r="A31" s="866">
        <f t="shared" si="2"/>
        <v>6.1699999999999964</v>
      </c>
      <c r="B31" s="1571" t="s">
        <v>1617</v>
      </c>
      <c r="C31" s="275">
        <v>0</v>
      </c>
      <c r="D31" s="597">
        <f>+C31</f>
        <v>0</v>
      </c>
      <c r="E31" s="511"/>
      <c r="F31" s="199"/>
      <c r="G31" s="1197"/>
      <c r="K31" s="42"/>
      <c r="L31" s="42"/>
      <c r="M31" s="42"/>
      <c r="N31" s="42"/>
    </row>
    <row r="32" spans="1:16" ht="15.75" customHeight="1">
      <c r="A32" s="866">
        <f t="shared" si="2"/>
        <v>6.1799999999999962</v>
      </c>
      <c r="B32" s="1571" t="s">
        <v>1618</v>
      </c>
      <c r="C32" s="275">
        <v>0</v>
      </c>
      <c r="D32" s="597">
        <f>+C32</f>
        <v>0</v>
      </c>
      <c r="E32" s="511"/>
      <c r="F32" s="199"/>
      <c r="G32" s="1198"/>
      <c r="K32" s="42"/>
      <c r="L32" s="42"/>
      <c r="M32" s="42"/>
      <c r="N32" s="42"/>
    </row>
    <row r="33" spans="1:14" ht="15.75" customHeight="1">
      <c r="A33" s="866">
        <f t="shared" si="2"/>
        <v>6.1899999999999959</v>
      </c>
      <c r="B33" s="1571" t="s">
        <v>1619</v>
      </c>
      <c r="C33" s="275">
        <v>0</v>
      </c>
      <c r="D33" s="1196"/>
      <c r="E33" s="199">
        <f>+C33</f>
        <v>0</v>
      </c>
      <c r="F33" s="199"/>
      <c r="G33" s="598"/>
      <c r="K33" s="42"/>
      <c r="L33" s="42"/>
      <c r="M33" s="42"/>
      <c r="N33" s="42"/>
    </row>
    <row r="34" spans="1:14" ht="15.75" customHeight="1">
      <c r="A34" s="866">
        <f t="shared" si="2"/>
        <v>6.1999999999999957</v>
      </c>
      <c r="B34" s="1571" t="s">
        <v>1620</v>
      </c>
      <c r="C34" s="275">
        <v>0</v>
      </c>
      <c r="D34" s="597"/>
      <c r="E34" s="511"/>
      <c r="F34" s="511"/>
      <c r="G34" s="598">
        <f>+C34</f>
        <v>0</v>
      </c>
      <c r="K34" s="42"/>
      <c r="L34" s="42"/>
      <c r="M34" s="42"/>
      <c r="N34" s="42"/>
    </row>
    <row r="35" spans="1:14" ht="15.75" customHeight="1">
      <c r="A35" s="866">
        <f t="shared" si="2"/>
        <v>6.2099999999999955</v>
      </c>
      <c r="B35" s="1571" t="s">
        <v>1621</v>
      </c>
      <c r="C35" s="275">
        <v>0</v>
      </c>
      <c r="D35" s="597"/>
      <c r="E35" s="511"/>
      <c r="F35" s="511"/>
      <c r="G35" s="598">
        <f>+C35</f>
        <v>0</v>
      </c>
      <c r="K35" s="42"/>
      <c r="L35" s="42"/>
      <c r="M35" s="42"/>
      <c r="N35" s="42"/>
    </row>
    <row r="36" spans="1:14" ht="15.75" customHeight="1">
      <c r="A36" s="866">
        <f t="shared" si="2"/>
        <v>6.2199999999999953</v>
      </c>
      <c r="B36" s="1571" t="s">
        <v>1622</v>
      </c>
      <c r="C36" s="275">
        <v>0</v>
      </c>
      <c r="D36" s="597"/>
      <c r="E36" s="511"/>
      <c r="F36" s="511"/>
      <c r="G36" s="598">
        <f>+C36</f>
        <v>0</v>
      </c>
      <c r="K36" s="42"/>
      <c r="L36" s="42"/>
      <c r="M36" s="42"/>
      <c r="N36" s="42"/>
    </row>
    <row r="37" spans="1:14" ht="15.75" customHeight="1">
      <c r="A37" s="866">
        <f t="shared" si="2"/>
        <v>6.2299999999999951</v>
      </c>
      <c r="B37" s="1571" t="s">
        <v>1623</v>
      </c>
      <c r="C37" s="275">
        <v>0</v>
      </c>
      <c r="D37" s="597"/>
      <c r="E37" s="511"/>
      <c r="F37" s="511">
        <f>+C37</f>
        <v>0</v>
      </c>
      <c r="G37" s="1197"/>
      <c r="K37" s="42"/>
      <c r="L37" s="42"/>
      <c r="M37" s="42"/>
      <c r="N37" s="42"/>
    </row>
    <row r="38" spans="1:14" ht="15.75" customHeight="1">
      <c r="A38" s="866">
        <f t="shared" si="2"/>
        <v>6.2399999999999949</v>
      </c>
      <c r="B38" s="1571" t="s">
        <v>1624</v>
      </c>
      <c r="C38" s="275">
        <v>0</v>
      </c>
      <c r="D38" s="597"/>
      <c r="E38" s="511"/>
      <c r="F38" s="511"/>
      <c r="G38" s="598">
        <f>+C38</f>
        <v>0</v>
      </c>
      <c r="K38" s="42"/>
      <c r="L38" s="42"/>
      <c r="M38" s="42"/>
      <c r="N38" s="42"/>
    </row>
    <row r="39" spans="1:14" ht="15.75" customHeight="1">
      <c r="A39" s="866">
        <f t="shared" si="2"/>
        <v>6.2499999999999947</v>
      </c>
      <c r="B39" s="1571" t="s">
        <v>1625</v>
      </c>
      <c r="C39" s="275">
        <v>414298.72000000003</v>
      </c>
      <c r="D39" s="597">
        <f>+C39</f>
        <v>414298.72000000003</v>
      </c>
      <c r="E39" s="511"/>
      <c r="F39" s="511"/>
      <c r="G39" s="1197"/>
      <c r="I39" s="789"/>
      <c r="K39" s="42"/>
      <c r="L39" s="42"/>
      <c r="M39" s="42"/>
      <c r="N39" s="42"/>
    </row>
    <row r="40" spans="1:14" ht="15.75" customHeight="1">
      <c r="A40" s="866">
        <f t="shared" si="2"/>
        <v>6.2599999999999945</v>
      </c>
      <c r="B40" s="1571" t="s">
        <v>1626</v>
      </c>
      <c r="C40" s="275">
        <v>5867341.2200000007</v>
      </c>
      <c r="D40" s="597"/>
      <c r="E40" s="511">
        <f>+C40</f>
        <v>5867341.2200000007</v>
      </c>
      <c r="F40" s="511"/>
      <c r="G40" s="1199"/>
      <c r="K40" s="42"/>
      <c r="L40" s="42"/>
      <c r="M40" s="42"/>
      <c r="N40" s="42"/>
    </row>
    <row r="41" spans="1:14" ht="15.75" customHeight="1">
      <c r="A41" s="866">
        <f t="shared" si="2"/>
        <v>6.2699999999999942</v>
      </c>
      <c r="B41" s="1571" t="s">
        <v>1627</v>
      </c>
      <c r="C41" s="275">
        <v>231277.58000000002</v>
      </c>
      <c r="D41" s="597">
        <f>+C41</f>
        <v>231277.58000000002</v>
      </c>
      <c r="E41" s="511"/>
      <c r="F41" s="511"/>
      <c r="G41" s="1197"/>
      <c r="K41" s="42"/>
      <c r="L41" s="42"/>
      <c r="M41" s="42"/>
      <c r="N41" s="42"/>
    </row>
    <row r="42" spans="1:14" ht="15.75" customHeight="1">
      <c r="A42" s="866">
        <f t="shared" si="2"/>
        <v>6.279999999999994</v>
      </c>
      <c r="B42" s="1571" t="s">
        <v>1628</v>
      </c>
      <c r="C42" s="275">
        <v>54919218.710000008</v>
      </c>
      <c r="D42" s="597"/>
      <c r="E42" s="511">
        <f>+C42</f>
        <v>54919218.710000008</v>
      </c>
      <c r="F42" s="511"/>
      <c r="G42" s="598"/>
      <c r="H42" s="2033" t="s">
        <v>939</v>
      </c>
      <c r="I42" s="2034"/>
      <c r="K42" s="42"/>
      <c r="L42" s="42"/>
      <c r="M42" s="42"/>
      <c r="N42" s="42"/>
    </row>
    <row r="43" spans="1:14" ht="15.75" customHeight="1">
      <c r="A43" s="866">
        <f t="shared" si="2"/>
        <v>6.2899999999999938</v>
      </c>
      <c r="B43" s="1571" t="s">
        <v>1629</v>
      </c>
      <c r="C43" s="275">
        <v>5360519.57</v>
      </c>
      <c r="D43" s="597"/>
      <c r="E43" s="511"/>
      <c r="F43" s="511"/>
      <c r="G43" s="598">
        <f>+C43</f>
        <v>5360519.57</v>
      </c>
      <c r="H43" s="1260" t="s">
        <v>937</v>
      </c>
      <c r="I43" s="1261" t="s">
        <v>938</v>
      </c>
      <c r="K43" s="42"/>
      <c r="L43" s="42"/>
      <c r="M43" s="42"/>
      <c r="N43" s="42"/>
    </row>
    <row r="44" spans="1:14" ht="15.75" customHeight="1">
      <c r="A44" s="866">
        <f t="shared" si="2"/>
        <v>6.2999999999999936</v>
      </c>
      <c r="B44" s="1571" t="s">
        <v>1630</v>
      </c>
      <c r="C44" s="275">
        <v>-103485.95000000001</v>
      </c>
      <c r="D44" s="597"/>
      <c r="E44" s="511"/>
      <c r="F44" s="511"/>
      <c r="G44" s="598">
        <f>+C44</f>
        <v>-103485.95000000001</v>
      </c>
      <c r="H44" s="1311">
        <v>-21170.109999999986</v>
      </c>
      <c r="I44" s="1311">
        <v>-82315.840000000026</v>
      </c>
      <c r="K44" s="42"/>
      <c r="L44" s="42"/>
      <c r="M44" s="42"/>
      <c r="N44" s="42"/>
    </row>
    <row r="45" spans="1:14" ht="15.75" customHeight="1">
      <c r="A45" s="866">
        <f t="shared" si="2"/>
        <v>6.3099999999999934</v>
      </c>
      <c r="B45" s="1571" t="s">
        <v>1631</v>
      </c>
      <c r="C45" s="275">
        <v>147828.91</v>
      </c>
      <c r="D45" s="597"/>
      <c r="E45" s="511"/>
      <c r="F45" s="511"/>
      <c r="G45" s="598">
        <f>+C45</f>
        <v>147828.91</v>
      </c>
      <c r="K45" s="42"/>
      <c r="L45" s="42"/>
      <c r="M45" s="42"/>
      <c r="N45" s="42"/>
    </row>
    <row r="46" spans="1:14" ht="15.75" customHeight="1">
      <c r="A46" s="866">
        <f t="shared" si="2"/>
        <v>6.3199999999999932</v>
      </c>
      <c r="B46" s="1571" t="s">
        <v>1632</v>
      </c>
      <c r="C46" s="275">
        <v>0</v>
      </c>
      <c r="D46" s="597"/>
      <c r="E46" s="511">
        <f>+C46</f>
        <v>0</v>
      </c>
      <c r="F46" s="511"/>
      <c r="G46" s="598"/>
      <c r="K46" s="42"/>
      <c r="L46" s="42"/>
      <c r="M46" s="42"/>
      <c r="N46" s="42"/>
    </row>
    <row r="47" spans="1:14" ht="15.75" customHeight="1">
      <c r="A47" s="866">
        <f t="shared" si="2"/>
        <v>6.329999999999993</v>
      </c>
      <c r="B47" s="1571" t="s">
        <v>1633</v>
      </c>
      <c r="C47" s="275">
        <v>0</v>
      </c>
      <c r="D47" s="597"/>
      <c r="E47" s="511"/>
      <c r="F47" s="511"/>
      <c r="G47" s="598">
        <f>+C47</f>
        <v>0</v>
      </c>
      <c r="K47" s="42"/>
      <c r="L47" s="42"/>
      <c r="M47" s="42"/>
      <c r="N47" s="42"/>
    </row>
    <row r="48" spans="1:14" ht="15.75" customHeight="1">
      <c r="A48" s="866">
        <f t="shared" si="2"/>
        <v>6.3399999999999928</v>
      </c>
      <c r="B48" s="1571" t="s">
        <v>1634</v>
      </c>
      <c r="C48" s="275">
        <v>15579904.929999992</v>
      </c>
      <c r="D48" s="597"/>
      <c r="E48" s="511"/>
      <c r="F48" s="511"/>
      <c r="G48" s="598">
        <f>+C48</f>
        <v>15579904.929999992</v>
      </c>
      <c r="K48" s="42"/>
      <c r="L48" s="42"/>
      <c r="M48" s="42"/>
      <c r="N48" s="42"/>
    </row>
    <row r="49" spans="1:15" ht="15.75" customHeight="1">
      <c r="A49" s="866">
        <f t="shared" si="2"/>
        <v>6.3499999999999925</v>
      </c>
      <c r="B49" s="1571" t="s">
        <v>1635</v>
      </c>
      <c r="C49" s="275">
        <v>0</v>
      </c>
      <c r="D49" s="597"/>
      <c r="E49" s="511"/>
      <c r="F49" s="511"/>
      <c r="G49" s="598">
        <f>+C49</f>
        <v>0</v>
      </c>
      <c r="K49" s="42"/>
      <c r="L49" s="42"/>
      <c r="M49" s="42"/>
      <c r="N49" s="42"/>
    </row>
    <row r="50" spans="1:15" ht="15.75" customHeight="1">
      <c r="A50" s="866">
        <f t="shared" si="2"/>
        <v>6.3599999999999923</v>
      </c>
      <c r="B50" s="1571" t="s">
        <v>1636</v>
      </c>
      <c r="C50" s="275">
        <v>5670571.2699999996</v>
      </c>
      <c r="D50" s="597">
        <f>+C50</f>
        <v>5670571.2699999996</v>
      </c>
      <c r="E50" s="511"/>
      <c r="F50" s="511"/>
      <c r="G50" s="1197"/>
      <c r="I50" s="792"/>
      <c r="K50" s="42"/>
      <c r="L50" s="42"/>
      <c r="M50" s="42"/>
      <c r="N50" s="42"/>
    </row>
    <row r="51" spans="1:15" ht="15.75" customHeight="1">
      <c r="A51" s="866">
        <f t="shared" si="2"/>
        <v>6.3699999999999921</v>
      </c>
      <c r="B51" s="1571" t="s">
        <v>1637</v>
      </c>
      <c r="C51" s="275">
        <v>245000</v>
      </c>
      <c r="D51" s="597"/>
      <c r="E51" s="511"/>
      <c r="F51" s="511"/>
      <c r="G51" s="598">
        <f>+C51</f>
        <v>245000</v>
      </c>
      <c r="K51" s="42"/>
      <c r="L51" s="41"/>
      <c r="M51" s="42"/>
      <c r="N51" s="42"/>
    </row>
    <row r="52" spans="1:15" ht="15.75" customHeight="1">
      <c r="A52" s="866">
        <f t="shared" si="2"/>
        <v>6.3799999999999919</v>
      </c>
      <c r="B52" s="1571" t="s">
        <v>1638</v>
      </c>
      <c r="C52" s="275">
        <v>0</v>
      </c>
      <c r="D52" s="597"/>
      <c r="E52" s="511"/>
      <c r="F52" s="511"/>
      <c r="G52" s="598">
        <f>+C52</f>
        <v>0</v>
      </c>
      <c r="K52" s="42"/>
      <c r="L52" s="42"/>
      <c r="M52" s="42"/>
      <c r="N52" s="42"/>
    </row>
    <row r="53" spans="1:15" ht="15.75" customHeight="1">
      <c r="A53" s="866">
        <f>ROUND(+A52+0.01,2)</f>
        <v>6.39</v>
      </c>
      <c r="B53" s="1232" t="s">
        <v>757</v>
      </c>
      <c r="C53" s="275">
        <v>0</v>
      </c>
      <c r="D53" s="597">
        <f>+C53</f>
        <v>0</v>
      </c>
      <c r="E53" s="511"/>
      <c r="F53" s="511"/>
      <c r="G53" s="598"/>
      <c r="K53" s="42"/>
      <c r="L53" s="42"/>
      <c r="M53" s="42"/>
      <c r="N53" s="42"/>
    </row>
    <row r="54" spans="1:15" ht="15.75" customHeight="1">
      <c r="A54" s="866">
        <f t="shared" si="2"/>
        <v>6.3999999999999995</v>
      </c>
      <c r="B54" s="1232" t="s">
        <v>758</v>
      </c>
      <c r="C54" s="275">
        <v>0</v>
      </c>
      <c r="D54" s="597">
        <f>+C54</f>
        <v>0</v>
      </c>
      <c r="E54" s="511"/>
      <c r="F54" s="511"/>
      <c r="G54" s="598"/>
      <c r="K54" s="42"/>
      <c r="L54" s="42"/>
      <c r="M54" s="42"/>
      <c r="N54" s="42"/>
    </row>
    <row r="55" spans="1:15" ht="15" customHeight="1">
      <c r="A55" s="1255">
        <f t="shared" si="2"/>
        <v>6.4099999999999993</v>
      </c>
      <c r="B55" s="1303" t="s">
        <v>1985</v>
      </c>
      <c r="C55" s="275">
        <v>733333.32</v>
      </c>
      <c r="D55" s="550"/>
      <c r="E55" s="1301"/>
      <c r="F55" s="1301"/>
      <c r="G55" s="1304">
        <f>+C55</f>
        <v>733333.32</v>
      </c>
      <c r="J55" s="173" t="s">
        <v>1990</v>
      </c>
      <c r="K55" s="42"/>
      <c r="L55" s="42"/>
      <c r="M55" s="42"/>
      <c r="N55" s="42"/>
    </row>
    <row r="56" spans="1:15" ht="15" customHeight="1">
      <c r="A56" s="1255">
        <f t="shared" si="2"/>
        <v>6.419999999999999</v>
      </c>
      <c r="B56" s="1303" t="s">
        <v>1808</v>
      </c>
      <c r="C56" s="275">
        <v>100</v>
      </c>
      <c r="D56" s="550"/>
      <c r="E56" s="1301"/>
      <c r="F56" s="1301"/>
      <c r="G56" s="1304">
        <f>+C56</f>
        <v>100</v>
      </c>
      <c r="J56" s="173" t="s">
        <v>1783</v>
      </c>
      <c r="K56" s="42"/>
      <c r="L56" s="42"/>
      <c r="M56" s="42"/>
      <c r="N56" s="42"/>
    </row>
    <row r="57" spans="1:15" ht="15.75" customHeight="1">
      <c r="A57" s="1255">
        <f t="shared" si="2"/>
        <v>6.4299999999999988</v>
      </c>
      <c r="B57" s="1303" t="s">
        <v>1805</v>
      </c>
      <c r="C57" s="275">
        <v>0</v>
      </c>
      <c r="D57" s="550">
        <f>-G57*C39/(C39+C40)</f>
        <v>4368.095851449646</v>
      </c>
      <c r="E57" s="1301">
        <f>-G57*C40/(C39+C40)</f>
        <v>61861.424148550359</v>
      </c>
      <c r="F57" s="1301"/>
      <c r="G57" s="1304">
        <f>+'WP17 Rev Support'!C11</f>
        <v>-66229.52</v>
      </c>
      <c r="J57" s="173" t="s">
        <v>1987</v>
      </c>
      <c r="K57" s="42"/>
      <c r="L57" s="42"/>
      <c r="M57" s="42"/>
      <c r="N57" s="42"/>
    </row>
    <row r="58" spans="1:15" ht="15.75" customHeight="1">
      <c r="A58" s="1255">
        <f t="shared" si="2"/>
        <v>6.4399999999999986</v>
      </c>
      <c r="B58" s="1303" t="s">
        <v>1806</v>
      </c>
      <c r="C58" s="275">
        <v>0</v>
      </c>
      <c r="D58" s="550">
        <f>-G58</f>
        <v>-4586.7099999999991</v>
      </c>
      <c r="E58" s="1301"/>
      <c r="F58" s="1301"/>
      <c r="G58" s="1304">
        <f>+'WP17 Rev Support'!C18</f>
        <v>4586.7099999999991</v>
      </c>
      <c r="J58" s="173" t="s">
        <v>1988</v>
      </c>
      <c r="K58" s="42"/>
      <c r="L58" s="42"/>
      <c r="M58" s="42"/>
      <c r="N58" s="42"/>
    </row>
    <row r="59" spans="1:15" ht="15.75" customHeight="1">
      <c r="A59" s="1255">
        <f t="shared" si="2"/>
        <v>6.4499999999999984</v>
      </c>
      <c r="B59" s="1303" t="s">
        <v>1807</v>
      </c>
      <c r="C59" s="275">
        <v>0</v>
      </c>
      <c r="D59" s="550"/>
      <c r="E59" s="1301">
        <f>-G59</f>
        <v>-4912219.05</v>
      </c>
      <c r="F59" s="1301"/>
      <c r="G59" s="1304">
        <f>+'WP17 Rev Support'!C25</f>
        <v>4912219.05</v>
      </c>
      <c r="J59" s="173" t="s">
        <v>1989</v>
      </c>
      <c r="K59" s="42"/>
      <c r="L59" s="42"/>
      <c r="M59" s="42"/>
      <c r="N59" s="42"/>
    </row>
    <row r="60" spans="1:15" ht="15.75" customHeight="1">
      <c r="A60" s="1255">
        <f t="shared" si="2"/>
        <v>6.4599999999999982</v>
      </c>
      <c r="B60" s="1303" t="s">
        <v>936</v>
      </c>
      <c r="C60" s="275">
        <v>0</v>
      </c>
      <c r="D60" s="550"/>
      <c r="E60" s="1301"/>
      <c r="F60" s="1301"/>
      <c r="G60" s="1304"/>
      <c r="K60" s="42"/>
      <c r="L60" s="42"/>
      <c r="M60" s="42"/>
      <c r="N60" s="42"/>
    </row>
    <row r="61" spans="1:15" ht="15.75" customHeight="1">
      <c r="A61" s="1255" t="s">
        <v>927</v>
      </c>
      <c r="B61" s="1303" t="s">
        <v>936</v>
      </c>
      <c r="C61" s="275">
        <v>0</v>
      </c>
      <c r="D61" s="550"/>
      <c r="E61" s="1301"/>
      <c r="F61" s="1301"/>
      <c r="G61" s="1304"/>
      <c r="K61" s="42"/>
      <c r="L61" s="42"/>
      <c r="M61" s="42"/>
      <c r="N61" s="42"/>
    </row>
    <row r="62" spans="1:15" ht="15.75" customHeight="1">
      <c r="A62" s="1255" t="s">
        <v>932</v>
      </c>
      <c r="B62" s="1305" t="s">
        <v>936</v>
      </c>
      <c r="C62" s="1306">
        <v>0</v>
      </c>
      <c r="D62" s="551"/>
      <c r="E62" s="1302"/>
      <c r="F62" s="1302"/>
      <c r="G62" s="1306"/>
      <c r="K62" s="42"/>
      <c r="L62" s="42"/>
      <c r="M62" s="42"/>
      <c r="N62" s="42"/>
    </row>
    <row r="63" spans="1:15" s="786" customFormat="1" ht="15.75" customHeight="1">
      <c r="A63" s="1017">
        <f>+A14+1</f>
        <v>7</v>
      </c>
      <c r="B63" s="1191" t="str">
        <f>+"Total Acct 456  (Sum Ln "&amp;A14&amp;" Subparts)  (3)"</f>
        <v>Total Acct 456  (Sum Ln 6 Subparts)  (3)</v>
      </c>
      <c r="C63" s="1200">
        <f>SUM(C15:C62)</f>
        <v>109266780.36999999</v>
      </c>
      <c r="D63" s="1200">
        <f t="shared" ref="D63:G63" si="3">SUM(D15:D62)</f>
        <v>6315928.9558514487</v>
      </c>
      <c r="E63" s="1200">
        <f t="shared" si="3"/>
        <v>67238687.344148561</v>
      </c>
      <c r="F63" s="1200">
        <f t="shared" si="3"/>
        <v>0</v>
      </c>
      <c r="G63" s="1200">
        <f t="shared" si="3"/>
        <v>35712164.069999993</v>
      </c>
      <c r="K63" s="42"/>
      <c r="L63" s="41"/>
      <c r="M63" s="41"/>
      <c r="N63" s="41"/>
      <c r="O63" s="41"/>
    </row>
    <row r="64" spans="1:15" s="786" customFormat="1" ht="15.75" customHeight="1" thickBot="1">
      <c r="A64" s="1017">
        <f>+A63+1</f>
        <v>8</v>
      </c>
      <c r="B64" s="1018" t="str">
        <f>+"Total (Sum Ln "&amp;A10&amp;" + Ln"&amp;A63&amp;")"</f>
        <v>Total (Sum Ln 2 + Ln7)</v>
      </c>
      <c r="C64" s="1201">
        <f>+C10+C63</f>
        <v>123810289.94999999</v>
      </c>
      <c r="D64" s="1201">
        <f>+D10+D63</f>
        <v>7292334.7158514485</v>
      </c>
      <c r="E64" s="1201">
        <f>+E10+E63</f>
        <v>67238687.344148561</v>
      </c>
      <c r="F64" s="1201">
        <f>+F10+F63</f>
        <v>235219.45999999996</v>
      </c>
      <c r="G64" s="1201">
        <f>+G10+G63</f>
        <v>49044048.429999992</v>
      </c>
      <c r="K64" s="42"/>
      <c r="L64" s="41"/>
      <c r="M64" s="41"/>
      <c r="N64" s="41"/>
      <c r="O64" s="41"/>
    </row>
    <row r="65" spans="1:15" s="786" customFormat="1" ht="15.75" customHeight="1" thickTop="1">
      <c r="A65" s="1018"/>
      <c r="B65" s="865"/>
      <c r="C65" s="865"/>
      <c r="D65" s="865"/>
      <c r="E65" s="865"/>
      <c r="F65" s="865"/>
      <c r="G65" s="865"/>
      <c r="K65" s="42"/>
      <c r="L65" s="41"/>
      <c r="M65" s="41"/>
      <c r="N65" s="41"/>
      <c r="O65" s="41"/>
    </row>
    <row r="66" spans="1:15" s="786" customFormat="1" ht="15.75" customHeight="1">
      <c r="A66" s="1018" t="s">
        <v>298</v>
      </c>
      <c r="C66" s="1135"/>
      <c r="D66" s="1135"/>
      <c r="E66" s="1135"/>
      <c r="F66" s="1135"/>
      <c r="G66" s="1135"/>
      <c r="K66" s="42"/>
      <c r="L66" s="41"/>
      <c r="M66" s="41"/>
      <c r="N66" s="41"/>
      <c r="O66" s="41"/>
    </row>
    <row r="67" spans="1:15" s="786" customFormat="1" ht="15.75" customHeight="1">
      <c r="A67" s="1137" t="s">
        <v>167</v>
      </c>
      <c r="B67" s="2028" t="s">
        <v>851</v>
      </c>
      <c r="C67" s="2028"/>
      <c r="D67" s="2028"/>
      <c r="E67" s="2028"/>
      <c r="F67" s="2028"/>
      <c r="G67" s="2028"/>
      <c r="H67" s="2028"/>
      <c r="I67" s="2028"/>
      <c r="K67" s="42"/>
      <c r="O67" s="41"/>
    </row>
    <row r="68" spans="1:15" s="786" customFormat="1">
      <c r="A68" s="1138" t="s">
        <v>319</v>
      </c>
      <c r="B68" s="2031" t="s">
        <v>1085</v>
      </c>
      <c r="C68" s="2031"/>
      <c r="D68" s="2031"/>
      <c r="E68" s="2031"/>
      <c r="F68" s="2031"/>
      <c r="G68" s="2031"/>
      <c r="K68" s="42"/>
      <c r="O68" s="41"/>
    </row>
    <row r="69" spans="1:15" s="786" customFormat="1">
      <c r="A69" s="1138" t="s">
        <v>320</v>
      </c>
      <c r="B69" s="1417" t="s">
        <v>850</v>
      </c>
      <c r="K69" s="42"/>
      <c r="O69" s="41"/>
    </row>
    <row r="70" spans="1:15" s="786" customFormat="1" ht="26.4" customHeight="1">
      <c r="A70" s="1138" t="s">
        <v>321</v>
      </c>
      <c r="B70" s="2032" t="str">
        <f>+"Revenues from Schedules associated with Attachment GG and MM should appear in the Rev. Credits category above because they are credited in Appendix A - Revenue Requirement Lines "&amp;'Appendix A'!A284&amp;" &amp; "&amp;'Appendix A'!A285&amp;"."</f>
        <v>Revenues from Schedules associated with Attachment GG and MM should appear in the Rev. Credits category above because they are credited in Appendix A - Revenue Requirement Lines 189 &amp; 190.</v>
      </c>
      <c r="C70" s="2032"/>
      <c r="D70" s="2032"/>
      <c r="E70" s="2032"/>
      <c r="F70" s="2032"/>
      <c r="G70" s="2032"/>
      <c r="H70" s="2032"/>
      <c r="K70" s="42"/>
      <c r="O70" s="41"/>
    </row>
    <row r="71" spans="1:15" s="786" customFormat="1" ht="67.95" customHeight="1">
      <c r="A71" s="1138" t="s">
        <v>322</v>
      </c>
      <c r="B71" s="1978" t="s">
        <v>913</v>
      </c>
      <c r="C71" s="1978"/>
      <c r="D71" s="1978"/>
      <c r="E71" s="1978"/>
      <c r="F71" s="1978"/>
      <c r="G71" s="1978"/>
      <c r="H71" s="1978"/>
      <c r="K71" s="42"/>
      <c r="O71" s="41"/>
    </row>
    <row r="72" spans="1:15">
      <c r="A72" s="1482" t="s">
        <v>717</v>
      </c>
      <c r="B72" s="278" t="s">
        <v>1091</v>
      </c>
      <c r="K72" s="42"/>
    </row>
    <row r="73" spans="1:15">
      <c r="A73" s="709"/>
    </row>
    <row r="74" spans="1:15">
      <c r="A74" s="709"/>
    </row>
    <row r="75" spans="1:15">
      <c r="A75" s="709"/>
    </row>
    <row r="76" spans="1:15">
      <c r="A76" s="709"/>
    </row>
    <row r="77" spans="1:15">
      <c r="A77" s="709"/>
    </row>
    <row r="89" ht="14.4" customHeight="1"/>
  </sheetData>
  <sortState ref="B29:E76">
    <sortCondition ref="B29:B76"/>
  </sortState>
  <mergeCells count="10">
    <mergeCell ref="A1:I1"/>
    <mergeCell ref="A2:I2"/>
    <mergeCell ref="D13:E13"/>
    <mergeCell ref="B71:H71"/>
    <mergeCell ref="B67:I67"/>
    <mergeCell ref="D12:G12"/>
    <mergeCell ref="A3:I3"/>
    <mergeCell ref="B68:G68"/>
    <mergeCell ref="B70:H70"/>
    <mergeCell ref="H42:I42"/>
  </mergeCells>
  <phoneticPr fontId="106" type="noConversion"/>
  <printOptions horizontalCentered="1"/>
  <pageMargins left="0.5" right="0.5" top="0.5" bottom="0.7" header="0.3" footer="0.5"/>
  <pageSetup scale="60" orientation="portrait" r:id="rId1"/>
  <headerFooter>
    <oddFooter>&amp;R&amp;12&amp;A</oddFooter>
  </headerFooter>
  <ignoredErrors>
    <ignoredError sqref="G10" formula="1"/>
    <ignoredError sqref="A67:A7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21" sqref="A21"/>
    </sheetView>
  </sheetViews>
  <sheetFormatPr defaultRowHeight="13.2"/>
  <cols>
    <col min="1" max="1" width="5.33203125" customWidth="1"/>
    <col min="2" max="2" width="4.6640625" customWidth="1"/>
    <col min="3" max="3" width="11.33203125" style="1626" bestFit="1" customWidth="1"/>
    <col min="4" max="4" width="53.88671875" bestFit="1" customWidth="1"/>
    <col min="5" max="5" width="14.88671875" customWidth="1"/>
  </cols>
  <sheetData>
    <row r="1" spans="1:10" s="278" customFormat="1">
      <c r="A1" s="2026" t="str">
        <f>+'MISO Cover'!C6</f>
        <v>Entergy Louisiana, LLC</v>
      </c>
      <c r="B1" s="2026"/>
      <c r="C1" s="2026"/>
      <c r="D1" s="2026"/>
      <c r="E1" s="2026"/>
      <c r="F1" s="1647"/>
      <c r="G1" s="1647"/>
      <c r="H1" s="1647"/>
    </row>
    <row r="2" spans="1:10" s="278" customFormat="1">
      <c r="A2" s="2026" t="s">
        <v>1784</v>
      </c>
      <c r="B2" s="2026"/>
      <c r="C2" s="2026"/>
      <c r="D2" s="2026"/>
      <c r="E2" s="2026"/>
      <c r="F2" s="1647"/>
      <c r="G2" s="1647"/>
      <c r="H2" s="1647"/>
    </row>
    <row r="3" spans="1:10" s="278" customFormat="1">
      <c r="A3" s="2024" t="str">
        <f>+'MISO Cover'!K4</f>
        <v>For  the 12 Months Ended 12/31/2016</v>
      </c>
      <c r="B3" s="2024"/>
      <c r="C3" s="2024"/>
      <c r="D3" s="2024"/>
      <c r="E3" s="2024"/>
      <c r="F3" s="1648"/>
      <c r="G3" s="1648"/>
      <c r="H3" s="1648"/>
      <c r="J3" s="1649"/>
    </row>
    <row r="5" spans="1:10">
      <c r="A5" t="s">
        <v>1785</v>
      </c>
      <c r="C5" s="1650" t="s">
        <v>1786</v>
      </c>
      <c r="D5" t="s">
        <v>1305</v>
      </c>
      <c r="E5" t="s">
        <v>1787</v>
      </c>
    </row>
    <row r="6" spans="1:10">
      <c r="A6" s="1651">
        <v>1</v>
      </c>
      <c r="B6" t="s">
        <v>1788</v>
      </c>
    </row>
    <row r="7" spans="1:10">
      <c r="A7" s="1651">
        <f>+A6+1</f>
        <v>2</v>
      </c>
      <c r="C7" s="1656">
        <v>40464.160000000003</v>
      </c>
      <c r="D7" s="1654" t="s">
        <v>1789</v>
      </c>
      <c r="E7" t="s">
        <v>1790</v>
      </c>
    </row>
    <row r="8" spans="1:10">
      <c r="A8" s="1651">
        <f t="shared" ref="A8:A25" si="0">+A7+1</f>
        <v>3</v>
      </c>
      <c r="C8" s="1656">
        <v>1273.1199999999999</v>
      </c>
      <c r="D8" s="1654" t="s">
        <v>1792</v>
      </c>
      <c r="E8" t="s">
        <v>1791</v>
      </c>
    </row>
    <row r="9" spans="1:10">
      <c r="A9" s="1651">
        <f t="shared" si="0"/>
        <v>4</v>
      </c>
      <c r="C9" s="1656">
        <v>-100699.35</v>
      </c>
      <c r="D9" s="1654" t="s">
        <v>1789</v>
      </c>
      <c r="E9" t="s">
        <v>1791</v>
      </c>
    </row>
    <row r="10" spans="1:10">
      <c r="A10" s="1651">
        <f t="shared" si="0"/>
        <v>5</v>
      </c>
      <c r="B10" s="1632"/>
      <c r="C10" s="1657">
        <v>-7267.45</v>
      </c>
      <c r="D10" s="1654" t="s">
        <v>1792</v>
      </c>
      <c r="E10" t="s">
        <v>1791</v>
      </c>
    </row>
    <row r="11" spans="1:10">
      <c r="A11" s="1651">
        <f t="shared" si="0"/>
        <v>6</v>
      </c>
      <c r="B11" t="s">
        <v>9</v>
      </c>
      <c r="C11" s="1656">
        <f>SUM(C7:C10)</f>
        <v>-66229.52</v>
      </c>
      <c r="D11" s="1655" t="s">
        <v>1804</v>
      </c>
    </row>
    <row r="12" spans="1:10">
      <c r="A12" s="1651">
        <f t="shared" si="0"/>
        <v>7</v>
      </c>
    </row>
    <row r="13" spans="1:10">
      <c r="A13" s="1651">
        <f t="shared" si="0"/>
        <v>8</v>
      </c>
      <c r="B13" t="s">
        <v>1793</v>
      </c>
    </row>
    <row r="14" spans="1:10">
      <c r="A14" s="1651">
        <f t="shared" si="0"/>
        <v>9</v>
      </c>
      <c r="C14" s="1626">
        <v>10718.06</v>
      </c>
      <c r="D14" t="s">
        <v>1794</v>
      </c>
      <c r="E14" t="s">
        <v>1790</v>
      </c>
    </row>
    <row r="15" spans="1:10">
      <c r="A15" s="1651">
        <f t="shared" si="0"/>
        <v>10</v>
      </c>
      <c r="C15" s="1626">
        <v>337.15999999999997</v>
      </c>
      <c r="D15" t="s">
        <v>1795</v>
      </c>
      <c r="E15" t="s">
        <v>1791</v>
      </c>
    </row>
    <row r="16" spans="1:10">
      <c r="A16" s="1651">
        <f t="shared" si="0"/>
        <v>11</v>
      </c>
      <c r="C16" s="1626">
        <v>-6053.4800000000005</v>
      </c>
      <c r="D16" t="s">
        <v>1794</v>
      </c>
      <c r="E16" t="s">
        <v>1791</v>
      </c>
    </row>
    <row r="17" spans="1:5">
      <c r="A17" s="1651">
        <f t="shared" si="0"/>
        <v>12</v>
      </c>
      <c r="B17" s="1632"/>
      <c r="C17" s="1652">
        <v>-415.03000000000003</v>
      </c>
      <c r="D17" s="1632" t="s">
        <v>1795</v>
      </c>
      <c r="E17" t="s">
        <v>1791</v>
      </c>
    </row>
    <row r="18" spans="1:5">
      <c r="A18" s="1651">
        <f t="shared" si="0"/>
        <v>13</v>
      </c>
      <c r="B18" t="s">
        <v>113</v>
      </c>
      <c r="C18" s="1626">
        <f>SUM(C14:C17)</f>
        <v>4586.7099999999991</v>
      </c>
      <c r="D18" t="str">
        <f>+D11</f>
        <v>Total Schedule Out of Period Amount</v>
      </c>
    </row>
    <row r="19" spans="1:5">
      <c r="A19" s="1651">
        <f t="shared" si="0"/>
        <v>14</v>
      </c>
    </row>
    <row r="20" spans="1:5">
      <c r="A20" s="1651">
        <f t="shared" si="0"/>
        <v>15</v>
      </c>
      <c r="B20" t="s">
        <v>1796</v>
      </c>
    </row>
    <row r="21" spans="1:5">
      <c r="A21" s="1651">
        <f t="shared" si="0"/>
        <v>16</v>
      </c>
      <c r="C21" s="1626">
        <v>3125201.88</v>
      </c>
      <c r="D21" t="s">
        <v>1797</v>
      </c>
      <c r="E21" t="s">
        <v>1798</v>
      </c>
    </row>
    <row r="22" spans="1:5">
      <c r="A22" s="1651">
        <f t="shared" si="0"/>
        <v>17</v>
      </c>
      <c r="C22" s="1626">
        <v>98312.62</v>
      </c>
      <c r="D22" t="s">
        <v>1799</v>
      </c>
      <c r="E22" t="s">
        <v>1800</v>
      </c>
    </row>
    <row r="23" spans="1:5">
      <c r="A23" s="1651">
        <f t="shared" si="0"/>
        <v>18</v>
      </c>
      <c r="C23" s="1626">
        <v>1637201.46</v>
      </c>
      <c r="D23" t="s">
        <v>1797</v>
      </c>
      <c r="E23" t="s">
        <v>1801</v>
      </c>
    </row>
    <row r="24" spans="1:5">
      <c r="A24" s="1651">
        <f t="shared" si="0"/>
        <v>19</v>
      </c>
      <c r="B24" s="1632"/>
      <c r="C24" s="1652">
        <v>51503.09</v>
      </c>
      <c r="D24" s="1632" t="s">
        <v>1799</v>
      </c>
      <c r="E24" t="s">
        <v>1801</v>
      </c>
    </row>
    <row r="25" spans="1:5">
      <c r="A25" s="1651">
        <f t="shared" si="0"/>
        <v>20</v>
      </c>
      <c r="B25" t="s">
        <v>9</v>
      </c>
      <c r="C25" s="1626">
        <f>SUM(C21:C24)</f>
        <v>4912219.05</v>
      </c>
      <c r="D25" t="str">
        <f>+D11</f>
        <v>Total Schedule Out of Period Amount</v>
      </c>
    </row>
    <row r="27" spans="1:5">
      <c r="A27" s="2035" t="s">
        <v>124</v>
      </c>
      <c r="B27" s="2035"/>
    </row>
    <row r="28" spans="1:5">
      <c r="A28" s="1653" t="s">
        <v>167</v>
      </c>
      <c r="B28" t="s">
        <v>1802</v>
      </c>
    </row>
    <row r="29" spans="1:5">
      <c r="A29" s="1653" t="s">
        <v>319</v>
      </c>
      <c r="B29" t="s">
        <v>1803</v>
      </c>
    </row>
  </sheetData>
  <mergeCells count="4">
    <mergeCell ref="A1:E1"/>
    <mergeCell ref="A2:E2"/>
    <mergeCell ref="A3:E3"/>
    <mergeCell ref="A27:B27"/>
  </mergeCells>
  <printOptions horizontalCentered="1"/>
  <pageMargins left="0.5" right="0.5" top="0.5" bottom="0.5" header="0.3" footer="0.5"/>
  <pageSetup orientation="portrait" r:id="rId1"/>
  <headerFooter>
    <oddFooter>&amp;R&amp;A</oddFooter>
  </headerFooter>
  <ignoredErrors>
    <ignoredError sqref="A28:A29"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56"/>
  <sheetViews>
    <sheetView workbookViewId="0">
      <selection activeCell="A21" sqref="A21"/>
    </sheetView>
  </sheetViews>
  <sheetFormatPr defaultColWidth="8.88671875" defaultRowHeight="13.2"/>
  <cols>
    <col min="1" max="1" width="7.6640625" style="42" customWidth="1"/>
    <col min="2" max="2" width="39.5546875" style="42" customWidth="1"/>
    <col min="3" max="3" width="7.6640625" style="41" customWidth="1"/>
    <col min="4" max="4" width="23" style="42" customWidth="1"/>
    <col min="5" max="5" width="14.88671875" style="42" customWidth="1"/>
    <col min="6" max="6" width="3" style="41" customWidth="1"/>
    <col min="7" max="14" width="8.88671875" style="41"/>
    <col min="15" max="16384" width="8.88671875" style="42"/>
  </cols>
  <sheetData>
    <row r="1" spans="1:13">
      <c r="A1" s="1972" t="str">
        <f>+'MISO Cover'!C6</f>
        <v>Entergy Louisiana, LLC</v>
      </c>
      <c r="B1" s="1972"/>
      <c r="C1" s="1972"/>
      <c r="D1" s="1972"/>
      <c r="E1" s="1972"/>
    </row>
    <row r="2" spans="1:13">
      <c r="A2" s="2037" t="s">
        <v>1819</v>
      </c>
      <c r="B2" s="2037"/>
      <c r="C2" s="2037"/>
      <c r="D2" s="2037"/>
      <c r="E2" s="2037"/>
      <c r="F2" s="1684"/>
      <c r="G2" s="1684"/>
    </row>
    <row r="3" spans="1:13">
      <c r="A3" s="2036" t="str">
        <f>+'MISO Cover'!K4</f>
        <v>For  the 12 Months Ended 12/31/2016</v>
      </c>
      <c r="B3" s="2036"/>
      <c r="C3" s="2036"/>
      <c r="D3" s="2036"/>
      <c r="E3" s="2036"/>
      <c r="F3" s="793"/>
      <c r="G3" s="793"/>
      <c r="H3" s="793"/>
      <c r="I3" s="793"/>
      <c r="J3" s="793"/>
      <c r="K3" s="793"/>
      <c r="L3" s="793"/>
      <c r="M3" s="793"/>
    </row>
    <row r="4" spans="1:13">
      <c r="A4" s="41"/>
      <c r="B4" s="553"/>
      <c r="C4" s="1416"/>
      <c r="D4" s="553"/>
      <c r="E4" s="553"/>
    </row>
    <row r="5" spans="1:13">
      <c r="A5" s="1667" t="s">
        <v>279</v>
      </c>
      <c r="B5" s="635" t="s">
        <v>67</v>
      </c>
      <c r="C5" s="1745"/>
      <c r="D5" s="1683" t="s">
        <v>114</v>
      </c>
      <c r="E5" s="1683" t="s">
        <v>55</v>
      </c>
      <c r="F5" s="1899"/>
    </row>
    <row r="6" spans="1:13">
      <c r="A6" s="1667"/>
      <c r="D6" s="2038" t="s">
        <v>95</v>
      </c>
      <c r="E6" s="2038"/>
      <c r="F6" s="1899"/>
      <c r="G6" s="1899"/>
    </row>
    <row r="7" spans="1:13">
      <c r="A7" s="1412">
        <v>1</v>
      </c>
      <c r="B7" s="1794" t="s">
        <v>256</v>
      </c>
      <c r="C7" s="1851"/>
      <c r="D7" s="1795" t="s">
        <v>1817</v>
      </c>
      <c r="E7" s="1795" t="s">
        <v>1818</v>
      </c>
    </row>
    <row r="8" spans="1:13" ht="15">
      <c r="A8" s="1412">
        <f>+A7+1</f>
        <v>2</v>
      </c>
      <c r="B8" s="1793" t="s">
        <v>169</v>
      </c>
      <c r="C8" s="1899"/>
      <c r="D8" s="1686"/>
      <c r="E8" s="1686"/>
    </row>
    <row r="9" spans="1:13">
      <c r="A9" s="1412">
        <f>+A8+0.01</f>
        <v>2.0099999999999998</v>
      </c>
      <c r="B9" s="42" t="s">
        <v>229</v>
      </c>
      <c r="D9" s="1741"/>
      <c r="E9" s="1791">
        <v>0</v>
      </c>
      <c r="G9" s="178" t="s">
        <v>2063</v>
      </c>
      <c r="H9" s="178"/>
    </row>
    <row r="10" spans="1:13">
      <c r="A10" s="1412">
        <f t="shared" ref="A10:A23" si="0">+A9+0.01</f>
        <v>2.0199999999999996</v>
      </c>
      <c r="B10" s="42" t="s">
        <v>230</v>
      </c>
      <c r="D10" s="1742">
        <v>1.47958180652541E-2</v>
      </c>
      <c r="E10" s="1791">
        <v>4569588.58</v>
      </c>
      <c r="G10" s="1412"/>
    </row>
    <row r="11" spans="1:13">
      <c r="A11" s="1412">
        <f t="shared" si="0"/>
        <v>2.0299999999999994</v>
      </c>
      <c r="B11" s="42" t="s">
        <v>231</v>
      </c>
      <c r="D11" s="1742">
        <v>6.6699938424699998E-2</v>
      </c>
      <c r="E11" s="1791">
        <v>255414.83</v>
      </c>
      <c r="G11" s="1412"/>
    </row>
    <row r="12" spans="1:13">
      <c r="A12" s="1412">
        <f t="shared" si="0"/>
        <v>2.0399999999999991</v>
      </c>
      <c r="B12" s="42" t="s">
        <v>232</v>
      </c>
      <c r="D12" s="1742">
        <v>0.203159144283383</v>
      </c>
      <c r="E12" s="1791">
        <v>3998254.19</v>
      </c>
      <c r="G12" s="1412"/>
    </row>
    <row r="13" spans="1:13">
      <c r="A13" s="1412">
        <f t="shared" si="0"/>
        <v>2.0499999999999989</v>
      </c>
      <c r="B13" s="42" t="s">
        <v>233</v>
      </c>
      <c r="D13" s="1742">
        <v>6.6699879580400995E-2</v>
      </c>
      <c r="E13" s="1791">
        <v>264724.8</v>
      </c>
      <c r="G13" s="1412"/>
    </row>
    <row r="14" spans="1:13">
      <c r="A14" s="1412">
        <f t="shared" si="0"/>
        <v>2.0599999999999987</v>
      </c>
      <c r="B14" s="42" t="s">
        <v>234</v>
      </c>
      <c r="D14" s="1742">
        <v>0.12</v>
      </c>
      <c r="E14" s="1791">
        <v>9091.76</v>
      </c>
      <c r="G14" s="1412"/>
    </row>
    <row r="15" spans="1:13">
      <c r="A15" s="1412">
        <f t="shared" si="0"/>
        <v>2.0699999999999985</v>
      </c>
      <c r="B15" s="42" t="s">
        <v>235</v>
      </c>
      <c r="D15" s="1742">
        <v>6.6699900790154795E-2</v>
      </c>
      <c r="E15" s="1791">
        <v>105312.48</v>
      </c>
      <c r="G15" s="1412"/>
    </row>
    <row r="16" spans="1:13">
      <c r="A16" s="1412">
        <f t="shared" si="0"/>
        <v>2.0799999999999983</v>
      </c>
      <c r="B16" s="42" t="s">
        <v>236</v>
      </c>
      <c r="D16" s="1742">
        <v>6.6699951760601395E-2</v>
      </c>
      <c r="E16" s="1791">
        <v>1196459.28</v>
      </c>
      <c r="G16" s="1412"/>
    </row>
    <row r="17" spans="1:10">
      <c r="A17" s="1412">
        <f t="shared" si="0"/>
        <v>2.0899999999999981</v>
      </c>
      <c r="B17" s="42" t="s">
        <v>237</v>
      </c>
      <c r="D17" s="1742">
        <v>9.9999919729377704E-2</v>
      </c>
      <c r="E17" s="1791">
        <v>607694.81999999995</v>
      </c>
      <c r="G17" s="1412"/>
    </row>
    <row r="18" spans="1:10">
      <c r="A18" s="1412">
        <f t="shared" si="0"/>
        <v>2.0999999999999979</v>
      </c>
      <c r="B18" s="42" t="s">
        <v>238</v>
      </c>
      <c r="D18" s="1742">
        <v>6.6700286273739404E-2</v>
      </c>
      <c r="E18" s="1791">
        <v>0</v>
      </c>
      <c r="G18" s="1412"/>
    </row>
    <row r="19" spans="1:10">
      <c r="A19" s="1412">
        <f t="shared" si="0"/>
        <v>2.1099999999999977</v>
      </c>
      <c r="B19" s="42" t="s">
        <v>239</v>
      </c>
      <c r="D19" s="1742">
        <v>9.9999933612433201E-2</v>
      </c>
      <c r="E19" s="1791">
        <v>2654692.98</v>
      </c>
      <c r="G19" s="1412"/>
    </row>
    <row r="20" spans="1:10">
      <c r="A20" s="1412">
        <f t="shared" si="0"/>
        <v>2.1199999999999974</v>
      </c>
      <c r="B20" s="42" t="s">
        <v>240</v>
      </c>
      <c r="D20" s="1742">
        <v>6.6700001955464105E-2</v>
      </c>
      <c r="E20" s="1791">
        <v>1868348.32</v>
      </c>
      <c r="G20" s="1412"/>
    </row>
    <row r="21" spans="1:10">
      <c r="A21" s="1412">
        <f t="shared" si="0"/>
        <v>2.1299999999999972</v>
      </c>
      <c r="B21" s="42" t="s">
        <v>241</v>
      </c>
      <c r="D21" s="1742">
        <v>0.10000019955846901</v>
      </c>
      <c r="E21" s="1791">
        <v>461139.53</v>
      </c>
      <c r="G21" s="1412"/>
    </row>
    <row r="22" spans="1:10">
      <c r="A22" s="1412">
        <f t="shared" si="0"/>
        <v>2.139999999999997</v>
      </c>
      <c r="B22" s="42" t="s">
        <v>242</v>
      </c>
      <c r="D22" s="1742">
        <v>0.1</v>
      </c>
      <c r="E22" s="1792">
        <v>0</v>
      </c>
      <c r="G22" s="1412"/>
    </row>
    <row r="23" spans="1:10">
      <c r="A23" s="1412">
        <f t="shared" si="0"/>
        <v>2.1499999999999968</v>
      </c>
      <c r="B23" s="277" t="str">
        <f>+"Total "&amp;B8</f>
        <v>Total General Plant</v>
      </c>
      <c r="C23" s="566"/>
      <c r="D23" s="1742"/>
      <c r="E23" s="785">
        <f>SUM(E9:E22)</f>
        <v>15990721.57</v>
      </c>
    </row>
    <row r="24" spans="1:10">
      <c r="A24" s="1412">
        <f>+A8+1</f>
        <v>3</v>
      </c>
      <c r="D24" s="1741"/>
    </row>
    <row r="25" spans="1:10" ht="15">
      <c r="A25" s="1412">
        <f>+A24+1</f>
        <v>4</v>
      </c>
      <c r="B25" s="1793" t="s">
        <v>499</v>
      </c>
      <c r="C25" s="1899"/>
      <c r="D25" s="1566"/>
      <c r="E25" s="1566"/>
    </row>
    <row r="26" spans="1:10">
      <c r="A26" s="1412">
        <f>+A25+0.01</f>
        <v>4.01</v>
      </c>
      <c r="B26" s="41" t="s">
        <v>271</v>
      </c>
      <c r="D26" s="1743">
        <v>0.2</v>
      </c>
      <c r="E26" s="1791">
        <v>0</v>
      </c>
      <c r="J26" s="1901"/>
    </row>
    <row r="27" spans="1:10">
      <c r="A27" s="1412">
        <f t="shared" ref="A27:A34" si="1">+A26+0.01</f>
        <v>4.0199999999999996</v>
      </c>
      <c r="B27" s="41" t="s">
        <v>272</v>
      </c>
      <c r="D27" s="1743"/>
      <c r="E27" s="1791">
        <v>0</v>
      </c>
      <c r="G27" s="41" t="s">
        <v>2062</v>
      </c>
    </row>
    <row r="28" spans="1:10">
      <c r="A28" s="1412">
        <f t="shared" si="1"/>
        <v>4.0299999999999994</v>
      </c>
      <c r="B28" s="41" t="s">
        <v>273</v>
      </c>
      <c r="D28" s="1743"/>
      <c r="E28" s="1791">
        <v>0</v>
      </c>
      <c r="J28" s="1901"/>
    </row>
    <row r="29" spans="1:10">
      <c r="A29" s="1412">
        <f t="shared" si="1"/>
        <v>4.0399999999999991</v>
      </c>
      <c r="B29" s="41" t="s">
        <v>274</v>
      </c>
      <c r="D29" s="1743">
        <v>0.2</v>
      </c>
      <c r="E29" s="1791">
        <v>12608011.52</v>
      </c>
      <c r="J29" s="1901"/>
    </row>
    <row r="30" spans="1:10">
      <c r="A30" s="1412">
        <f t="shared" si="1"/>
        <v>4.0499999999999989</v>
      </c>
      <c r="B30" s="41" t="s">
        <v>275</v>
      </c>
      <c r="D30" s="1743">
        <v>0.1</v>
      </c>
      <c r="E30" s="1791">
        <v>3708225.22</v>
      </c>
      <c r="J30" s="1901"/>
    </row>
    <row r="31" spans="1:10">
      <c r="A31" s="1412">
        <f t="shared" si="1"/>
        <v>4.0599999999999987</v>
      </c>
      <c r="B31" s="1627" t="s">
        <v>1745</v>
      </c>
      <c r="C31" s="1627"/>
      <c r="D31" s="1744">
        <v>6.6699999999999995E-2</v>
      </c>
      <c r="E31" s="1791">
        <v>6310369.2599999998</v>
      </c>
      <c r="G31" s="1627"/>
      <c r="J31" s="1901"/>
    </row>
    <row r="32" spans="1:10">
      <c r="A32" s="1412">
        <f t="shared" si="1"/>
        <v>4.0699999999999985</v>
      </c>
      <c r="B32" s="1627" t="s">
        <v>1746</v>
      </c>
      <c r="C32" s="1627"/>
      <c r="D32" s="1744">
        <v>0.05</v>
      </c>
      <c r="E32" s="1791">
        <v>636995.66</v>
      </c>
      <c r="G32" s="1627"/>
      <c r="J32" s="1901"/>
    </row>
    <row r="33" spans="1:10">
      <c r="A33" s="1412">
        <f t="shared" si="1"/>
        <v>4.0799999999999983</v>
      </c>
      <c r="B33" s="1627" t="s">
        <v>1968</v>
      </c>
      <c r="C33" s="1900" t="s">
        <v>319</v>
      </c>
      <c r="D33" s="1741" t="s">
        <v>1747</v>
      </c>
      <c r="E33" s="1791">
        <v>-6724.35</v>
      </c>
      <c r="G33" s="1627"/>
      <c r="H33" s="41" t="s">
        <v>2068</v>
      </c>
      <c r="J33" s="1901"/>
    </row>
    <row r="34" spans="1:10">
      <c r="A34" s="1412">
        <f t="shared" si="1"/>
        <v>4.0899999999999981</v>
      </c>
      <c r="B34" s="41" t="s">
        <v>1969</v>
      </c>
      <c r="C34" s="1867" t="s">
        <v>320</v>
      </c>
      <c r="D34" s="1742" t="s">
        <v>1748</v>
      </c>
      <c r="E34" s="1792">
        <v>1548850.1</v>
      </c>
      <c r="J34" s="1901"/>
    </row>
    <row r="35" spans="1:10" ht="14.4">
      <c r="A35" s="866">
        <f>ROUND(+A34+0.01,2)</f>
        <v>4.0999999999999996</v>
      </c>
      <c r="B35" s="566" t="str">
        <f>+"Total "&amp;B25</f>
        <v>Total Intangibles</v>
      </c>
      <c r="C35" s="566"/>
      <c r="D35" s="1743"/>
      <c r="E35" s="249">
        <f>SUM(E26:E34)</f>
        <v>24805727.41</v>
      </c>
      <c r="H35" s="1902"/>
    </row>
    <row r="36" spans="1:10">
      <c r="A36" s="1412">
        <f>+A25+1</f>
        <v>5</v>
      </c>
      <c r="B36" s="553"/>
      <c r="C36" s="1416"/>
      <c r="D36" s="1745"/>
      <c r="E36" s="1416"/>
    </row>
    <row r="37" spans="1:10" ht="15">
      <c r="A37" s="1412">
        <f>+A36+1</f>
        <v>6</v>
      </c>
      <c r="B37" s="1793" t="s">
        <v>135</v>
      </c>
      <c r="C37" s="1899"/>
      <c r="D37" s="1737"/>
      <c r="E37" s="178"/>
    </row>
    <row r="38" spans="1:10">
      <c r="A38" s="1412">
        <f>+A37+0.01</f>
        <v>6.01</v>
      </c>
      <c r="B38" s="42" t="s">
        <v>243</v>
      </c>
      <c r="D38" s="1741"/>
      <c r="E38" s="1791">
        <v>0</v>
      </c>
    </row>
    <row r="39" spans="1:10">
      <c r="A39" s="1412">
        <f t="shared" ref="A39:A51" si="2">+A38+0.01</f>
        <v>6.02</v>
      </c>
      <c r="B39" s="42" t="s">
        <v>244</v>
      </c>
      <c r="D39" s="1746">
        <v>1.17382677408575E-2</v>
      </c>
      <c r="E39" s="1791">
        <v>1642137.44</v>
      </c>
    </row>
    <row r="40" spans="1:10">
      <c r="A40" s="1412">
        <f t="shared" si="2"/>
        <v>6.0299999999999994</v>
      </c>
      <c r="B40" s="42" t="s">
        <v>245</v>
      </c>
      <c r="D40" s="1746">
        <v>1.17382677408575E-2</v>
      </c>
      <c r="E40" s="1791">
        <v>470609.84</v>
      </c>
    </row>
    <row r="41" spans="1:10">
      <c r="A41" s="1412">
        <f t="shared" si="2"/>
        <v>6.0399999999999991</v>
      </c>
      <c r="B41" s="42" t="s">
        <v>246</v>
      </c>
      <c r="D41" s="1746">
        <v>1.34752487086474E-2</v>
      </c>
      <c r="E41" s="1791">
        <v>1072163.48</v>
      </c>
    </row>
    <row r="42" spans="1:10">
      <c r="A42" s="1412">
        <f t="shared" si="2"/>
        <v>6.0499999999999989</v>
      </c>
      <c r="B42" s="42" t="s">
        <v>247</v>
      </c>
      <c r="D42" s="1746">
        <v>1.54790703050124E-2</v>
      </c>
      <c r="E42" s="1791">
        <v>17374288.219999999</v>
      </c>
    </row>
    <row r="43" spans="1:10">
      <c r="A43" s="1412">
        <f t="shared" si="2"/>
        <v>6.0599999999999987</v>
      </c>
      <c r="B43" s="42" t="s">
        <v>248</v>
      </c>
      <c r="D43" s="1746">
        <v>1.86259610437703E-2</v>
      </c>
      <c r="E43" s="1791">
        <v>2777927.98</v>
      </c>
    </row>
    <row r="44" spans="1:10">
      <c r="A44" s="1412">
        <f t="shared" si="2"/>
        <v>6.0699999999999985</v>
      </c>
      <c r="B44" s="42" t="s">
        <v>249</v>
      </c>
      <c r="D44" s="1746">
        <v>2.1728297252961101E-2</v>
      </c>
      <c r="E44" s="1791">
        <v>14228701.66</v>
      </c>
    </row>
    <row r="45" spans="1:10">
      <c r="A45" s="1412">
        <f t="shared" si="2"/>
        <v>6.0799999999999983</v>
      </c>
      <c r="B45" s="42" t="s">
        <v>250</v>
      </c>
      <c r="D45" s="1746">
        <v>1.8521312517128501E-2</v>
      </c>
      <c r="E45" s="1791">
        <v>8529461.4600000009</v>
      </c>
    </row>
    <row r="46" spans="1:10">
      <c r="A46" s="1412">
        <f t="shared" si="2"/>
        <v>6.0899999999999981</v>
      </c>
      <c r="B46" s="42" t="s">
        <v>251</v>
      </c>
      <c r="D46" s="1746">
        <v>1.8521312517128501E-2</v>
      </c>
      <c r="E46" s="1791">
        <v>262791.42</v>
      </c>
    </row>
    <row r="47" spans="1:10">
      <c r="A47" s="866">
        <f t="shared" si="2"/>
        <v>6.0999999999999979</v>
      </c>
      <c r="B47" s="42" t="s">
        <v>252</v>
      </c>
      <c r="D47" s="1746">
        <v>1.8521312517128501E-2</v>
      </c>
      <c r="E47" s="1791">
        <v>1658280.04</v>
      </c>
    </row>
    <row r="48" spans="1:10">
      <c r="A48" s="1412">
        <f t="shared" si="2"/>
        <v>6.1099999999999977</v>
      </c>
      <c r="B48" s="42" t="s">
        <v>253</v>
      </c>
      <c r="D48" s="1746">
        <v>1.6373619101762101E-2</v>
      </c>
      <c r="E48" s="1791">
        <v>29313.96</v>
      </c>
    </row>
    <row r="49" spans="1:7">
      <c r="A49" s="1412">
        <f t="shared" si="2"/>
        <v>6.1199999999999974</v>
      </c>
      <c r="B49" s="42" t="s">
        <v>254</v>
      </c>
      <c r="D49" s="1746">
        <v>1.6342904750866499E-2</v>
      </c>
      <c r="E49" s="1791">
        <v>73799.039999999994</v>
      </c>
    </row>
    <row r="50" spans="1:7">
      <c r="A50" s="1412">
        <f t="shared" si="2"/>
        <v>6.1299999999999972</v>
      </c>
      <c r="B50" s="42" t="s">
        <v>255</v>
      </c>
      <c r="D50" s="1746">
        <v>1.39124712631852E-2</v>
      </c>
      <c r="E50" s="1792">
        <v>75937.56</v>
      </c>
    </row>
    <row r="51" spans="1:7">
      <c r="A51" s="1412">
        <f t="shared" si="2"/>
        <v>6.139999999999997</v>
      </c>
      <c r="B51" s="277" t="str">
        <f>+"Total "&amp;B37</f>
        <v>Total Transmission</v>
      </c>
      <c r="C51" s="566"/>
      <c r="D51" s="1628"/>
      <c r="E51" s="77">
        <f>SUM(E38:E50)</f>
        <v>48195412.100000001</v>
      </c>
    </row>
    <row r="52" spans="1:7">
      <c r="A52" s="1412"/>
      <c r="B52" s="41"/>
      <c r="D52" s="41"/>
      <c r="E52" s="1415"/>
    </row>
    <row r="53" spans="1:7">
      <c r="A53" s="41" t="s">
        <v>298</v>
      </c>
      <c r="D53" s="41"/>
      <c r="E53" s="41"/>
    </row>
    <row r="54" spans="1:7" ht="111" customHeight="1">
      <c r="A54" s="867" t="s">
        <v>167</v>
      </c>
      <c r="B54" s="1911" t="s">
        <v>1820</v>
      </c>
      <c r="C54" s="1911"/>
      <c r="D54" s="1911"/>
      <c r="E54" s="1911"/>
      <c r="F54" s="1856"/>
      <c r="G54" s="1856"/>
    </row>
    <row r="55" spans="1:7" ht="27" customHeight="1">
      <c r="A55" s="867" t="s">
        <v>319</v>
      </c>
      <c r="B55" s="1962" t="s">
        <v>1749</v>
      </c>
      <c r="C55" s="1962"/>
      <c r="D55" s="1962"/>
      <c r="E55" s="1962"/>
      <c r="F55" s="1760"/>
    </row>
    <row r="56" spans="1:7" ht="25.95" customHeight="1">
      <c r="A56" s="867" t="s">
        <v>320</v>
      </c>
      <c r="B56" s="1959" t="s">
        <v>1750</v>
      </c>
      <c r="C56" s="1959"/>
      <c r="D56" s="1959"/>
      <c r="E56" s="1959"/>
      <c r="F56" s="1760"/>
    </row>
  </sheetData>
  <mergeCells count="7">
    <mergeCell ref="B55:E55"/>
    <mergeCell ref="B56:E56"/>
    <mergeCell ref="A1:E1"/>
    <mergeCell ref="A3:E3"/>
    <mergeCell ref="A2:E2"/>
    <mergeCell ref="D6:E6"/>
    <mergeCell ref="B54:E54"/>
  </mergeCells>
  <printOptions horizontalCentered="1"/>
  <pageMargins left="0.7" right="0.7" top="0.5" bottom="0.7" header="0.3" footer="0.5"/>
  <pageSetup scale="86" orientation="portrait" r:id="rId1"/>
  <headerFooter>
    <oddFooter>&amp;C
&amp;R&amp;A</oddFooter>
  </headerFooter>
  <ignoredErrors>
    <ignoredError sqref="A54:A5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A21" sqref="A21"/>
    </sheetView>
  </sheetViews>
  <sheetFormatPr defaultColWidth="8.88671875" defaultRowHeight="13.2"/>
  <cols>
    <col min="1" max="1" width="6.109375" style="42" bestFit="1" customWidth="1"/>
    <col min="2" max="2" width="38.5546875" style="42" customWidth="1"/>
    <col min="3" max="4" width="12.6640625" style="42" customWidth="1"/>
    <col min="5" max="5" width="1.6640625" style="42" customWidth="1"/>
    <col min="6" max="7" width="12.6640625" style="42" customWidth="1"/>
    <col min="8" max="16384" width="8.88671875" style="42"/>
  </cols>
  <sheetData>
    <row r="1" spans="1:12">
      <c r="A1" s="1972" t="s">
        <v>961</v>
      </c>
      <c r="B1" s="1972"/>
      <c r="C1" s="1972"/>
      <c r="D1" s="1972"/>
      <c r="E1" s="1972"/>
      <c r="F1" s="1972"/>
      <c r="G1" s="1972"/>
    </row>
    <row r="2" spans="1:12" ht="25.95" customHeight="1">
      <c r="A2" s="2041" t="s">
        <v>2102</v>
      </c>
      <c r="B2" s="2041"/>
      <c r="C2" s="2041"/>
      <c r="D2" s="2041"/>
      <c r="E2" s="2041"/>
      <c r="F2" s="2041"/>
      <c r="G2" s="2041"/>
    </row>
    <row r="3" spans="1:12">
      <c r="A3" s="2036" t="s">
        <v>1744</v>
      </c>
      <c r="B3" s="2036"/>
      <c r="C3" s="2036"/>
      <c r="D3" s="2036"/>
      <c r="E3" s="2036"/>
      <c r="F3" s="2036"/>
      <c r="G3" s="2036"/>
      <c r="H3" s="793"/>
      <c r="I3" s="793"/>
      <c r="J3" s="793"/>
      <c r="K3" s="793"/>
      <c r="L3" s="793"/>
    </row>
    <row r="4" spans="1:12">
      <c r="A4" s="41"/>
      <c r="B4" s="553"/>
      <c r="C4" s="553"/>
      <c r="D4" s="553"/>
      <c r="E4" s="41"/>
    </row>
    <row r="5" spans="1:12">
      <c r="A5" s="1826" t="s">
        <v>279</v>
      </c>
      <c r="B5" s="635" t="s">
        <v>67</v>
      </c>
      <c r="C5" s="1683" t="s">
        <v>114</v>
      </c>
      <c r="D5" s="1683" t="s">
        <v>55</v>
      </c>
      <c r="E5" s="1685"/>
      <c r="F5" s="1827" t="s">
        <v>68</v>
      </c>
      <c r="G5" s="1827" t="s">
        <v>66</v>
      </c>
    </row>
    <row r="6" spans="1:12">
      <c r="A6" s="1826"/>
      <c r="B6" s="635"/>
      <c r="C6" s="2039" t="s">
        <v>2122</v>
      </c>
      <c r="D6" s="2039"/>
      <c r="E6" s="1685"/>
      <c r="F6" s="2039" t="s">
        <v>2123</v>
      </c>
      <c r="G6" s="2039"/>
    </row>
    <row r="7" spans="1:12">
      <c r="A7" s="1826"/>
      <c r="C7" s="2040" t="s">
        <v>2129</v>
      </c>
      <c r="D7" s="2040"/>
      <c r="E7" s="1685"/>
      <c r="F7" s="2040" t="s">
        <v>2129</v>
      </c>
      <c r="G7" s="2040"/>
    </row>
    <row r="8" spans="1:12">
      <c r="A8" s="1412">
        <v>1</v>
      </c>
      <c r="B8" s="1842" t="s">
        <v>256</v>
      </c>
      <c r="C8" s="1795" t="s">
        <v>1817</v>
      </c>
      <c r="D8" s="1795" t="s">
        <v>1818</v>
      </c>
      <c r="F8" s="1795" t="s">
        <v>1817</v>
      </c>
      <c r="G8" s="1795" t="s">
        <v>1818</v>
      </c>
    </row>
    <row r="9" spans="1:12" ht="15">
      <c r="A9" s="1412">
        <f>A8+1</f>
        <v>2</v>
      </c>
      <c r="B9" s="1793" t="s">
        <v>2103</v>
      </c>
      <c r="C9" s="1686"/>
      <c r="D9" s="1686"/>
    </row>
    <row r="10" spans="1:12">
      <c r="A10" s="1412">
        <f>+A9+0.01</f>
        <v>2.0099999999999998</v>
      </c>
      <c r="B10" s="42" t="s">
        <v>2104</v>
      </c>
      <c r="C10" s="1844">
        <v>0</v>
      </c>
      <c r="D10" s="1626">
        <v>0</v>
      </c>
      <c r="F10" s="1844">
        <v>0</v>
      </c>
      <c r="G10" s="1626">
        <v>0</v>
      </c>
    </row>
    <row r="11" spans="1:12">
      <c r="A11" s="1412">
        <f t="shared" ref="A11:A28" si="0">+A10+0.01</f>
        <v>2.0199999999999996</v>
      </c>
      <c r="B11" s="42" t="s">
        <v>2105</v>
      </c>
      <c r="C11" s="1844">
        <v>3.3700000000000001E-2</v>
      </c>
      <c r="D11" s="1626">
        <v>261227.86000000004</v>
      </c>
      <c r="F11" s="1844">
        <v>4.48E-2</v>
      </c>
      <c r="G11" s="1626">
        <v>231251.88000000003</v>
      </c>
    </row>
    <row r="12" spans="1:12">
      <c r="A12" s="1412">
        <f t="shared" si="0"/>
        <v>2.0299999999999994</v>
      </c>
      <c r="B12" s="42" t="s">
        <v>2106</v>
      </c>
      <c r="C12" s="1844">
        <v>3.3700000000000001E-2</v>
      </c>
      <c r="D12" s="1626">
        <v>409476.60000000015</v>
      </c>
      <c r="F12" s="1844">
        <v>2.2699999999999998E-2</v>
      </c>
      <c r="G12" s="1626">
        <v>437206.51000000007</v>
      </c>
    </row>
    <row r="13" spans="1:12">
      <c r="A13" s="1412">
        <f t="shared" si="0"/>
        <v>2.0399999999999991</v>
      </c>
      <c r="B13" s="42" t="s">
        <v>2107</v>
      </c>
      <c r="C13" s="1844">
        <v>3.3700000000000001E-2</v>
      </c>
      <c r="D13" s="1626">
        <v>8183418.7999999989</v>
      </c>
      <c r="F13" s="1844">
        <v>2.5099999999999997E-2</v>
      </c>
      <c r="G13" s="1626">
        <v>6255414.5800000001</v>
      </c>
    </row>
    <row r="14" spans="1:12">
      <c r="A14" s="1412">
        <f t="shared" si="0"/>
        <v>2.0499999999999989</v>
      </c>
      <c r="B14" s="42" t="s">
        <v>2108</v>
      </c>
      <c r="C14" s="1844">
        <v>3.3700000000000001E-2</v>
      </c>
      <c r="D14" s="1626">
        <v>9426641.4000000022</v>
      </c>
      <c r="F14" s="1844">
        <v>3.4799999999999998E-2</v>
      </c>
      <c r="G14" s="1626">
        <v>6211873.1100000013</v>
      </c>
    </row>
    <row r="15" spans="1:12">
      <c r="A15" s="1412">
        <f t="shared" si="0"/>
        <v>2.0599999999999987</v>
      </c>
      <c r="B15" s="42" t="s">
        <v>2109</v>
      </c>
      <c r="C15" s="1844">
        <v>3.3700000000000001E-2</v>
      </c>
      <c r="D15" s="1626">
        <v>13351845.500000004</v>
      </c>
      <c r="F15" s="1844">
        <v>2.47E-2</v>
      </c>
      <c r="G15" s="1626">
        <v>4464716.3199999994</v>
      </c>
    </row>
    <row r="16" spans="1:12">
      <c r="A16" s="1412">
        <f t="shared" si="0"/>
        <v>2.0699999999999985</v>
      </c>
      <c r="B16" s="42" t="s">
        <v>2110</v>
      </c>
      <c r="C16" s="1844">
        <v>3.3700000000000001E-2</v>
      </c>
      <c r="D16" s="1626">
        <v>33579.160000000003</v>
      </c>
      <c r="F16" s="1844">
        <v>2.47E-2</v>
      </c>
      <c r="G16" s="1626">
        <v>655226.28000000026</v>
      </c>
    </row>
    <row r="17" spans="1:7">
      <c r="A17" s="1412">
        <f t="shared" si="0"/>
        <v>2.0799999999999983</v>
      </c>
      <c r="B17" s="42" t="s">
        <v>2111</v>
      </c>
      <c r="C17" s="1844">
        <v>3.3700000000000001E-2</v>
      </c>
      <c r="D17" s="1626">
        <v>2217565.88</v>
      </c>
      <c r="F17" s="1847"/>
    </row>
    <row r="18" spans="1:7">
      <c r="A18" s="1412">
        <f t="shared" si="0"/>
        <v>2.0899999999999981</v>
      </c>
      <c r="B18" s="42" t="s">
        <v>2112</v>
      </c>
      <c r="C18" s="1844">
        <v>3.3700000000000001E-2</v>
      </c>
      <c r="D18" s="1626">
        <v>1239207.4600000002</v>
      </c>
      <c r="F18" s="1844">
        <v>1.44E-2</v>
      </c>
      <c r="G18" s="1626">
        <v>940163.62999999942</v>
      </c>
    </row>
    <row r="19" spans="1:7">
      <c r="A19" s="866">
        <f t="shared" si="0"/>
        <v>2.0999999999999979</v>
      </c>
      <c r="B19" s="42" t="s">
        <v>2113</v>
      </c>
      <c r="C19" s="1844">
        <v>3.3700000000000001E-2</v>
      </c>
      <c r="D19" s="1626">
        <v>2572262.8699999992</v>
      </c>
      <c r="F19" s="1844">
        <v>1.84E-2</v>
      </c>
      <c r="G19" s="1626">
        <v>1817428.6799999995</v>
      </c>
    </row>
    <row r="20" spans="1:7">
      <c r="A20" s="1412">
        <f t="shared" si="0"/>
        <v>2.1099999999999977</v>
      </c>
      <c r="B20" s="42" t="s">
        <v>2114</v>
      </c>
      <c r="C20" s="1844">
        <v>3.3700000000000001E-2</v>
      </c>
      <c r="D20" s="1626">
        <v>17969736.029999997</v>
      </c>
      <c r="F20" s="1844">
        <v>2.5700000000000001E-2</v>
      </c>
      <c r="G20" s="1626">
        <v>8980198.7899999972</v>
      </c>
    </row>
    <row r="21" spans="1:7">
      <c r="A21" s="1412">
        <f t="shared" si="0"/>
        <v>2.1199999999999974</v>
      </c>
      <c r="B21" s="42" t="s">
        <v>2115</v>
      </c>
      <c r="C21" s="1844">
        <v>3.3700000000000001E-2</v>
      </c>
      <c r="D21" s="1626">
        <v>14547356.959999999</v>
      </c>
      <c r="F21" s="1844">
        <v>3.2600000000000004E-2</v>
      </c>
      <c r="G21" s="1626">
        <v>3419101.3699999996</v>
      </c>
    </row>
    <row r="22" spans="1:7">
      <c r="A22" s="1412">
        <f t="shared" si="0"/>
        <v>2.1299999999999972</v>
      </c>
      <c r="B22" s="42" t="s">
        <v>2116</v>
      </c>
      <c r="C22" s="1844">
        <v>3.3700000000000001E-2</v>
      </c>
      <c r="D22" s="1626">
        <v>2704763.2199999997</v>
      </c>
      <c r="F22" s="1844">
        <v>3.2600000000000004E-2</v>
      </c>
      <c r="G22" s="1626">
        <v>2480755.1799999992</v>
      </c>
    </row>
    <row r="23" spans="1:7">
      <c r="A23" s="1412">
        <f t="shared" si="0"/>
        <v>2.139999999999997</v>
      </c>
      <c r="B23" s="42" t="s">
        <v>2117</v>
      </c>
      <c r="C23" s="1844">
        <v>3.3700000000000001E-2</v>
      </c>
      <c r="D23" s="1626">
        <v>2960296.28</v>
      </c>
      <c r="F23" s="1844">
        <v>2.86E-2</v>
      </c>
      <c r="G23" s="1626">
        <v>1277182.5000000007</v>
      </c>
    </row>
    <row r="24" spans="1:7">
      <c r="A24" s="1412">
        <f t="shared" si="0"/>
        <v>2.1499999999999968</v>
      </c>
      <c r="B24" s="42" t="s">
        <v>2118</v>
      </c>
      <c r="C24" s="1844">
        <v>3.3700000000000001E-2</v>
      </c>
      <c r="D24" s="1626">
        <v>4427.83</v>
      </c>
      <c r="F24" s="1844">
        <v>2.86E-2</v>
      </c>
      <c r="G24" s="1626">
        <v>8493.119999999999</v>
      </c>
    </row>
    <row r="25" spans="1:7">
      <c r="A25" s="1412">
        <f t="shared" si="0"/>
        <v>2.1599999999999966</v>
      </c>
      <c r="B25" s="42" t="s">
        <v>2119</v>
      </c>
      <c r="C25" s="1844">
        <v>3.3700000000000001E-2</v>
      </c>
      <c r="D25" s="1626">
        <v>3770238.8399999994</v>
      </c>
      <c r="F25" s="1844">
        <v>2.6799999999999997E-2</v>
      </c>
      <c r="G25" s="1626">
        <v>1616248.37</v>
      </c>
    </row>
    <row r="26" spans="1:7">
      <c r="A26" s="1412">
        <f t="shared" si="0"/>
        <v>2.1699999999999964</v>
      </c>
      <c r="B26" s="42" t="s">
        <v>2120</v>
      </c>
      <c r="C26" s="1844">
        <v>3.3700000000000001E-2</v>
      </c>
      <c r="D26" s="1626">
        <v>2051080.6300000004</v>
      </c>
      <c r="F26" s="1844">
        <v>3.2199999999999999E-2</v>
      </c>
      <c r="G26" s="1626">
        <v>945817.60000000009</v>
      </c>
    </row>
    <row r="27" spans="1:7">
      <c r="A27" s="1412">
        <f t="shared" si="0"/>
        <v>2.1799999999999962</v>
      </c>
      <c r="B27" s="42" t="s">
        <v>2121</v>
      </c>
      <c r="C27" s="1844">
        <v>3.3700000000000001E-2</v>
      </c>
      <c r="D27" s="1626">
        <v>48476.969999999994</v>
      </c>
      <c r="F27" s="1844">
        <v>3.2199999999999999E-2</v>
      </c>
      <c r="G27" s="1626">
        <v>3144.2200000000007</v>
      </c>
    </row>
    <row r="28" spans="1:7" ht="14.4">
      <c r="A28" s="1412">
        <f t="shared" si="0"/>
        <v>2.1899999999999959</v>
      </c>
      <c r="B28" s="1843" t="str">
        <f>+"Total "&amp;B9</f>
        <v>Total Distribution Plant</v>
      </c>
      <c r="C28" s="1844"/>
      <c r="D28" s="1846">
        <v>81751602.289999738</v>
      </c>
      <c r="F28" s="1845"/>
      <c r="G28" s="1846">
        <v>39744222.140000008</v>
      </c>
    </row>
    <row r="29" spans="1:7">
      <c r="A29" s="1412">
        <v>3</v>
      </c>
      <c r="F29" s="1827"/>
    </row>
    <row r="30" spans="1:7">
      <c r="A30" s="1412"/>
      <c r="F30" s="1827"/>
    </row>
    <row r="31" spans="1:7">
      <c r="B31" s="1850" t="s">
        <v>2126</v>
      </c>
      <c r="F31" s="1827"/>
    </row>
    <row r="32" spans="1:7">
      <c r="B32" s="42" t="s">
        <v>2124</v>
      </c>
      <c r="C32" s="785">
        <f>G28</f>
        <v>39744222.140000008</v>
      </c>
      <c r="E32" s="1827"/>
    </row>
    <row r="33" spans="2:5">
      <c r="B33" s="42" t="s">
        <v>2125</v>
      </c>
      <c r="C33" s="1848">
        <f>D28</f>
        <v>81751602.289999738</v>
      </c>
      <c r="E33" s="1827"/>
    </row>
    <row r="34" spans="2:5">
      <c r="B34" s="42" t="s">
        <v>2127</v>
      </c>
      <c r="C34" s="1849">
        <f>C32+C33</f>
        <v>121495824.42999974</v>
      </c>
      <c r="D34" s="688" t="s">
        <v>2128</v>
      </c>
    </row>
  </sheetData>
  <mergeCells count="7">
    <mergeCell ref="C6:D6"/>
    <mergeCell ref="F6:G6"/>
    <mergeCell ref="C7:D7"/>
    <mergeCell ref="F7:G7"/>
    <mergeCell ref="A1:G1"/>
    <mergeCell ref="A2:G2"/>
    <mergeCell ref="A3:G3"/>
  </mergeCells>
  <printOptions horizontalCentered="1"/>
  <pageMargins left="0.5" right="0.5" top="0.5" bottom="0.7" header="0.3" footer="0.5"/>
  <pageSetup scale="95" orientation="portrait" r:id="rId1"/>
  <headerFooter>
    <oddFooter>&amp;C
&amp;R&amp;A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68"/>
  <sheetViews>
    <sheetView zoomScaleNormal="100" workbookViewId="0">
      <selection activeCell="A21" sqref="A21"/>
    </sheetView>
  </sheetViews>
  <sheetFormatPr defaultColWidth="9.109375" defaultRowHeight="13.2"/>
  <cols>
    <col min="1" max="1" width="7" style="796" bestFit="1" customWidth="1"/>
    <col min="2" max="2" width="28.6640625" style="515" customWidth="1"/>
    <col min="3" max="3" width="12.44140625" style="515" bestFit="1" customWidth="1"/>
    <col min="4" max="5" width="12.44140625" style="515" customWidth="1"/>
    <col min="6" max="6" width="11.33203125" style="515" customWidth="1"/>
    <col min="7" max="13" width="12.44140625" style="515" customWidth="1"/>
    <col min="14" max="15" width="12.44140625" style="515" bestFit="1" customWidth="1"/>
    <col min="16" max="16" width="18.6640625" style="794" customWidth="1"/>
    <col min="17" max="17" width="9.33203125" style="515" bestFit="1" customWidth="1"/>
    <col min="18" max="18" width="13" style="515" bestFit="1" customWidth="1"/>
    <col min="19" max="16384" width="9.109375" style="515"/>
  </cols>
  <sheetData>
    <row r="1" spans="1:18">
      <c r="A1" s="2043" t="str">
        <f>+'MISO Cover'!C6</f>
        <v>Entergy Louisiana, LLC</v>
      </c>
      <c r="B1" s="2043"/>
      <c r="C1" s="2043"/>
      <c r="D1" s="2043"/>
      <c r="E1" s="2043"/>
      <c r="F1" s="2043"/>
      <c r="G1" s="2043"/>
      <c r="H1" s="2043"/>
      <c r="I1" s="2043"/>
      <c r="J1" s="2043"/>
      <c r="K1" s="2043"/>
      <c r="L1" s="2043"/>
      <c r="M1" s="2043"/>
      <c r="N1" s="2043"/>
      <c r="O1" s="2043"/>
      <c r="P1" s="1567"/>
    </row>
    <row r="2" spans="1:18">
      <c r="A2" s="1980" t="s">
        <v>889</v>
      </c>
      <c r="B2" s="1980"/>
      <c r="C2" s="1980"/>
      <c r="D2" s="1980"/>
      <c r="E2" s="1980"/>
      <c r="F2" s="1980"/>
      <c r="G2" s="1980"/>
      <c r="H2" s="1980"/>
      <c r="I2" s="1980"/>
      <c r="J2" s="1980"/>
      <c r="K2" s="1980"/>
      <c r="L2" s="1980"/>
      <c r="M2" s="1980"/>
      <c r="N2" s="1980"/>
      <c r="O2" s="1980"/>
      <c r="P2" s="1568"/>
    </row>
    <row r="3" spans="1:18">
      <c r="A3" s="1977" t="str">
        <f>+'MISO Cover'!K4</f>
        <v>For  the 12 Months Ended 12/31/2016</v>
      </c>
      <c r="B3" s="1977"/>
      <c r="C3" s="1977"/>
      <c r="D3" s="1977"/>
      <c r="E3" s="1977"/>
      <c r="F3" s="1977"/>
      <c r="G3" s="1977"/>
      <c r="H3" s="1977"/>
      <c r="I3" s="1977"/>
      <c r="J3" s="1977"/>
      <c r="K3" s="1977"/>
      <c r="L3" s="1977"/>
      <c r="M3" s="1977"/>
      <c r="N3" s="1977"/>
      <c r="O3" s="1977"/>
      <c r="P3" s="931"/>
      <c r="Q3" s="177"/>
      <c r="R3" s="177"/>
    </row>
    <row r="4" spans="1:18">
      <c r="B4" s="750"/>
      <c r="C4" s="750"/>
      <c r="D4" s="750"/>
      <c r="E4" s="750"/>
      <c r="F4" s="750"/>
      <c r="G4" s="750"/>
      <c r="H4" s="750"/>
      <c r="I4" s="750"/>
      <c r="J4" s="750"/>
      <c r="K4" s="750"/>
      <c r="L4" s="750"/>
      <c r="M4" s="750"/>
      <c r="N4" s="750"/>
      <c r="O4" s="750"/>
      <c r="P4" s="795"/>
      <c r="Q4" s="177"/>
      <c r="R4" s="177"/>
    </row>
    <row r="5" spans="1:18">
      <c r="A5" s="796" t="s">
        <v>279</v>
      </c>
      <c r="B5" s="1175" t="s">
        <v>67</v>
      </c>
      <c r="C5" s="1175" t="s">
        <v>114</v>
      </c>
      <c r="D5" s="1175" t="s">
        <v>55</v>
      </c>
      <c r="E5" s="1175" t="s">
        <v>68</v>
      </c>
      <c r="F5" s="1175" t="s">
        <v>66</v>
      </c>
      <c r="G5" s="1175" t="s">
        <v>154</v>
      </c>
      <c r="H5" s="1175" t="s">
        <v>69</v>
      </c>
      <c r="I5" s="1175" t="s">
        <v>166</v>
      </c>
      <c r="J5" s="1175" t="s">
        <v>444</v>
      </c>
      <c r="K5" s="1175" t="s">
        <v>445</v>
      </c>
      <c r="L5" s="1175" t="s">
        <v>446</v>
      </c>
      <c r="M5" s="1175" t="s">
        <v>447</v>
      </c>
      <c r="N5" s="1175" t="s">
        <v>448</v>
      </c>
      <c r="O5" s="1175" t="s">
        <v>449</v>
      </c>
      <c r="P5" s="177"/>
      <c r="Q5" s="177"/>
    </row>
    <row r="6" spans="1:18">
      <c r="A6" s="961"/>
      <c r="P6" s="177"/>
      <c r="Q6" s="177"/>
    </row>
    <row r="7" spans="1:18" ht="13.2" customHeight="1">
      <c r="A7" s="961">
        <v>1</v>
      </c>
      <c r="B7" s="42" t="s">
        <v>25</v>
      </c>
      <c r="C7" s="1483" t="s">
        <v>2039</v>
      </c>
      <c r="D7" s="42"/>
      <c r="E7" s="42"/>
      <c r="F7" s="42"/>
      <c r="G7" s="42"/>
      <c r="H7" s="42"/>
      <c r="I7" s="42"/>
      <c r="J7" s="42"/>
      <c r="K7" s="42"/>
      <c r="L7" s="42"/>
      <c r="M7" s="42"/>
      <c r="N7" s="42"/>
      <c r="O7" s="42"/>
      <c r="P7" s="515"/>
    </row>
    <row r="8" spans="1:18" ht="13.2" customHeight="1">
      <c r="A8" s="961">
        <f>+A7+1</f>
        <v>2</v>
      </c>
      <c r="B8" s="42" t="s">
        <v>437</v>
      </c>
      <c r="C8" s="1176" t="s">
        <v>969</v>
      </c>
      <c r="D8" s="41"/>
      <c r="E8" s="41"/>
      <c r="F8" s="41"/>
      <c r="G8" s="41"/>
      <c r="H8" s="41"/>
      <c r="I8" s="41"/>
      <c r="J8" s="41"/>
      <c r="K8" s="41"/>
      <c r="L8" s="41"/>
      <c r="M8" s="41"/>
      <c r="N8" s="41"/>
      <c r="O8" s="41"/>
      <c r="P8" s="515"/>
    </row>
    <row r="9" spans="1:18">
      <c r="A9" s="961">
        <f t="shared" ref="A9:A57" si="0">+A8+1</f>
        <v>3</v>
      </c>
      <c r="B9" s="42"/>
      <c r="C9" s="2042"/>
      <c r="D9" s="2042"/>
      <c r="E9" s="2042"/>
      <c r="F9" s="2042"/>
      <c r="G9" s="2042"/>
      <c r="H9" s="2042"/>
      <c r="I9" s="2042"/>
      <c r="J9" s="2042"/>
      <c r="K9" s="2042"/>
      <c r="L9" s="2042"/>
      <c r="M9" s="2042"/>
      <c r="N9" s="2042"/>
      <c r="O9" s="42"/>
      <c r="P9" s="515"/>
    </row>
    <row r="10" spans="1:18">
      <c r="A10" s="961">
        <f t="shared" si="0"/>
        <v>4</v>
      </c>
      <c r="B10" s="76"/>
      <c r="C10" s="1182" t="s">
        <v>27</v>
      </c>
      <c r="D10" s="1182" t="s">
        <v>28</v>
      </c>
      <c r="E10" s="1182" t="s">
        <v>29</v>
      </c>
      <c r="F10" s="1182" t="s">
        <v>30</v>
      </c>
      <c r="G10" s="1182" t="s">
        <v>26</v>
      </c>
      <c r="H10" s="1182" t="s">
        <v>31</v>
      </c>
      <c r="I10" s="1182" t="s">
        <v>32</v>
      </c>
      <c r="J10" s="1182" t="s">
        <v>33</v>
      </c>
      <c r="K10" s="1182" t="s">
        <v>34</v>
      </c>
      <c r="L10" s="1182" t="s">
        <v>35</v>
      </c>
      <c r="M10" s="1182" t="s">
        <v>36</v>
      </c>
      <c r="N10" s="1182" t="s">
        <v>37</v>
      </c>
      <c r="O10" s="1182" t="s">
        <v>438</v>
      </c>
      <c r="P10" s="515"/>
    </row>
    <row r="11" spans="1:18">
      <c r="A11" s="961">
        <f t="shared" si="0"/>
        <v>5</v>
      </c>
      <c r="B11" s="76" t="s">
        <v>439</v>
      </c>
      <c r="C11" s="1319">
        <v>11</v>
      </c>
      <c r="D11" s="1319">
        <v>5</v>
      </c>
      <c r="E11" s="1319">
        <v>15</v>
      </c>
      <c r="F11" s="1319">
        <v>26</v>
      </c>
      <c r="G11" s="1319">
        <v>25</v>
      </c>
      <c r="H11" s="1319">
        <v>17</v>
      </c>
      <c r="I11" s="1319">
        <v>20</v>
      </c>
      <c r="J11" s="1319">
        <v>6</v>
      </c>
      <c r="K11" s="1319">
        <v>1</v>
      </c>
      <c r="L11" s="1319">
        <v>7</v>
      </c>
      <c r="M11" s="1319">
        <v>3</v>
      </c>
      <c r="N11" s="1319">
        <v>19</v>
      </c>
      <c r="O11" s="554"/>
      <c r="P11" s="515"/>
    </row>
    <row r="12" spans="1:18">
      <c r="A12" s="961">
        <f t="shared" si="0"/>
        <v>6</v>
      </c>
      <c r="B12" s="76" t="s">
        <v>440</v>
      </c>
      <c r="C12" s="1319">
        <v>800</v>
      </c>
      <c r="D12" s="1319">
        <v>800</v>
      </c>
      <c r="E12" s="1319">
        <v>1700</v>
      </c>
      <c r="F12" s="1319">
        <v>1700</v>
      </c>
      <c r="G12" s="1319">
        <v>1600</v>
      </c>
      <c r="H12" s="1319">
        <v>1700</v>
      </c>
      <c r="I12" s="1319">
        <v>1600</v>
      </c>
      <c r="J12" s="1319">
        <v>1600</v>
      </c>
      <c r="K12" s="1319">
        <v>1700</v>
      </c>
      <c r="L12" s="1319">
        <v>1600</v>
      </c>
      <c r="M12" s="1319">
        <v>1700</v>
      </c>
      <c r="N12" s="1319">
        <v>1000</v>
      </c>
      <c r="O12" s="554"/>
      <c r="P12" s="515"/>
    </row>
    <row r="13" spans="1:18">
      <c r="A13" s="961">
        <f t="shared" si="0"/>
        <v>7</v>
      </c>
      <c r="B13" s="76"/>
      <c r="C13" s="554"/>
      <c r="D13" s="554"/>
      <c r="E13" s="554"/>
      <c r="F13" s="554"/>
      <c r="G13" s="554"/>
      <c r="H13" s="554"/>
      <c r="I13" s="554"/>
      <c r="J13" s="554"/>
      <c r="K13" s="554"/>
      <c r="L13" s="554"/>
      <c r="M13" s="554"/>
      <c r="N13" s="554"/>
      <c r="O13" s="554"/>
      <c r="P13" s="515"/>
    </row>
    <row r="14" spans="1:18">
      <c r="A14" s="961">
        <f t="shared" si="0"/>
        <v>8</v>
      </c>
      <c r="B14" s="1183" t="s">
        <v>441</v>
      </c>
      <c r="C14" s="554"/>
      <c r="D14" s="554"/>
      <c r="E14" s="554"/>
      <c r="F14" s="554"/>
      <c r="G14" s="554"/>
      <c r="H14" s="554"/>
      <c r="I14" s="554"/>
      <c r="J14" s="554"/>
      <c r="K14" s="554"/>
      <c r="L14" s="554"/>
      <c r="M14" s="554"/>
      <c r="N14" s="554"/>
      <c r="O14" s="554"/>
      <c r="P14" s="177"/>
    </row>
    <row r="15" spans="1:18">
      <c r="A15" s="1020">
        <f>+A14+0.01</f>
        <v>8.01</v>
      </c>
      <c r="B15" s="554" t="s">
        <v>1322</v>
      </c>
      <c r="C15" s="1320">
        <v>4.09</v>
      </c>
      <c r="D15" s="1320">
        <v>4.09</v>
      </c>
      <c r="E15" s="1320">
        <v>2.044</v>
      </c>
      <c r="F15" s="1320">
        <v>2.044</v>
      </c>
      <c r="G15" s="1320">
        <v>2.044</v>
      </c>
      <c r="H15" s="1320">
        <v>3.0630000000000002</v>
      </c>
      <c r="I15" s="1320">
        <v>4.0839999999999996</v>
      </c>
      <c r="J15" s="1320">
        <v>3.0630000000000002</v>
      </c>
      <c r="K15" s="1320">
        <v>3.0630000000000002</v>
      </c>
      <c r="L15" s="1320">
        <v>3.0630000000000002</v>
      </c>
      <c r="M15" s="1320">
        <v>2.0419999999999998</v>
      </c>
      <c r="N15" s="1320">
        <v>4.0830000000000002</v>
      </c>
      <c r="O15" s="968">
        <f>+SUM(C15:N15)/12</f>
        <v>3.0644166666666663</v>
      </c>
      <c r="P15" s="1412" t="s">
        <v>1970</v>
      </c>
    </row>
    <row r="16" spans="1:18">
      <c r="A16" s="1020">
        <f t="shared" ref="A16:A33" si="1">+A15+0.01</f>
        <v>8.02</v>
      </c>
      <c r="B16" s="554" t="s">
        <v>1323</v>
      </c>
      <c r="C16" s="1320">
        <v>20.449000000000002</v>
      </c>
      <c r="D16" s="1320">
        <v>19.427</v>
      </c>
      <c r="E16" s="1320">
        <v>19.427</v>
      </c>
      <c r="F16" s="1320">
        <v>22.494</v>
      </c>
      <c r="G16" s="1320">
        <v>28.629000000000001</v>
      </c>
      <c r="H16" s="1320">
        <v>33.686</v>
      </c>
      <c r="I16" s="1320">
        <v>36.749000000000002</v>
      </c>
      <c r="J16" s="1320">
        <v>35.728000000000002</v>
      </c>
      <c r="K16" s="1320">
        <v>23.478000000000002</v>
      </c>
      <c r="L16" s="1320">
        <v>28.582000000000001</v>
      </c>
      <c r="M16" s="1320">
        <v>20.416</v>
      </c>
      <c r="N16" s="1320">
        <v>21.437000000000001</v>
      </c>
      <c r="O16" s="968">
        <f t="shared" ref="O16:O35" si="2">+SUM(C16:N16)/12</f>
        <v>25.875166666666669</v>
      </c>
      <c r="P16" s="1412" t="s">
        <v>1971</v>
      </c>
    </row>
    <row r="17" spans="1:16">
      <c r="A17" s="1020">
        <f t="shared" si="1"/>
        <v>8.0299999999999994</v>
      </c>
      <c r="B17" s="554" t="s">
        <v>1324</v>
      </c>
      <c r="C17" s="1320">
        <v>428.28199999999998</v>
      </c>
      <c r="D17" s="1320">
        <v>421.35899999999998</v>
      </c>
      <c r="E17" s="1320">
        <v>334.91699999999997</v>
      </c>
      <c r="F17" s="1320">
        <v>373.80399999999997</v>
      </c>
      <c r="G17" s="1320">
        <v>437.95600000000002</v>
      </c>
      <c r="H17" s="1320">
        <v>531.14700000000005</v>
      </c>
      <c r="I17" s="1320">
        <v>535.20100000000002</v>
      </c>
      <c r="J17" s="1320">
        <v>521.23</v>
      </c>
      <c r="K17" s="1320">
        <v>535.85799999999995</v>
      </c>
      <c r="L17" s="1320">
        <v>439.32499999999999</v>
      </c>
      <c r="M17" s="1320">
        <v>357.73599999999999</v>
      </c>
      <c r="N17" s="1320">
        <v>427.36900000000003</v>
      </c>
      <c r="O17" s="968">
        <f t="shared" si="2"/>
        <v>445.34866666666659</v>
      </c>
      <c r="P17" s="1412" t="s">
        <v>1972</v>
      </c>
    </row>
    <row r="18" spans="1:16">
      <c r="A18" s="1020">
        <f t="shared" si="1"/>
        <v>8.0399999999999991</v>
      </c>
      <c r="B18" s="554" t="s">
        <v>1325</v>
      </c>
      <c r="C18" s="1320">
        <v>44.988</v>
      </c>
      <c r="D18" s="1320">
        <v>48.055999999999997</v>
      </c>
      <c r="E18" s="1320">
        <v>25.561</v>
      </c>
      <c r="F18" s="1320">
        <v>31.695</v>
      </c>
      <c r="G18" s="1320">
        <v>37.831000000000003</v>
      </c>
      <c r="H18" s="1320">
        <v>43.893999999999998</v>
      </c>
      <c r="I18" s="1320">
        <v>46.957000000000001</v>
      </c>
      <c r="J18" s="1320">
        <v>34.707000000000001</v>
      </c>
      <c r="K18" s="1320">
        <v>41.851999999999997</v>
      </c>
      <c r="L18" s="1320">
        <v>32.664999999999999</v>
      </c>
      <c r="M18" s="1320">
        <v>30.625</v>
      </c>
      <c r="N18" s="1320">
        <v>45.936</v>
      </c>
      <c r="O18" s="968">
        <f t="shared" si="2"/>
        <v>38.730583333333328</v>
      </c>
      <c r="P18" s="1412" t="s">
        <v>1973</v>
      </c>
    </row>
    <row r="19" spans="1:16">
      <c r="A19" s="1020">
        <f t="shared" si="1"/>
        <v>8.0499999999999989</v>
      </c>
      <c r="B19" s="554" t="s">
        <v>1326</v>
      </c>
      <c r="C19" s="1320">
        <v>5.9610000000000003</v>
      </c>
      <c r="D19" s="1320">
        <v>5.9770000000000003</v>
      </c>
      <c r="E19" s="1320">
        <v>4.5369999999999999</v>
      </c>
      <c r="F19" s="1320">
        <v>5.4530000000000003</v>
      </c>
      <c r="G19" s="1320">
        <v>6.6559999999999997</v>
      </c>
      <c r="H19" s="1320">
        <v>8.0869999999999997</v>
      </c>
      <c r="I19" s="1320">
        <v>8.3030000000000008</v>
      </c>
      <c r="J19" s="1320">
        <v>8.0909999999999993</v>
      </c>
      <c r="K19" s="1320">
        <v>8.3870000000000005</v>
      </c>
      <c r="L19" s="1320">
        <v>7.0209999999999999</v>
      </c>
      <c r="M19" s="1320">
        <v>5.4059999999999997</v>
      </c>
      <c r="N19" s="1320">
        <v>6.3259999999999996</v>
      </c>
      <c r="O19" s="968">
        <f t="shared" si="2"/>
        <v>6.6837499999999999</v>
      </c>
      <c r="P19" s="1412" t="s">
        <v>1326</v>
      </c>
    </row>
    <row r="20" spans="1:16">
      <c r="A20" s="1020">
        <f t="shared" si="1"/>
        <v>8.0599999999999987</v>
      </c>
      <c r="B20" s="554" t="s">
        <v>1327</v>
      </c>
      <c r="C20" s="1320">
        <v>1196.4390000000001</v>
      </c>
      <c r="D20" s="1320">
        <v>1197.018</v>
      </c>
      <c r="E20" s="1320">
        <v>717.27099999999996</v>
      </c>
      <c r="F20" s="1320">
        <v>840.81700000000001</v>
      </c>
      <c r="G20" s="1320">
        <v>991.37699999999995</v>
      </c>
      <c r="H20" s="1320">
        <v>1177.8409999999999</v>
      </c>
      <c r="I20" s="1320">
        <v>1166.6300000000001</v>
      </c>
      <c r="J20" s="1320">
        <v>1151.3209999999999</v>
      </c>
      <c r="K20" s="1320">
        <v>1166.0119999999999</v>
      </c>
      <c r="L20" s="1320">
        <v>985.928</v>
      </c>
      <c r="M20" s="1320">
        <v>843.52</v>
      </c>
      <c r="N20" s="1320">
        <v>1193</v>
      </c>
      <c r="O20" s="968">
        <f t="shared" si="2"/>
        <v>1052.2645</v>
      </c>
      <c r="P20" s="1412" t="s">
        <v>1974</v>
      </c>
    </row>
    <row r="21" spans="1:16">
      <c r="A21" s="1020">
        <f t="shared" si="1"/>
        <v>8.0699999999999985</v>
      </c>
      <c r="B21" s="554" t="s">
        <v>1328</v>
      </c>
      <c r="C21" s="1320">
        <v>481.584</v>
      </c>
      <c r="D21" s="1320">
        <v>481.58499999999998</v>
      </c>
      <c r="E21" s="1320">
        <v>300.60599999999999</v>
      </c>
      <c r="F21" s="1320">
        <v>351.73</v>
      </c>
      <c r="G21" s="1320">
        <v>432.50799999999998</v>
      </c>
      <c r="H21" s="1320">
        <v>511.41699999999997</v>
      </c>
      <c r="I21" s="1320">
        <v>513.46</v>
      </c>
      <c r="J21" s="1320">
        <v>528.76900000000001</v>
      </c>
      <c r="K21" s="1320">
        <v>522.64700000000005</v>
      </c>
      <c r="L21" s="1320">
        <v>397.089</v>
      </c>
      <c r="M21" s="1320">
        <v>321.55200000000002</v>
      </c>
      <c r="N21" s="1320">
        <v>417.50400000000002</v>
      </c>
      <c r="O21" s="968">
        <f t="shared" si="2"/>
        <v>438.37091666666657</v>
      </c>
      <c r="P21" s="1412" t="s">
        <v>1975</v>
      </c>
    </row>
    <row r="22" spans="1:16">
      <c r="A22" s="1020">
        <f t="shared" si="1"/>
        <v>8.0799999999999983</v>
      </c>
      <c r="B22" s="554" t="s">
        <v>1329</v>
      </c>
      <c r="C22" s="1320">
        <v>126.78700000000001</v>
      </c>
      <c r="D22" s="1320">
        <v>122.697</v>
      </c>
      <c r="E22" s="1320">
        <v>106.33799999999999</v>
      </c>
      <c r="F22" s="1320">
        <v>129.85400000000001</v>
      </c>
      <c r="G22" s="1320">
        <v>154.39400000000001</v>
      </c>
      <c r="H22" s="1320">
        <v>133.72399999999999</v>
      </c>
      <c r="I22" s="1320">
        <v>151.077</v>
      </c>
      <c r="J22" s="1320">
        <v>154.13900000000001</v>
      </c>
      <c r="K22" s="1320">
        <v>148.01400000000001</v>
      </c>
      <c r="L22" s="1320">
        <v>121.47499999999999</v>
      </c>
      <c r="M22" s="1320">
        <v>118.413</v>
      </c>
      <c r="N22" s="1320">
        <v>123.51600000000001</v>
      </c>
      <c r="O22" s="968">
        <f t="shared" si="2"/>
        <v>132.53566666666669</v>
      </c>
      <c r="P22" s="1412" t="s">
        <v>1976</v>
      </c>
    </row>
    <row r="23" spans="1:16" ht="13.5" customHeight="1">
      <c r="A23" s="1020">
        <f t="shared" si="1"/>
        <v>8.0899999999999981</v>
      </c>
      <c r="B23" s="554" t="s">
        <v>1330</v>
      </c>
      <c r="C23" s="1320">
        <v>34.82</v>
      </c>
      <c r="D23" s="1320">
        <v>33.926000000000002</v>
      </c>
      <c r="E23" s="1320">
        <v>39.938000000000002</v>
      </c>
      <c r="F23" s="1320">
        <v>45.378</v>
      </c>
      <c r="G23" s="1320">
        <v>54.466999999999999</v>
      </c>
      <c r="H23" s="1320">
        <v>60.988</v>
      </c>
      <c r="I23" s="1320">
        <v>66.132000000000005</v>
      </c>
      <c r="J23" s="1320">
        <v>47.697000000000003</v>
      </c>
      <c r="K23" s="1320">
        <v>60.808999999999997</v>
      </c>
      <c r="L23" s="1320">
        <v>51.127000000000002</v>
      </c>
      <c r="M23" s="1320">
        <v>41.408000000000001</v>
      </c>
      <c r="N23" s="1320">
        <v>41.73</v>
      </c>
      <c r="O23" s="968">
        <f t="shared" si="2"/>
        <v>48.201666666666661</v>
      </c>
      <c r="P23" s="1412" t="s">
        <v>1977</v>
      </c>
    </row>
    <row r="24" spans="1:16">
      <c r="A24" s="1020">
        <f t="shared" si="1"/>
        <v>8.0999999999999979</v>
      </c>
      <c r="B24" s="554" t="s">
        <v>1331</v>
      </c>
      <c r="C24" s="1320">
        <v>19.934000000000001</v>
      </c>
      <c r="D24" s="1320">
        <v>21.388999999999999</v>
      </c>
      <c r="E24" s="1320">
        <v>18.722000000000001</v>
      </c>
      <c r="F24" s="1320">
        <v>21.472000000000001</v>
      </c>
      <c r="G24" s="1320">
        <v>25.562000000000001</v>
      </c>
      <c r="H24" s="1320">
        <v>28.582000000000001</v>
      </c>
      <c r="I24" s="1320">
        <v>27.562000000000001</v>
      </c>
      <c r="J24" s="1320">
        <v>25.52</v>
      </c>
      <c r="K24" s="1320">
        <v>29.603000000000002</v>
      </c>
      <c r="L24" s="1320">
        <v>25.52</v>
      </c>
      <c r="M24" s="1320">
        <v>21.553999999999998</v>
      </c>
      <c r="N24" s="1320">
        <v>23.478000000000002</v>
      </c>
      <c r="O24" s="968">
        <f t="shared" si="2"/>
        <v>24.074833333333334</v>
      </c>
      <c r="P24" s="1412" t="s">
        <v>1331</v>
      </c>
    </row>
    <row r="25" spans="1:16">
      <c r="A25" s="1020">
        <f t="shared" si="1"/>
        <v>8.1099999999999977</v>
      </c>
      <c r="B25" s="554" t="s">
        <v>1332</v>
      </c>
      <c r="C25" s="1320">
        <v>17.382000000000001</v>
      </c>
      <c r="D25" s="1320">
        <v>17.382000000000001</v>
      </c>
      <c r="E25" s="1320">
        <v>12.269</v>
      </c>
      <c r="F25" s="1320">
        <v>15.337</v>
      </c>
      <c r="G25" s="1320">
        <v>18.404</v>
      </c>
      <c r="H25" s="1320">
        <v>19.396000000000001</v>
      </c>
      <c r="I25" s="1320">
        <v>20.416</v>
      </c>
      <c r="J25" s="1320">
        <v>18.375</v>
      </c>
      <c r="K25" s="1320">
        <v>20.416</v>
      </c>
      <c r="L25" s="1320">
        <v>17.353999999999999</v>
      </c>
      <c r="M25" s="1320">
        <v>13.27</v>
      </c>
      <c r="N25" s="1320">
        <v>18.375</v>
      </c>
      <c r="O25" s="968">
        <f t="shared" si="2"/>
        <v>17.364666666666668</v>
      </c>
      <c r="P25" s="1412" t="s">
        <v>1978</v>
      </c>
    </row>
    <row r="26" spans="1:16">
      <c r="A26" s="1020">
        <f t="shared" si="1"/>
        <v>8.1199999999999974</v>
      </c>
      <c r="B26" s="554" t="s">
        <v>1333</v>
      </c>
      <c r="C26" s="1320">
        <v>0</v>
      </c>
      <c r="D26" s="1320">
        <v>0</v>
      </c>
      <c r="E26" s="1320">
        <v>0</v>
      </c>
      <c r="F26" s="1320">
        <v>0</v>
      </c>
      <c r="G26" s="1320">
        <v>0</v>
      </c>
      <c r="H26" s="1320">
        <v>0</v>
      </c>
      <c r="I26" s="1320">
        <v>0</v>
      </c>
      <c r="J26" s="1320">
        <v>0</v>
      </c>
      <c r="K26" s="1320">
        <v>0</v>
      </c>
      <c r="L26" s="1320">
        <v>0</v>
      </c>
      <c r="M26" s="1320">
        <v>0</v>
      </c>
      <c r="N26" s="1320">
        <v>0</v>
      </c>
      <c r="O26" s="968">
        <f t="shared" si="2"/>
        <v>0</v>
      </c>
    </row>
    <row r="27" spans="1:16">
      <c r="A27" s="1020">
        <f t="shared" si="1"/>
        <v>8.1299999999999972</v>
      </c>
      <c r="B27" s="554" t="s">
        <v>1334</v>
      </c>
      <c r="C27" s="1320">
        <v>0</v>
      </c>
      <c r="D27" s="1320">
        <v>0</v>
      </c>
      <c r="E27" s="1320">
        <v>0</v>
      </c>
      <c r="F27" s="1320">
        <v>0</v>
      </c>
      <c r="G27" s="1320">
        <v>0</v>
      </c>
      <c r="H27" s="1320">
        <v>0</v>
      </c>
      <c r="I27" s="1320">
        <v>0</v>
      </c>
      <c r="J27" s="1320">
        <v>0</v>
      </c>
      <c r="K27" s="1320">
        <v>0</v>
      </c>
      <c r="L27" s="1320">
        <v>0</v>
      </c>
      <c r="M27" s="1320">
        <v>0</v>
      </c>
      <c r="N27" s="1320">
        <v>0</v>
      </c>
      <c r="O27" s="968">
        <f t="shared" si="2"/>
        <v>0</v>
      </c>
    </row>
    <row r="28" spans="1:16">
      <c r="A28" s="1020">
        <f t="shared" si="1"/>
        <v>8.139999999999997</v>
      </c>
      <c r="B28" s="554" t="s">
        <v>1335</v>
      </c>
      <c r="C28" s="1320">
        <v>0</v>
      </c>
      <c r="D28" s="1320">
        <v>0</v>
      </c>
      <c r="E28" s="1320">
        <v>0</v>
      </c>
      <c r="F28" s="1320">
        <v>0</v>
      </c>
      <c r="G28" s="1320">
        <v>0</v>
      </c>
      <c r="H28" s="1320">
        <v>0</v>
      </c>
      <c r="I28" s="1320">
        <v>0</v>
      </c>
      <c r="J28" s="1320">
        <v>0</v>
      </c>
      <c r="K28" s="1320">
        <v>0</v>
      </c>
      <c r="L28" s="1320">
        <v>0</v>
      </c>
      <c r="M28" s="1320">
        <v>0</v>
      </c>
      <c r="N28" s="1320">
        <v>0</v>
      </c>
      <c r="O28" s="968">
        <f t="shared" si="2"/>
        <v>0</v>
      </c>
    </row>
    <row r="29" spans="1:16" s="1455" customFormat="1">
      <c r="A29" s="1325">
        <f t="shared" si="1"/>
        <v>8.1499999999999968</v>
      </c>
      <c r="B29" s="1319" t="s">
        <v>1758</v>
      </c>
      <c r="C29" s="1320">
        <v>2.0449999999999999</v>
      </c>
      <c r="D29" s="1320">
        <v>3.0670000000000002</v>
      </c>
      <c r="E29" s="1320">
        <v>1.022</v>
      </c>
      <c r="F29" s="1320">
        <v>2.0449999999999999</v>
      </c>
      <c r="G29" s="1320">
        <v>3.0670000000000002</v>
      </c>
      <c r="H29" s="1320">
        <v>3.0619999999999998</v>
      </c>
      <c r="I29" s="1320">
        <v>3.0619999999999998</v>
      </c>
      <c r="J29" s="1320">
        <v>4.0830000000000002</v>
      </c>
      <c r="K29" s="1320">
        <v>4.0830000000000002</v>
      </c>
      <c r="L29" s="1320">
        <v>3.0619999999999998</v>
      </c>
      <c r="M29" s="1320">
        <v>2.0419999999999998</v>
      </c>
      <c r="N29" s="1320">
        <v>3.0619999999999998</v>
      </c>
      <c r="O29" s="968">
        <f t="shared" si="2"/>
        <v>2.8085</v>
      </c>
      <c r="P29" s="688" t="s">
        <v>1980</v>
      </c>
    </row>
    <row r="30" spans="1:16" s="1455" customFormat="1">
      <c r="A30" s="1325">
        <f t="shared" si="1"/>
        <v>8.1599999999999966</v>
      </c>
      <c r="B30" s="1319" t="s">
        <v>1759</v>
      </c>
      <c r="C30" s="1320">
        <v>0</v>
      </c>
      <c r="D30" s="1320">
        <v>0</v>
      </c>
      <c r="E30" s="1320">
        <v>0</v>
      </c>
      <c r="F30" s="1320">
        <v>0</v>
      </c>
      <c r="G30" s="1320">
        <v>0</v>
      </c>
      <c r="H30" s="1320">
        <v>0</v>
      </c>
      <c r="I30" s="1320">
        <v>0</v>
      </c>
      <c r="J30" s="1320">
        <v>0</v>
      </c>
      <c r="K30" s="1320">
        <v>32.695999999999998</v>
      </c>
      <c r="L30" s="1320">
        <v>39.549999999999997</v>
      </c>
      <c r="M30" s="1320">
        <v>33.729999999999997</v>
      </c>
      <c r="N30" s="1320">
        <v>34.999000000000002</v>
      </c>
      <c r="O30" s="968">
        <f t="shared" si="2"/>
        <v>11.747916666666667</v>
      </c>
      <c r="P30" s="688" t="s">
        <v>1981</v>
      </c>
    </row>
    <row r="31" spans="1:16" s="1455" customFormat="1" ht="13.5" customHeight="1">
      <c r="A31" s="1325">
        <f t="shared" si="1"/>
        <v>8.1699999999999964</v>
      </c>
      <c r="B31" s="1319" t="s">
        <v>1760</v>
      </c>
      <c r="C31" s="1320">
        <v>0</v>
      </c>
      <c r="D31" s="1320">
        <v>0</v>
      </c>
      <c r="E31" s="1320">
        <v>0</v>
      </c>
      <c r="F31" s="1320">
        <v>0</v>
      </c>
      <c r="G31" s="1320">
        <v>3.0670000000000002</v>
      </c>
      <c r="H31" s="1320">
        <v>4.0830000000000002</v>
      </c>
      <c r="I31" s="1320">
        <v>4.0830000000000002</v>
      </c>
      <c r="J31" s="1320">
        <v>3.0619999999999998</v>
      </c>
      <c r="K31" s="1320">
        <v>4.0830000000000002</v>
      </c>
      <c r="L31" s="1320">
        <v>3.0619999999999998</v>
      </c>
      <c r="M31" s="1320">
        <v>3.0619999999999998</v>
      </c>
      <c r="N31" s="1320">
        <v>4.0830000000000002</v>
      </c>
      <c r="O31" s="968">
        <f t="shared" ref="O31" si="3">+SUM(C31:N31)/12</f>
        <v>2.3820833333333336</v>
      </c>
      <c r="P31" s="688" t="s">
        <v>1982</v>
      </c>
    </row>
    <row r="32" spans="1:16" s="1455" customFormat="1">
      <c r="A32" s="1325">
        <f t="shared" si="1"/>
        <v>8.1799999999999962</v>
      </c>
      <c r="B32" s="1319" t="s">
        <v>1761</v>
      </c>
      <c r="C32" s="1320">
        <v>0</v>
      </c>
      <c r="D32" s="1320">
        <v>0</v>
      </c>
      <c r="E32" s="1320">
        <v>0</v>
      </c>
      <c r="F32" s="1320">
        <v>0</v>
      </c>
      <c r="G32" s="1320">
        <v>0</v>
      </c>
      <c r="H32" s="1320">
        <v>0</v>
      </c>
      <c r="I32" s="1320">
        <v>11.167</v>
      </c>
      <c r="J32" s="1320">
        <v>10.747</v>
      </c>
      <c r="K32" s="1320">
        <v>11.378</v>
      </c>
      <c r="L32" s="1320">
        <v>9.3170000000000002</v>
      </c>
      <c r="M32" s="1320">
        <v>7.1929999999999996</v>
      </c>
      <c r="N32" s="1320">
        <v>8.4120000000000008</v>
      </c>
      <c r="O32" s="968">
        <f t="shared" ref="O32:O33" si="4">+SUM(C32:N32)/12</f>
        <v>4.8511666666666668</v>
      </c>
      <c r="P32" s="688" t="s">
        <v>1983</v>
      </c>
    </row>
    <row r="33" spans="1:21" s="1455" customFormat="1" ht="13.5" customHeight="1">
      <c r="A33" s="1325">
        <f t="shared" si="1"/>
        <v>8.1899999999999959</v>
      </c>
      <c r="B33" s="1319" t="s">
        <v>936</v>
      </c>
      <c r="C33" s="1320">
        <v>0</v>
      </c>
      <c r="D33" s="1320">
        <v>0</v>
      </c>
      <c r="E33" s="1320">
        <v>0</v>
      </c>
      <c r="F33" s="1320">
        <v>0</v>
      </c>
      <c r="G33" s="1320">
        <v>0</v>
      </c>
      <c r="H33" s="1320">
        <v>0</v>
      </c>
      <c r="I33" s="1320">
        <v>0</v>
      </c>
      <c r="J33" s="1320">
        <v>0</v>
      </c>
      <c r="K33" s="1320">
        <v>0</v>
      </c>
      <c r="L33" s="1320">
        <v>0</v>
      </c>
      <c r="M33" s="1320">
        <v>0</v>
      </c>
      <c r="N33" s="1320">
        <v>0</v>
      </c>
      <c r="O33" s="968">
        <f t="shared" si="4"/>
        <v>0</v>
      </c>
    </row>
    <row r="34" spans="1:21" s="1455" customFormat="1" ht="13.5" customHeight="1">
      <c r="A34" s="1325" t="s">
        <v>927</v>
      </c>
      <c r="B34" s="1319" t="s">
        <v>936</v>
      </c>
      <c r="C34" s="1320">
        <v>0</v>
      </c>
      <c r="D34" s="1320">
        <v>0</v>
      </c>
      <c r="E34" s="1320">
        <v>0</v>
      </c>
      <c r="F34" s="1320">
        <v>0</v>
      </c>
      <c r="G34" s="1320">
        <v>0</v>
      </c>
      <c r="H34" s="1320">
        <v>0</v>
      </c>
      <c r="I34" s="1320">
        <v>0</v>
      </c>
      <c r="J34" s="1320">
        <v>0</v>
      </c>
      <c r="K34" s="1320">
        <v>0</v>
      </c>
      <c r="L34" s="1320">
        <v>0</v>
      </c>
      <c r="M34" s="1320">
        <v>0</v>
      </c>
      <c r="N34" s="1320">
        <v>0</v>
      </c>
      <c r="O34" s="968">
        <f t="shared" si="2"/>
        <v>0</v>
      </c>
    </row>
    <row r="35" spans="1:21" ht="13.8" thickBot="1">
      <c r="A35" s="1325" t="s">
        <v>933</v>
      </c>
      <c r="B35" s="1326" t="s">
        <v>936</v>
      </c>
      <c r="C35" s="1320">
        <v>0</v>
      </c>
      <c r="D35" s="1320">
        <v>0</v>
      </c>
      <c r="E35" s="1320">
        <v>0</v>
      </c>
      <c r="F35" s="1320">
        <v>0</v>
      </c>
      <c r="G35" s="1320">
        <v>0</v>
      </c>
      <c r="H35" s="1320">
        <v>0</v>
      </c>
      <c r="I35" s="1320">
        <v>0</v>
      </c>
      <c r="J35" s="1320">
        <v>0</v>
      </c>
      <c r="K35" s="1320">
        <v>0</v>
      </c>
      <c r="L35" s="1320">
        <v>0</v>
      </c>
      <c r="M35" s="1320">
        <v>0</v>
      </c>
      <c r="N35" s="1320">
        <v>0</v>
      </c>
      <c r="O35" s="1363">
        <f t="shared" si="2"/>
        <v>0</v>
      </c>
      <c r="P35" s="515"/>
    </row>
    <row r="36" spans="1:21" ht="13.8" thickTop="1">
      <c r="A36" s="961">
        <f>+A14+1</f>
        <v>9</v>
      </c>
      <c r="B36" s="798" t="str">
        <f>+"Total "&amp;B14&amp;"  "&amp;A61</f>
        <v>Total Network Customers  (1)</v>
      </c>
      <c r="C36" s="1184">
        <f t="shared" ref="C36:O36" si="5">SUM(C15:C35)</f>
        <v>2382.7610000000004</v>
      </c>
      <c r="D36" s="1184">
        <f t="shared" si="5"/>
        <v>2375.973</v>
      </c>
      <c r="E36" s="1184">
        <f t="shared" si="5"/>
        <v>1582.6519999999998</v>
      </c>
      <c r="F36" s="1184">
        <f t="shared" si="5"/>
        <v>1842.123</v>
      </c>
      <c r="G36" s="1184">
        <f t="shared" si="5"/>
        <v>2195.962</v>
      </c>
      <c r="H36" s="1184">
        <f t="shared" si="5"/>
        <v>2558.9699999999998</v>
      </c>
      <c r="I36" s="1184">
        <f t="shared" si="5"/>
        <v>2594.8830000000003</v>
      </c>
      <c r="J36" s="1184">
        <f t="shared" si="5"/>
        <v>2546.5319999999997</v>
      </c>
      <c r="K36" s="1184">
        <f t="shared" si="5"/>
        <v>2612.3790000000008</v>
      </c>
      <c r="L36" s="1184">
        <f t="shared" si="5"/>
        <v>2164.14</v>
      </c>
      <c r="M36" s="1184">
        <f t="shared" si="5"/>
        <v>1821.9689999999998</v>
      </c>
      <c r="N36" s="1184">
        <f t="shared" si="5"/>
        <v>2373.31</v>
      </c>
      <c r="O36" s="1184">
        <f t="shared" si="5"/>
        <v>2254.3045000000006</v>
      </c>
      <c r="P36" s="515"/>
    </row>
    <row r="37" spans="1:21">
      <c r="A37" s="961">
        <f t="shared" si="0"/>
        <v>10</v>
      </c>
      <c r="B37" s="797"/>
      <c r="C37" s="1184"/>
      <c r="D37" s="1184"/>
      <c r="E37" s="1184"/>
      <c r="F37" s="1184"/>
      <c r="G37" s="1184"/>
      <c r="H37" s="1184"/>
      <c r="I37" s="1184"/>
      <c r="J37" s="1184"/>
      <c r="K37" s="1184"/>
      <c r="L37" s="1184"/>
      <c r="M37" s="1184"/>
      <c r="N37" s="1184"/>
      <c r="O37" s="1184"/>
      <c r="P37" s="515"/>
    </row>
    <row r="38" spans="1:21">
      <c r="A38" s="961">
        <f t="shared" si="0"/>
        <v>11</v>
      </c>
      <c r="B38" s="1185" t="str">
        <f>+"Grandfathered Contracts "&amp;A62</f>
        <v>Grandfathered Contracts (2)</v>
      </c>
      <c r="C38" s="969"/>
      <c r="D38" s="968"/>
      <c r="E38" s="968"/>
      <c r="F38" s="968"/>
      <c r="G38" s="968"/>
      <c r="H38" s="968"/>
      <c r="I38" s="968"/>
      <c r="J38" s="968"/>
      <c r="K38" s="969"/>
      <c r="L38" s="968"/>
      <c r="M38" s="968"/>
      <c r="N38" s="968"/>
      <c r="O38" s="968"/>
      <c r="P38" s="177"/>
      <c r="R38" s="177"/>
      <c r="S38" s="177"/>
      <c r="T38" s="177"/>
      <c r="U38" s="177"/>
    </row>
    <row r="39" spans="1:21">
      <c r="A39" s="1325">
        <f>A38+0.01</f>
        <v>11.01</v>
      </c>
      <c r="B39" s="1319" t="s">
        <v>936</v>
      </c>
      <c r="C39" s="1320"/>
      <c r="D39" s="1321"/>
      <c r="E39" s="1321"/>
      <c r="F39" s="1321"/>
      <c r="G39" s="1321"/>
      <c r="H39" s="1321"/>
      <c r="I39" s="1321"/>
      <c r="J39" s="1321"/>
      <c r="K39" s="1320"/>
      <c r="L39" s="1321"/>
      <c r="M39" s="1321"/>
      <c r="N39" s="1321"/>
      <c r="O39" s="968">
        <f t="shared" ref="O39:O41" si="6">+SUM(C39:N39)/12</f>
        <v>0</v>
      </c>
      <c r="P39" s="177"/>
      <c r="R39" s="177"/>
      <c r="S39" s="177"/>
      <c r="T39" s="177"/>
      <c r="U39" s="177"/>
    </row>
    <row r="40" spans="1:21">
      <c r="A40" s="1325" t="s">
        <v>926</v>
      </c>
      <c r="B40" s="1319" t="s">
        <v>936</v>
      </c>
      <c r="C40" s="1320"/>
      <c r="D40" s="1321"/>
      <c r="E40" s="1321"/>
      <c r="F40" s="1321"/>
      <c r="G40" s="1321"/>
      <c r="H40" s="1321"/>
      <c r="I40" s="1321"/>
      <c r="J40" s="1321"/>
      <c r="K40" s="1320"/>
      <c r="L40" s="1321"/>
      <c r="M40" s="1321"/>
      <c r="N40" s="1321"/>
      <c r="O40" s="968">
        <f t="shared" si="6"/>
        <v>0</v>
      </c>
      <c r="P40" s="177"/>
      <c r="R40" s="177"/>
      <c r="S40" s="177"/>
      <c r="T40" s="177"/>
      <c r="U40" s="177"/>
    </row>
    <row r="41" spans="1:21" ht="13.8" thickBot="1">
      <c r="A41" s="1325" t="s">
        <v>934</v>
      </c>
      <c r="B41" s="1326" t="s">
        <v>936</v>
      </c>
      <c r="C41" s="1323"/>
      <c r="D41" s="1324"/>
      <c r="E41" s="1324"/>
      <c r="F41" s="1324"/>
      <c r="G41" s="1324"/>
      <c r="H41" s="1324"/>
      <c r="I41" s="1324"/>
      <c r="J41" s="1324"/>
      <c r="K41" s="1323"/>
      <c r="L41" s="1324"/>
      <c r="M41" s="1324"/>
      <c r="N41" s="1324"/>
      <c r="O41" s="1363">
        <f t="shared" si="6"/>
        <v>0</v>
      </c>
      <c r="P41" s="177"/>
      <c r="R41" s="177"/>
      <c r="S41" s="177"/>
      <c r="T41" s="177"/>
      <c r="U41" s="177"/>
    </row>
    <row r="42" spans="1:21" ht="13.8" thickTop="1">
      <c r="A42" s="961">
        <f>+A38+1</f>
        <v>12</v>
      </c>
      <c r="B42" s="798" t="str">
        <f>+"Total Grandfathered Contracts"&amp;"  "&amp;A63</f>
        <v>Total Grandfathered Contracts  (3)</v>
      </c>
      <c r="C42" s="1184">
        <f t="shared" ref="C42:O42" si="7">SUM(C39:C41)</f>
        <v>0</v>
      </c>
      <c r="D42" s="1184">
        <f t="shared" si="7"/>
        <v>0</v>
      </c>
      <c r="E42" s="1184">
        <f t="shared" si="7"/>
        <v>0</v>
      </c>
      <c r="F42" s="1184">
        <f t="shared" si="7"/>
        <v>0</v>
      </c>
      <c r="G42" s="1184">
        <f t="shared" si="7"/>
        <v>0</v>
      </c>
      <c r="H42" s="1184">
        <f t="shared" si="7"/>
        <v>0</v>
      </c>
      <c r="I42" s="1184">
        <f t="shared" si="7"/>
        <v>0</v>
      </c>
      <c r="J42" s="1184">
        <f t="shared" si="7"/>
        <v>0</v>
      </c>
      <c r="K42" s="1184">
        <f t="shared" si="7"/>
        <v>0</v>
      </c>
      <c r="L42" s="1184">
        <f t="shared" si="7"/>
        <v>0</v>
      </c>
      <c r="M42" s="1184">
        <f t="shared" si="7"/>
        <v>0</v>
      </c>
      <c r="N42" s="1184">
        <f t="shared" si="7"/>
        <v>0</v>
      </c>
      <c r="O42" s="1184">
        <f t="shared" si="7"/>
        <v>0</v>
      </c>
      <c r="P42" s="177"/>
      <c r="R42" s="177"/>
      <c r="S42" s="177"/>
      <c r="T42" s="177"/>
      <c r="U42" s="177"/>
    </row>
    <row r="43" spans="1:21">
      <c r="A43" s="961">
        <f t="shared" si="0"/>
        <v>13</v>
      </c>
      <c r="B43" s="797"/>
      <c r="C43" s="1184"/>
      <c r="D43" s="1184"/>
      <c r="E43" s="1184"/>
      <c r="F43" s="1184"/>
      <c r="G43" s="1184"/>
      <c r="H43" s="1184"/>
      <c r="I43" s="1184"/>
      <c r="J43" s="1184"/>
      <c r="K43" s="1184"/>
      <c r="L43" s="1184"/>
      <c r="M43" s="1184"/>
      <c r="N43" s="1184"/>
      <c r="O43" s="1184"/>
      <c r="P43" s="515"/>
    </row>
    <row r="44" spans="1:21">
      <c r="A44" s="961">
        <f t="shared" si="0"/>
        <v>14</v>
      </c>
      <c r="B44" s="1183" t="s">
        <v>442</v>
      </c>
      <c r="C44" s="969"/>
      <c r="D44" s="968"/>
      <c r="E44" s="968"/>
      <c r="F44" s="968"/>
      <c r="G44" s="968"/>
      <c r="H44" s="968"/>
      <c r="I44" s="968"/>
      <c r="J44" s="968"/>
      <c r="K44" s="969"/>
      <c r="L44" s="968"/>
      <c r="M44" s="968"/>
      <c r="N44" s="968"/>
      <c r="O44" s="968"/>
      <c r="P44" s="515"/>
    </row>
    <row r="45" spans="1:21">
      <c r="A45" s="1327">
        <f>+A44+0.01</f>
        <v>14.01</v>
      </c>
      <c r="B45" s="1319" t="s">
        <v>936</v>
      </c>
      <c r="C45" s="1320"/>
      <c r="D45" s="1321"/>
      <c r="E45" s="1321"/>
      <c r="F45" s="1321"/>
      <c r="G45" s="1321"/>
      <c r="H45" s="1321"/>
      <c r="I45" s="1321"/>
      <c r="J45" s="1321"/>
      <c r="K45" s="1320"/>
      <c r="L45" s="1321"/>
      <c r="M45" s="1321"/>
      <c r="N45" s="1321"/>
      <c r="O45" s="968">
        <f t="shared" ref="O45:O47" si="8">+SUM(C45:N45)/12</f>
        <v>0</v>
      </c>
      <c r="P45" s="515"/>
    </row>
    <row r="46" spans="1:21">
      <c r="A46" s="1327" t="s">
        <v>926</v>
      </c>
      <c r="B46" s="1319" t="s">
        <v>936</v>
      </c>
      <c r="C46" s="1320"/>
      <c r="D46" s="1321"/>
      <c r="E46" s="1321"/>
      <c r="F46" s="1321"/>
      <c r="G46" s="1321"/>
      <c r="H46" s="1321"/>
      <c r="I46" s="1321"/>
      <c r="J46" s="1321"/>
      <c r="K46" s="1320"/>
      <c r="L46" s="1321"/>
      <c r="M46" s="1321"/>
      <c r="N46" s="1321"/>
      <c r="O46" s="968">
        <f t="shared" si="8"/>
        <v>0</v>
      </c>
      <c r="P46" s="515"/>
    </row>
    <row r="47" spans="1:21" ht="13.8" thickBot="1">
      <c r="A47" s="1327" t="s">
        <v>935</v>
      </c>
      <c r="B47" s="1326" t="s">
        <v>936</v>
      </c>
      <c r="C47" s="1323"/>
      <c r="D47" s="1324"/>
      <c r="E47" s="1324"/>
      <c r="F47" s="1324"/>
      <c r="G47" s="1324"/>
      <c r="H47" s="1324"/>
      <c r="I47" s="1324"/>
      <c r="J47" s="1324"/>
      <c r="K47" s="1323"/>
      <c r="L47" s="1324"/>
      <c r="M47" s="1324"/>
      <c r="N47" s="1324"/>
      <c r="O47" s="1363">
        <f t="shared" si="8"/>
        <v>0</v>
      </c>
      <c r="P47" s="515"/>
    </row>
    <row r="48" spans="1:21" ht="13.8" thickTop="1">
      <c r="A48" s="961">
        <f>+A44+1</f>
        <v>15</v>
      </c>
      <c r="B48" s="798" t="str">
        <f>+"Total "&amp;B44&amp;"  "&amp;A64</f>
        <v>Total Long Term Firm PTP  (4)</v>
      </c>
      <c r="C48" s="1186">
        <f t="shared" ref="C48:O48" si="9">SUM(C45:C47)</f>
        <v>0</v>
      </c>
      <c r="D48" s="1186">
        <f t="shared" si="9"/>
        <v>0</v>
      </c>
      <c r="E48" s="1186">
        <f t="shared" si="9"/>
        <v>0</v>
      </c>
      <c r="F48" s="1186">
        <f t="shared" si="9"/>
        <v>0</v>
      </c>
      <c r="G48" s="1186">
        <f t="shared" si="9"/>
        <v>0</v>
      </c>
      <c r="H48" s="1186">
        <f t="shared" si="9"/>
        <v>0</v>
      </c>
      <c r="I48" s="1186">
        <f t="shared" si="9"/>
        <v>0</v>
      </c>
      <c r="J48" s="1186">
        <f t="shared" si="9"/>
        <v>0</v>
      </c>
      <c r="K48" s="1186">
        <f t="shared" si="9"/>
        <v>0</v>
      </c>
      <c r="L48" s="1186">
        <f t="shared" si="9"/>
        <v>0</v>
      </c>
      <c r="M48" s="1186">
        <f t="shared" si="9"/>
        <v>0</v>
      </c>
      <c r="N48" s="1186">
        <f t="shared" si="9"/>
        <v>0</v>
      </c>
      <c r="O48" s="1186">
        <f t="shared" si="9"/>
        <v>0</v>
      </c>
      <c r="P48" s="515"/>
    </row>
    <row r="49" spans="1:17">
      <c r="A49" s="961">
        <f t="shared" si="0"/>
        <v>16</v>
      </c>
      <c r="B49" s="797"/>
      <c r="C49" s="970"/>
      <c r="D49" s="970"/>
      <c r="E49" s="970"/>
      <c r="F49" s="970"/>
      <c r="G49" s="970"/>
      <c r="H49" s="970"/>
      <c r="I49" s="971"/>
      <c r="J49" s="971"/>
      <c r="K49" s="970"/>
      <c r="L49" s="971"/>
      <c r="M49" s="971"/>
      <c r="N49" s="971"/>
      <c r="O49" s="971"/>
      <c r="P49" s="515"/>
    </row>
    <row r="50" spans="1:17">
      <c r="A50" s="961">
        <f t="shared" si="0"/>
        <v>17</v>
      </c>
      <c r="B50" s="1183" t="s">
        <v>443</v>
      </c>
      <c r="C50" s="969"/>
      <c r="D50" s="968"/>
      <c r="E50" s="968"/>
      <c r="F50" s="968"/>
      <c r="G50" s="968"/>
      <c r="H50" s="968"/>
      <c r="I50" s="968"/>
      <c r="J50" s="968"/>
      <c r="K50" s="969"/>
      <c r="L50" s="968"/>
      <c r="M50" s="968"/>
      <c r="N50" s="968"/>
      <c r="O50" s="968"/>
      <c r="P50" s="515"/>
    </row>
    <row r="51" spans="1:17">
      <c r="A51" s="961">
        <f t="shared" si="0"/>
        <v>18</v>
      </c>
      <c r="B51" s="1456" t="s">
        <v>970</v>
      </c>
      <c r="C51" s="1320">
        <v>7718.1350000000002</v>
      </c>
      <c r="D51" s="1320">
        <v>7600.9260000000004</v>
      </c>
      <c r="E51" s="1320">
        <v>7402.5680000000002</v>
      </c>
      <c r="F51" s="1320">
        <v>7808.2029999999995</v>
      </c>
      <c r="G51" s="1320">
        <v>9508.2520000000004</v>
      </c>
      <c r="H51" s="1320">
        <v>10221.772000000001</v>
      </c>
      <c r="I51" s="1320">
        <v>10273.266</v>
      </c>
      <c r="J51" s="1320">
        <v>10016.805</v>
      </c>
      <c r="K51" s="1320">
        <v>10012.620999999999</v>
      </c>
      <c r="L51" s="1320">
        <v>8992.86</v>
      </c>
      <c r="M51" s="1320">
        <v>7674.0309999999999</v>
      </c>
      <c r="N51" s="1320">
        <v>8310.69</v>
      </c>
      <c r="O51" s="968">
        <f t="shared" ref="O51" si="10">+SUM(C51:N51)/12</f>
        <v>8795.0107499999995</v>
      </c>
      <c r="P51" s="688" t="s">
        <v>1979</v>
      </c>
    </row>
    <row r="52" spans="1:17" ht="14.4" customHeight="1">
      <c r="A52" s="961">
        <f>+A51+1</f>
        <v>19</v>
      </c>
      <c r="B52" s="1183"/>
      <c r="C52" s="972"/>
      <c r="D52" s="972"/>
      <c r="E52" s="972"/>
      <c r="F52" s="972"/>
      <c r="G52" s="972"/>
      <c r="H52" s="972"/>
      <c r="I52" s="972"/>
      <c r="J52" s="972"/>
      <c r="K52" s="972"/>
      <c r="L52" s="972"/>
      <c r="M52" s="972"/>
      <c r="N52" s="972"/>
      <c r="O52" s="969"/>
      <c r="P52" s="515"/>
    </row>
    <row r="53" spans="1:17">
      <c r="A53" s="961">
        <f t="shared" si="0"/>
        <v>20</v>
      </c>
      <c r="B53" s="1185" t="str">
        <f>+"ELTO  "&amp;A65</f>
        <v>ELTO  (5)</v>
      </c>
      <c r="C53" s="969">
        <f t="shared" ref="C53:N53" si="11">C36+C42+C48+C51</f>
        <v>10100.896000000001</v>
      </c>
      <c r="D53" s="969">
        <f t="shared" si="11"/>
        <v>9976.8990000000013</v>
      </c>
      <c r="E53" s="969">
        <f t="shared" si="11"/>
        <v>8985.2199999999993</v>
      </c>
      <c r="F53" s="969">
        <f t="shared" si="11"/>
        <v>9650.3259999999991</v>
      </c>
      <c r="G53" s="969">
        <f t="shared" si="11"/>
        <v>11704.214</v>
      </c>
      <c r="H53" s="969">
        <f t="shared" si="11"/>
        <v>12780.742</v>
      </c>
      <c r="I53" s="969">
        <f t="shared" si="11"/>
        <v>12868.148999999999</v>
      </c>
      <c r="J53" s="969">
        <f t="shared" si="11"/>
        <v>12563.337</v>
      </c>
      <c r="K53" s="969">
        <f t="shared" si="11"/>
        <v>12625</v>
      </c>
      <c r="L53" s="969">
        <f t="shared" si="11"/>
        <v>11157</v>
      </c>
      <c r="M53" s="969">
        <f t="shared" si="11"/>
        <v>9496</v>
      </c>
      <c r="N53" s="969">
        <f t="shared" si="11"/>
        <v>10684</v>
      </c>
      <c r="O53" s="1187">
        <f t="shared" ref="O53" si="12">+SUM(C53:N53)/12</f>
        <v>11049.31525</v>
      </c>
      <c r="P53" s="515"/>
    </row>
    <row r="54" spans="1:17">
      <c r="A54" s="961">
        <f t="shared" si="0"/>
        <v>21</v>
      </c>
      <c r="B54" s="797" t="str">
        <f>+"Reference  "&amp;A66</f>
        <v>Reference  (6)</v>
      </c>
      <c r="C54" s="970" t="s">
        <v>588</v>
      </c>
      <c r="D54" s="970" t="s">
        <v>589</v>
      </c>
      <c r="E54" s="970" t="s">
        <v>590</v>
      </c>
      <c r="F54" s="970" t="s">
        <v>591</v>
      </c>
      <c r="G54" s="970" t="s">
        <v>592</v>
      </c>
      <c r="H54" s="970" t="s">
        <v>593</v>
      </c>
      <c r="I54" s="971" t="s">
        <v>594</v>
      </c>
      <c r="J54" s="971" t="s">
        <v>595</v>
      </c>
      <c r="K54" s="970" t="s">
        <v>596</v>
      </c>
      <c r="L54" s="971" t="s">
        <v>597</v>
      </c>
      <c r="M54" s="971" t="s">
        <v>598</v>
      </c>
      <c r="N54" s="971" t="s">
        <v>599</v>
      </c>
      <c r="O54" s="971"/>
      <c r="P54" s="515"/>
    </row>
    <row r="55" spans="1:17">
      <c r="A55" s="961">
        <f t="shared" si="0"/>
        <v>22</v>
      </c>
      <c r="B55" s="798" t="s">
        <v>943</v>
      </c>
      <c r="C55" s="1322">
        <v>0</v>
      </c>
      <c r="D55" s="1322">
        <v>0</v>
      </c>
      <c r="E55" s="1322">
        <v>0</v>
      </c>
      <c r="F55" s="1322">
        <v>0</v>
      </c>
      <c r="G55" s="1322">
        <v>0</v>
      </c>
      <c r="H55" s="1322">
        <v>0</v>
      </c>
      <c r="I55" s="1322">
        <v>0</v>
      </c>
      <c r="J55" s="1322">
        <v>0</v>
      </c>
      <c r="K55" s="1322">
        <v>0</v>
      </c>
      <c r="L55" s="1322">
        <v>0</v>
      </c>
      <c r="M55" s="1322">
        <v>0</v>
      </c>
      <c r="N55" s="1322">
        <v>0</v>
      </c>
      <c r="O55" s="968">
        <f t="shared" ref="O55" si="13">+SUM(C55:N55)/12</f>
        <v>0</v>
      </c>
      <c r="P55" s="177"/>
      <c r="Q55" s="177"/>
    </row>
    <row r="56" spans="1:17">
      <c r="A56" s="961">
        <f t="shared" si="0"/>
        <v>23</v>
      </c>
      <c r="B56" s="797"/>
      <c r="C56" s="970"/>
      <c r="D56" s="970"/>
      <c r="E56" s="970"/>
      <c r="F56" s="970"/>
      <c r="G56" s="970"/>
      <c r="H56" s="970"/>
      <c r="I56" s="971"/>
      <c r="J56" s="971"/>
      <c r="K56" s="970"/>
      <c r="L56" s="971"/>
      <c r="M56" s="971"/>
      <c r="N56" s="971"/>
      <c r="O56" s="971"/>
      <c r="P56" s="177"/>
      <c r="Q56" s="177"/>
    </row>
    <row r="57" spans="1:17">
      <c r="A57" s="961">
        <f t="shared" si="0"/>
        <v>24</v>
      </c>
      <c r="B57" s="1537" t="s">
        <v>1104</v>
      </c>
      <c r="C57" s="1187">
        <f>+C53+C55</f>
        <v>10100.896000000001</v>
      </c>
      <c r="D57" s="1187">
        <f t="shared" ref="D57:M57" si="14">+D53+D55</f>
        <v>9976.8990000000013</v>
      </c>
      <c r="E57" s="1187">
        <f t="shared" si="14"/>
        <v>8985.2199999999993</v>
      </c>
      <c r="F57" s="1187">
        <f t="shared" si="14"/>
        <v>9650.3259999999991</v>
      </c>
      <c r="G57" s="1187">
        <f t="shared" si="14"/>
        <v>11704.214</v>
      </c>
      <c r="H57" s="1187">
        <f t="shared" si="14"/>
        <v>12780.742</v>
      </c>
      <c r="I57" s="1187">
        <f t="shared" si="14"/>
        <v>12868.148999999999</v>
      </c>
      <c r="J57" s="1187">
        <f t="shared" si="14"/>
        <v>12563.337</v>
      </c>
      <c r="K57" s="1187">
        <f t="shared" si="14"/>
        <v>12625</v>
      </c>
      <c r="L57" s="1187">
        <f t="shared" si="14"/>
        <v>11157</v>
      </c>
      <c r="M57" s="1187">
        <f t="shared" si="14"/>
        <v>9496</v>
      </c>
      <c r="N57" s="1187">
        <f>+N53+N55</f>
        <v>10684</v>
      </c>
      <c r="O57" s="1187">
        <f>+SUM(C57:N57)/12</f>
        <v>11049.31525</v>
      </c>
      <c r="P57" s="515"/>
    </row>
    <row r="58" spans="1:17">
      <c r="A58" s="961"/>
      <c r="B58" s="41"/>
      <c r="C58" s="41"/>
      <c r="D58" s="41"/>
      <c r="E58" s="41"/>
      <c r="F58" s="41"/>
      <c r="G58" s="41"/>
      <c r="H58" s="41"/>
      <c r="I58" s="41"/>
      <c r="J58" s="41"/>
      <c r="K58" s="41"/>
      <c r="L58" s="41"/>
      <c r="M58" s="41"/>
      <c r="N58" s="41"/>
      <c r="O58" s="41"/>
      <c r="P58" s="515"/>
    </row>
    <row r="59" spans="1:17">
      <c r="A59" s="961"/>
      <c r="B59" s="41"/>
      <c r="C59" s="41"/>
      <c r="D59" s="41"/>
      <c r="E59" s="41"/>
      <c r="F59" s="41"/>
      <c r="G59" s="41"/>
      <c r="H59" s="41"/>
      <c r="I59" s="41"/>
      <c r="J59" s="41"/>
      <c r="K59" s="41"/>
      <c r="L59" s="41"/>
      <c r="M59" s="41"/>
      <c r="N59" s="41"/>
      <c r="O59" s="41"/>
      <c r="P59" s="515"/>
    </row>
    <row r="60" spans="1:17">
      <c r="A60" s="1176" t="s">
        <v>298</v>
      </c>
      <c r="B60" s="177"/>
      <c r="C60" s="41"/>
      <c r="D60" s="41"/>
      <c r="E60" s="41"/>
      <c r="F60" s="41"/>
      <c r="G60" s="41"/>
      <c r="H60" s="41"/>
      <c r="I60" s="41"/>
      <c r="J60" s="41"/>
      <c r="K60" s="41"/>
      <c r="L60" s="41"/>
      <c r="M60" s="41"/>
      <c r="N60" s="41"/>
      <c r="O60" s="41"/>
      <c r="P60" s="515"/>
    </row>
    <row r="61" spans="1:17">
      <c r="A61" s="962" t="s">
        <v>167</v>
      </c>
      <c r="B61" s="1313" t="str">
        <f>+"Sum (Ln "&amp;A14&amp;" Subparts)"</f>
        <v>Sum (Ln 8 Subparts)</v>
      </c>
      <c r="C61" s="41"/>
      <c r="D61" s="41"/>
      <c r="E61" s="41"/>
      <c r="F61" s="41"/>
      <c r="G61" s="41"/>
      <c r="H61" s="41"/>
      <c r="I61" s="41"/>
      <c r="J61" s="41"/>
      <c r="K61" s="41"/>
      <c r="L61" s="41"/>
      <c r="M61" s="41"/>
      <c r="N61" s="41"/>
      <c r="O61" s="41"/>
      <c r="P61" s="515"/>
    </row>
    <row r="62" spans="1:17" ht="12.75" customHeight="1">
      <c r="A62" s="962" t="s">
        <v>319</v>
      </c>
      <c r="B62" s="1911" t="s">
        <v>881</v>
      </c>
      <c r="C62" s="1911"/>
      <c r="D62" s="1911"/>
      <c r="E62" s="1911"/>
      <c r="F62" s="1911"/>
      <c r="G62" s="1911"/>
      <c r="H62" s="1911"/>
      <c r="I62" s="1911"/>
      <c r="J62" s="1911"/>
      <c r="K62" s="1911"/>
      <c r="L62" s="1911"/>
      <c r="M62" s="1911"/>
      <c r="N62" s="1911"/>
      <c r="O62" s="1911"/>
      <c r="P62" s="515"/>
    </row>
    <row r="63" spans="1:17">
      <c r="A63" s="962" t="s">
        <v>320</v>
      </c>
      <c r="B63" s="1313" t="str">
        <f>+"Sum (Ln "&amp;A38&amp;" Subparts)"</f>
        <v>Sum (Ln 11 Subparts)</v>
      </c>
      <c r="C63" s="41"/>
      <c r="D63" s="41"/>
      <c r="E63" s="41"/>
      <c r="F63" s="41"/>
      <c r="G63" s="41"/>
      <c r="H63" s="41"/>
      <c r="I63" s="41"/>
      <c r="J63" s="41"/>
      <c r="K63" s="41"/>
      <c r="L63" s="41"/>
      <c r="M63" s="41"/>
      <c r="N63" s="41"/>
      <c r="O63" s="41"/>
      <c r="P63" s="515"/>
    </row>
    <row r="64" spans="1:17">
      <c r="A64" s="962" t="s">
        <v>321</v>
      </c>
      <c r="B64" s="1313" t="str">
        <f>+"Sum (Ln "&amp;A44&amp;" Subparts)"</f>
        <v>Sum (Ln 14 Subparts)</v>
      </c>
      <c r="C64" s="41"/>
      <c r="D64" s="41"/>
      <c r="E64" s="41"/>
      <c r="F64" s="41"/>
      <c r="G64" s="41"/>
      <c r="H64" s="41"/>
      <c r="I64" s="41"/>
      <c r="J64" s="41"/>
      <c r="K64" s="41"/>
      <c r="L64" s="41"/>
      <c r="M64" s="41"/>
      <c r="N64" s="41"/>
      <c r="O64" s="41"/>
      <c r="P64" s="515"/>
    </row>
    <row r="65" spans="1:16">
      <c r="A65" s="962" t="s">
        <v>322</v>
      </c>
      <c r="B65" s="795" t="str">
        <f>+"Sum (Ln "&amp;A36&amp;" + "&amp;A42&amp;" + "&amp;A48&amp;" + "&amp;A51&amp;")"</f>
        <v>Sum (Ln 9 + 12 + 15 + 18)</v>
      </c>
      <c r="C65" s="41"/>
      <c r="D65" s="41"/>
      <c r="E65" s="41"/>
      <c r="F65" s="41"/>
      <c r="G65" s="41"/>
      <c r="H65" s="41"/>
      <c r="I65" s="41"/>
      <c r="J65" s="41"/>
      <c r="K65" s="41"/>
      <c r="L65" s="41"/>
      <c r="M65" s="41"/>
      <c r="N65" s="41"/>
      <c r="O65" s="41"/>
      <c r="P65" s="527" t="s">
        <v>1315</v>
      </c>
    </row>
    <row r="66" spans="1:16">
      <c r="A66" s="962" t="s">
        <v>717</v>
      </c>
      <c r="B66" s="41" t="s">
        <v>1103</v>
      </c>
      <c r="C66" s="41"/>
      <c r="D66" s="41"/>
      <c r="E66" s="41"/>
      <c r="F66" s="41"/>
      <c r="G66" s="41"/>
      <c r="H66" s="41"/>
      <c r="I66" s="41"/>
      <c r="J66" s="41"/>
      <c r="K66" s="41"/>
      <c r="L66" s="41"/>
      <c r="M66" s="41"/>
      <c r="N66" s="41"/>
      <c r="O66" s="41"/>
      <c r="P66" s="515"/>
    </row>
    <row r="67" spans="1:16">
      <c r="A67" s="962" t="s">
        <v>719</v>
      </c>
      <c r="B67" s="41" t="s">
        <v>1068</v>
      </c>
      <c r="C67" s="41"/>
      <c r="D67" s="41"/>
      <c r="E67" s="41"/>
      <c r="F67" s="41"/>
      <c r="G67" s="41"/>
      <c r="H67" s="41"/>
      <c r="I67" s="41"/>
      <c r="J67" s="41"/>
      <c r="K67" s="41"/>
      <c r="L67" s="41"/>
      <c r="M67" s="41"/>
      <c r="N67" s="41"/>
      <c r="O67" s="41"/>
      <c r="P67" s="515"/>
    </row>
    <row r="68" spans="1:16">
      <c r="A68" s="962" t="s">
        <v>1092</v>
      </c>
      <c r="B68" s="795" t="str">
        <f>+"Sum (Ln "&amp;A53&amp;" + "&amp;A55&amp;")"</f>
        <v>Sum (Ln 20 + 22)</v>
      </c>
      <c r="P68" s="515"/>
    </row>
  </sheetData>
  <mergeCells count="5">
    <mergeCell ref="B62:O62"/>
    <mergeCell ref="C9:N9"/>
    <mergeCell ref="A1:O1"/>
    <mergeCell ref="A2:O2"/>
    <mergeCell ref="A3:O3"/>
  </mergeCells>
  <printOptions horizontalCentered="1"/>
  <pageMargins left="0.5" right="0.5" top="0.5" bottom="0.5" header="0.3" footer="0.5"/>
  <pageSetup scale="63" orientation="landscape" r:id="rId1"/>
  <headerFooter>
    <oddFooter>&amp;R&amp;A</oddFooter>
  </headerFooter>
  <ignoredErrors>
    <ignoredError sqref="A61:A6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L345"/>
  <sheetViews>
    <sheetView tabSelected="1" zoomScale="90" zoomScaleNormal="90" zoomScaleSheetLayoutView="90" workbookViewId="0">
      <selection sqref="A1:H1"/>
    </sheetView>
  </sheetViews>
  <sheetFormatPr defaultColWidth="11.5546875" defaultRowHeight="15"/>
  <cols>
    <col min="1" max="1" width="7" style="2" customWidth="1"/>
    <col min="2" max="2" width="2.109375" style="2" customWidth="1"/>
    <col min="3" max="3" width="45" style="205" customWidth="1"/>
    <col min="4" max="5" width="19.5546875" style="259" customWidth="1"/>
    <col min="6" max="6" width="49.5546875" style="259" customWidth="1"/>
    <col min="7" max="8" width="18.33203125" style="259" bestFit="1" customWidth="1"/>
    <col min="9" max="9" width="11.5546875" style="259" customWidth="1"/>
    <col min="10" max="10" width="15.88671875" style="259" customWidth="1"/>
    <col min="11" max="11" width="11.5546875" style="259" customWidth="1"/>
    <col min="12" max="16384" width="11.5546875" style="259"/>
  </cols>
  <sheetData>
    <row r="1" spans="1:12" ht="23.25" customHeight="1">
      <c r="A1" s="1918" t="str">
        <f>+"ATTACHMENT O - "&amp;'MISO Cover'!C6</f>
        <v>ATTACHMENT O - Entergy Louisiana, LLC</v>
      </c>
      <c r="B1" s="1918"/>
      <c r="C1" s="1918"/>
      <c r="D1" s="1918"/>
      <c r="E1" s="1918"/>
      <c r="F1" s="1918"/>
      <c r="G1" s="1918"/>
      <c r="H1" s="1918"/>
    </row>
    <row r="2" spans="1:12" ht="17.25" customHeight="1">
      <c r="A2" s="64"/>
      <c r="C2" s="2"/>
    </row>
    <row r="3" spans="1:12" s="463" customFormat="1" ht="17.399999999999999">
      <c r="A3" s="1919" t="str">
        <f>+'MISO Cover'!K4</f>
        <v>For  the 12 Months Ended 12/31/2016</v>
      </c>
      <c r="B3" s="1919"/>
      <c r="C3" s="1919"/>
      <c r="D3" s="1919"/>
      <c r="E3" s="1919"/>
      <c r="F3" s="1919"/>
      <c r="G3" s="1919"/>
      <c r="H3" s="1919"/>
      <c r="I3" s="206"/>
      <c r="J3" s="450"/>
      <c r="K3" s="450"/>
      <c r="L3" s="450"/>
    </row>
    <row r="4" spans="1:12" ht="16.5" customHeight="1" thickBot="1">
      <c r="A4" s="37"/>
      <c r="C4" s="2"/>
    </row>
    <row r="5" spans="1:12" s="1" customFormat="1" ht="22.8">
      <c r="A5" s="1935" t="s">
        <v>133</v>
      </c>
      <c r="B5" s="1936"/>
      <c r="C5" s="1936"/>
      <c r="D5" s="469"/>
      <c r="E5" s="470" t="s">
        <v>124</v>
      </c>
      <c r="F5" s="471" t="s">
        <v>277</v>
      </c>
      <c r="G5" s="466" t="s">
        <v>1072</v>
      </c>
      <c r="H5" s="875" t="s">
        <v>318</v>
      </c>
    </row>
    <row r="6" spans="1:12" s="35" customFormat="1" ht="15.6">
      <c r="A6" s="1052" t="s">
        <v>67</v>
      </c>
      <c r="B6" s="464" t="s">
        <v>114</v>
      </c>
      <c r="C6" s="464" t="s">
        <v>55</v>
      </c>
      <c r="D6" s="464" t="s">
        <v>68</v>
      </c>
      <c r="E6" s="461" t="s">
        <v>66</v>
      </c>
      <c r="F6" s="462" t="s">
        <v>154</v>
      </c>
      <c r="G6" s="462" t="s">
        <v>69</v>
      </c>
      <c r="H6" s="1418" t="s">
        <v>166</v>
      </c>
    </row>
    <row r="7" spans="1:12" ht="11.4" customHeight="1">
      <c r="A7" s="1541"/>
      <c r="B7" s="1341"/>
      <c r="C7" s="1342"/>
      <c r="D7" s="1342"/>
      <c r="E7" s="1343"/>
      <c r="F7" s="876"/>
      <c r="G7" s="1339"/>
      <c r="H7" s="1340"/>
    </row>
    <row r="8" spans="1:12" s="260" customFormat="1" ht="16.2" thickBot="1">
      <c r="A8" s="1933" t="s">
        <v>86</v>
      </c>
      <c r="B8" s="1934"/>
      <c r="C8" s="1934"/>
      <c r="D8" s="239"/>
      <c r="E8" s="989" t="str">
        <f>"(Note "&amp;A$330&amp;")"</f>
        <v>(Note Y)</v>
      </c>
      <c r="F8" s="240"/>
      <c r="G8" s="467"/>
      <c r="H8" s="468"/>
    </row>
    <row r="9" spans="1:12" s="260" customFormat="1" ht="13.95" customHeight="1">
      <c r="A9" s="100"/>
      <c r="B9" s="101"/>
      <c r="C9" s="101"/>
      <c r="D9" s="101"/>
      <c r="E9" s="102"/>
      <c r="F9" s="128"/>
      <c r="G9" s="103"/>
      <c r="H9" s="1055"/>
    </row>
    <row r="10" spans="1:12" ht="15.6">
      <c r="A10" s="104"/>
      <c r="B10" s="1930" t="s">
        <v>87</v>
      </c>
      <c r="C10" s="1930"/>
      <c r="D10" s="9"/>
      <c r="E10" s="107"/>
      <c r="F10" s="134"/>
      <c r="G10" s="68"/>
      <c r="H10" s="1056"/>
    </row>
    <row r="11" spans="1:12" ht="15.6" customHeight="1">
      <c r="A11" s="74">
        <v>1</v>
      </c>
      <c r="B11" s="32"/>
      <c r="C11" s="15" t="s">
        <v>63</v>
      </c>
      <c r="D11" s="106"/>
      <c r="E11" s="34"/>
      <c r="F11" s="134" t="str">
        <f>+"WP03 W&amp;S Line "&amp;'WP03 W&amp;S'!A10&amp;" Column "&amp;'WP03 W&amp;S'!C5</f>
        <v>WP03 W&amp;S Line 2 Column B</v>
      </c>
      <c r="G11" s="99">
        <f>'WP03 W&amp;S'!C10</f>
        <v>16191345.89999998</v>
      </c>
      <c r="H11" s="1057">
        <f>'WP03 W&amp;S'!C10</f>
        <v>16191345.89999998</v>
      </c>
    </row>
    <row r="12" spans="1:12" ht="15.6" customHeight="1">
      <c r="A12" s="74">
        <f>+A11+1</f>
        <v>2</v>
      </c>
      <c r="B12" s="32"/>
      <c r="C12" s="1925" t="s">
        <v>502</v>
      </c>
      <c r="D12" s="1925"/>
      <c r="E12" s="73" t="str">
        <f>"(Note "&amp;A$337&amp;")"</f>
        <v>(Note FF)</v>
      </c>
      <c r="F12" s="135" t="str">
        <f>+"WP02 Support Line "&amp;'WP02 Support'!A19&amp;" Column "&amp;'WP02 Support'!D5</f>
        <v>WP02 Support Line 5 Column C</v>
      </c>
      <c r="G12" s="653">
        <f>+'WP02 Support'!D19</f>
        <v>334269.3921184119</v>
      </c>
      <c r="H12" s="1058">
        <f>+'WP02 Support'!D19</f>
        <v>334269.3921184119</v>
      </c>
    </row>
    <row r="13" spans="1:12">
      <c r="A13" s="74">
        <f>+A12+1</f>
        <v>3</v>
      </c>
      <c r="B13" s="32"/>
      <c r="C13" s="15" t="s">
        <v>501</v>
      </c>
      <c r="D13" s="106"/>
      <c r="E13" s="34"/>
      <c r="F13" s="872" t="str">
        <f>"(Line "&amp;A11&amp;" + Line "&amp;A12&amp;")"</f>
        <v>(Line 1 + Line 2)</v>
      </c>
      <c r="G13" s="716">
        <f>+G11+G12</f>
        <v>16525615.292118391</v>
      </c>
      <c r="H13" s="1057">
        <f>+H11+H12</f>
        <v>16525615.292118391</v>
      </c>
    </row>
    <row r="14" spans="1:12" ht="13.95" customHeight="1">
      <c r="A14" s="74"/>
      <c r="B14" s="32"/>
      <c r="C14" s="15"/>
      <c r="D14" s="106"/>
      <c r="E14" s="34"/>
      <c r="F14" s="134"/>
      <c r="G14" s="449"/>
      <c r="H14" s="1057"/>
    </row>
    <row r="15" spans="1:12" ht="15.6" customHeight="1">
      <c r="A15" s="74">
        <f>+A13+1</f>
        <v>4</v>
      </c>
      <c r="B15" s="32"/>
      <c r="C15" s="15" t="s">
        <v>64</v>
      </c>
      <c r="D15" s="15"/>
      <c r="E15" s="34"/>
      <c r="F15" s="134" t="str">
        <f>+"WP03 W&amp;S Line "&amp;'WP03 W&amp;S'!A27&amp;" Column "&amp;'WP03 W&amp;S'!C5</f>
        <v>WP03 W&amp;S Line 5 Column B</v>
      </c>
      <c r="G15" s="99">
        <f>'WP03 W&amp;S'!C27</f>
        <v>281813882.16299999</v>
      </c>
      <c r="H15" s="1057">
        <f>'WP03 W&amp;S'!C27</f>
        <v>281813882.16299999</v>
      </c>
    </row>
    <row r="16" spans="1:12" ht="15.6" customHeight="1">
      <c r="A16" s="74">
        <f>+A15+1</f>
        <v>5</v>
      </c>
      <c r="B16" s="32"/>
      <c r="C16" s="457" t="s">
        <v>504</v>
      </c>
      <c r="D16" s="871"/>
      <c r="E16" s="73" t="str">
        <f>"(Note "&amp;A$337&amp;")"</f>
        <v>(Note FF)</v>
      </c>
      <c r="F16" s="135" t="str">
        <f>+"WP02 Support Line "&amp;'WP02 Support'!A30&amp;" Column "&amp;'WP02 Support'!D5</f>
        <v>WP02 Support Line 8 Column C</v>
      </c>
      <c r="G16" s="653">
        <f>+'WP02 Support'!D30</f>
        <v>212428.04211841186</v>
      </c>
      <c r="H16" s="1058">
        <f>+'WP02 Support'!D30</f>
        <v>212428.04211841186</v>
      </c>
    </row>
    <row r="17" spans="1:8" ht="15.6" customHeight="1">
      <c r="A17" s="74">
        <f>+A16+1</f>
        <v>6</v>
      </c>
      <c r="B17" s="32"/>
      <c r="C17" s="15" t="s">
        <v>503</v>
      </c>
      <c r="D17" s="106"/>
      <c r="E17" s="34"/>
      <c r="F17" s="48" t="str">
        <f>"(Line "&amp;A15&amp;" + Line "&amp;A16&amp;")"</f>
        <v>(Line 4 + Line 5)</v>
      </c>
      <c r="G17" s="99">
        <f>+G15+G16</f>
        <v>282026310.20511842</v>
      </c>
      <c r="H17" s="1057">
        <f>+H15+H16</f>
        <v>282026310.20511842</v>
      </c>
    </row>
    <row r="18" spans="1:8" ht="13.95" customHeight="1">
      <c r="A18" s="74"/>
      <c r="B18" s="32"/>
      <c r="C18" s="15"/>
      <c r="D18" s="15"/>
      <c r="E18" s="34"/>
      <c r="F18" s="134"/>
      <c r="G18" s="99"/>
      <c r="H18" s="1057"/>
    </row>
    <row r="19" spans="1:8" ht="15.6" customHeight="1">
      <c r="A19" s="74">
        <f>+A17+1</f>
        <v>7</v>
      </c>
      <c r="B19" s="32"/>
      <c r="C19" s="15" t="s">
        <v>506</v>
      </c>
      <c r="D19" s="15"/>
      <c r="E19" s="34"/>
      <c r="F19" s="134" t="str">
        <f>+"WP03 W&amp;S Line "&amp;'WP03 W&amp;S'!A33&amp;" Column "&amp;'WP03 W&amp;S'!C5</f>
        <v>WP03 W&amp;S Line 8 Column B</v>
      </c>
      <c r="G19" s="99">
        <f>'WP03 W&amp;S'!C33</f>
        <v>56616650.190000005</v>
      </c>
      <c r="H19" s="1057">
        <f>'WP03 W&amp;S'!C33</f>
        <v>56616650.190000005</v>
      </c>
    </row>
    <row r="20" spans="1:8" ht="15.6" customHeight="1">
      <c r="A20" s="74">
        <f>+A19+1</f>
        <v>8</v>
      </c>
      <c r="B20" s="32"/>
      <c r="C20" s="457" t="s">
        <v>500</v>
      </c>
      <c r="D20" s="871"/>
      <c r="E20" s="73" t="str">
        <f>"(Note "&amp;A$337&amp;")"</f>
        <v>(Note FF)</v>
      </c>
      <c r="F20" s="135" t="str">
        <f>+"WP02 Support Line "&amp;'WP02 Support'!A41&amp;" Column "&amp;'WP02 Support'!D5</f>
        <v>WP02 Support Line 11 Column C</v>
      </c>
      <c r="G20" s="653">
        <f>+'WP02 Support'!D41</f>
        <v>-124486.25000000004</v>
      </c>
      <c r="H20" s="1058">
        <f>+'WP02 Support'!D41</f>
        <v>-124486.25000000004</v>
      </c>
    </row>
    <row r="21" spans="1:8" ht="15.6" customHeight="1">
      <c r="A21" s="74">
        <f>+A20+1</f>
        <v>9</v>
      </c>
      <c r="B21" s="32"/>
      <c r="C21" s="15" t="s">
        <v>760</v>
      </c>
      <c r="D21" s="106"/>
      <c r="E21" s="34"/>
      <c r="F21" s="48" t="str">
        <f>"(Line "&amp;A19&amp;" + Line "&amp;A20&amp;")"</f>
        <v>(Line 7 + Line 8)</v>
      </c>
      <c r="G21" s="99">
        <f>+G19+G20</f>
        <v>56492163.940000005</v>
      </c>
      <c r="H21" s="1057">
        <f>+H19+H20</f>
        <v>56492163.940000005</v>
      </c>
    </row>
    <row r="22" spans="1:8" ht="13.95" customHeight="1">
      <c r="A22" s="74"/>
      <c r="B22" s="32"/>
      <c r="C22" s="15"/>
      <c r="D22" s="15"/>
      <c r="E22" s="34"/>
      <c r="F22" s="134"/>
      <c r="G22" s="99"/>
      <c r="H22" s="1057"/>
    </row>
    <row r="23" spans="1:8" ht="15.6" customHeight="1">
      <c r="A23" s="74">
        <f>+A21+1</f>
        <v>10</v>
      </c>
      <c r="B23" s="32"/>
      <c r="C23" s="279" t="s">
        <v>505</v>
      </c>
      <c r="D23" s="280"/>
      <c r="E23" s="281"/>
      <c r="F23" s="876" t="str">
        <f>"(Line "&amp;A17&amp;" - Line "&amp;A21&amp;")"</f>
        <v>(Line 6 - Line 9)</v>
      </c>
      <c r="G23" s="878">
        <f>+G17-G21</f>
        <v>225534146.26511842</v>
      </c>
      <c r="H23" s="1059">
        <f>+H17-H21</f>
        <v>225534146.26511842</v>
      </c>
    </row>
    <row r="24" spans="1:8" ht="15.6" customHeight="1" thickBot="1">
      <c r="A24" s="74">
        <f>+A23+1</f>
        <v>11</v>
      </c>
      <c r="B24" s="3" t="s">
        <v>101</v>
      </c>
      <c r="C24" s="3"/>
      <c r="D24" s="18"/>
      <c r="E24" s="51"/>
      <c r="F24" s="877" t="str">
        <f>"(Line "&amp;A13&amp;" / Line "&amp;A23&amp;")"</f>
        <v>(Line 3 / Line 10)</v>
      </c>
      <c r="G24" s="1344">
        <f>IF(G23=0,0,+G13/G23)</f>
        <v>7.3273229645201082E-2</v>
      </c>
      <c r="H24" s="1771">
        <f>IF(H23=0,0,+H13/H23)</f>
        <v>7.3273229645201082E-2</v>
      </c>
    </row>
    <row r="25" spans="1:8" ht="13.95" customHeight="1" thickTop="1">
      <c r="A25" s="74"/>
      <c r="B25" s="32"/>
      <c r="C25" s="5"/>
      <c r="D25" s="9"/>
      <c r="E25" s="107"/>
      <c r="F25" s="141"/>
      <c r="G25" s="85"/>
      <c r="H25" s="1060"/>
    </row>
    <row r="26" spans="1:8" ht="15.6" customHeight="1">
      <c r="A26" s="111"/>
      <c r="B26" s="1930" t="s">
        <v>109</v>
      </c>
      <c r="C26" s="1930"/>
      <c r="D26" s="15"/>
      <c r="E26" s="15"/>
      <c r="F26" s="130"/>
      <c r="G26" s="86"/>
      <c r="H26" s="1061"/>
    </row>
    <row r="27" spans="1:8" ht="15.6" customHeight="1">
      <c r="A27" s="74">
        <f>+A24+1</f>
        <v>12</v>
      </c>
      <c r="B27" s="15"/>
      <c r="C27" s="15" t="s">
        <v>299</v>
      </c>
      <c r="D27" s="451"/>
      <c r="E27" s="34" t="str">
        <f>"(Notes "&amp;A$307&amp;" "&amp;"&amp; "&amp;A$324&amp;")"</f>
        <v>(Notes B &amp; S)</v>
      </c>
      <c r="F27" s="134" t="str">
        <f>+"WP04 PIS Line "&amp;'WP04 PIS'!$A$23&amp;", Line "&amp;'WP04 PIS'!$A$21&amp;" Column "&amp;'WP04 PIS'!$L$5</f>
        <v>WP04 PIS Line 18, Line 16 Column K</v>
      </c>
      <c r="G27" s="99">
        <f>+'WP04 PIS'!L23</f>
        <v>18349268643.241539</v>
      </c>
      <c r="H27" s="1057">
        <f>+'WP04 PIS'!L21</f>
        <v>18596338829.489998</v>
      </c>
    </row>
    <row r="28" spans="1:8" ht="15.6" customHeight="1">
      <c r="A28" s="74">
        <f>+A27+1</f>
        <v>13</v>
      </c>
      <c r="B28" s="9"/>
      <c r="C28" s="1925" t="s">
        <v>300</v>
      </c>
      <c r="D28" s="1925"/>
      <c r="E28" s="73" t="str">
        <f>"(Notes "&amp;A$307&amp;" "&amp;"&amp; "&amp;A$324&amp;")"</f>
        <v>(Notes B &amp; S)</v>
      </c>
      <c r="F28" s="135" t="str">
        <f>+"WP04 PIS Line "&amp;'WP04 PIS'!$A$42&amp;", Line "&amp;'WP04 PIS'!$A$40&amp;" Column "&amp;'WP04 PIS'!$L$5</f>
        <v>WP04 PIS Line 37, Line 35 Column K</v>
      </c>
      <c r="G28" s="653">
        <f>+'WP04 PIS'!L42</f>
        <v>8645232088.6153851</v>
      </c>
      <c r="H28" s="1058">
        <f>+'WP04 PIS'!L40</f>
        <v>8567624597</v>
      </c>
    </row>
    <row r="29" spans="1:8" ht="15.6" customHeight="1">
      <c r="A29" s="74">
        <f>+A28+1</f>
        <v>14</v>
      </c>
      <c r="B29" s="15"/>
      <c r="C29" s="15" t="s">
        <v>301</v>
      </c>
      <c r="D29" s="15"/>
      <c r="E29" s="34"/>
      <c r="F29" s="134" t="str">
        <f>"(Line "&amp;A27&amp;" - Line "&amp;A28&amp;")"</f>
        <v>(Line 12 - Line 13)</v>
      </c>
      <c r="G29" s="99">
        <f>+G27-G28</f>
        <v>9704036554.6261539</v>
      </c>
      <c r="H29" s="1057">
        <f>+H27-H28</f>
        <v>10028714232.489998</v>
      </c>
    </row>
    <row r="30" spans="1:8" ht="13.95" customHeight="1">
      <c r="A30" s="111"/>
      <c r="B30" s="15"/>
      <c r="C30" s="15"/>
      <c r="D30" s="15"/>
      <c r="E30" s="34"/>
      <c r="F30" s="130"/>
      <c r="G30" s="644"/>
      <c r="H30" s="1062"/>
    </row>
    <row r="31" spans="1:8" ht="15.6" customHeight="1">
      <c r="A31" s="74">
        <f>+A29+1</f>
        <v>15</v>
      </c>
      <c r="B31" s="15"/>
      <c r="C31" s="15" t="str">
        <f>+B50</f>
        <v>TOTAL Plant In Service - Transmission</v>
      </c>
      <c r="D31" s="451"/>
      <c r="E31" s="34"/>
      <c r="F31" s="135" t="str">
        <f>"(Line "&amp;A50&amp;")"</f>
        <v>(Line 27)</v>
      </c>
      <c r="G31" s="644">
        <f>+G50</f>
        <v>2855038331.4963827</v>
      </c>
      <c r="H31" s="1062">
        <f>+H50</f>
        <v>3096916933.2164207</v>
      </c>
    </row>
    <row r="32" spans="1:8" ht="15.6" customHeight="1" thickBot="1">
      <c r="A32" s="74">
        <f>+A31+1</f>
        <v>16</v>
      </c>
      <c r="B32" s="1929" t="s">
        <v>56</v>
      </c>
      <c r="C32" s="1929"/>
      <c r="D32" s="452"/>
      <c r="E32" s="453"/>
      <c r="F32" s="131" t="str">
        <f>"(Line "&amp;A31&amp;" / Line "&amp;A27&amp;")"</f>
        <v>(Line 15 / Line 12)</v>
      </c>
      <c r="G32" s="1344">
        <f>IF(G27=0,0,+G31/G27)</f>
        <v>0.15559412132471881</v>
      </c>
      <c r="H32" s="1771">
        <f>IF(H27=0,0,+H31/H27)</f>
        <v>0.16653369040067945</v>
      </c>
    </row>
    <row r="33" spans="1:9" ht="13.95" customHeight="1" thickTop="1">
      <c r="A33" s="111"/>
      <c r="B33" s="9"/>
      <c r="C33" s="9"/>
      <c r="D33" s="9"/>
      <c r="E33" s="34"/>
      <c r="F33" s="130"/>
      <c r="G33" s="86"/>
      <c r="H33" s="1061"/>
    </row>
    <row r="34" spans="1:9" ht="15.6" customHeight="1">
      <c r="A34" s="74">
        <f>+A32+1</f>
        <v>17</v>
      </c>
      <c r="B34" s="32"/>
      <c r="C34" s="1926" t="str">
        <f>+B63</f>
        <v>TOTAL Net Property, Plant &amp; Equipment - Transmission</v>
      </c>
      <c r="D34" s="1926"/>
      <c r="E34" s="34" t="str">
        <f>"(Notes "&amp;A$307&amp;" &amp; "&amp;A$324&amp;")"</f>
        <v>(Notes B &amp; S)</v>
      </c>
      <c r="F34" s="135" t="str">
        <f>"(Line "&amp;A63&amp;")"</f>
        <v>(Line 35)</v>
      </c>
      <c r="G34" s="644">
        <f>+G63</f>
        <v>1787274565.3116651</v>
      </c>
      <c r="H34" s="1062">
        <f>+H63</f>
        <v>2012121675.7860842</v>
      </c>
    </row>
    <row r="35" spans="1:9" ht="15.6" customHeight="1" thickBot="1">
      <c r="A35" s="74">
        <f>+A34+1</f>
        <v>18</v>
      </c>
      <c r="B35" s="1929" t="s">
        <v>106</v>
      </c>
      <c r="C35" s="1929"/>
      <c r="D35" s="452"/>
      <c r="E35" s="453"/>
      <c r="F35" s="131" t="str">
        <f>"(Line "&amp;A34&amp;" / Line "&amp;A29&amp;")"</f>
        <v>(Line 17 / Line 14)</v>
      </c>
      <c r="G35" s="1344">
        <f>IF(G29=0,0,+G34/G29)</f>
        <v>0.18417846586322134</v>
      </c>
      <c r="H35" s="1771">
        <f>IF(H29=0,0,+H34/H29)</f>
        <v>0.20063605654126818</v>
      </c>
    </row>
    <row r="36" spans="1:9" ht="13.95" customHeight="1" thickTop="1">
      <c r="A36" s="124"/>
      <c r="B36" s="32"/>
      <c r="C36" s="5"/>
      <c r="D36" s="9"/>
      <c r="E36" s="107"/>
      <c r="F36" s="141"/>
      <c r="G36" s="85"/>
      <c r="H36" s="1063"/>
    </row>
    <row r="37" spans="1:9" s="260" customFormat="1" ht="15.6" customHeight="1">
      <c r="A37" s="1053" t="s">
        <v>105</v>
      </c>
      <c r="B37" s="242"/>
      <c r="C37" s="243"/>
      <c r="D37" s="243"/>
      <c r="E37" s="244"/>
      <c r="F37" s="245"/>
      <c r="G37" s="246"/>
      <c r="H37" s="1064"/>
    </row>
    <row r="38" spans="1:9" s="260" customFormat="1" ht="13.95" customHeight="1">
      <c r="A38" s="110"/>
      <c r="B38" s="19"/>
      <c r="C38" s="9"/>
      <c r="D38" s="9"/>
      <c r="E38" s="50"/>
      <c r="F38" s="130"/>
      <c r="G38" s="87"/>
      <c r="H38" s="1065"/>
    </row>
    <row r="39" spans="1:9" ht="15.6" customHeight="1">
      <c r="A39" s="111"/>
      <c r="B39" s="1930" t="str">
        <f>"Plant In Service "</f>
        <v xml:space="preserve">Plant In Service </v>
      </c>
      <c r="C39" s="1930"/>
      <c r="D39" s="9"/>
      <c r="E39" s="107"/>
      <c r="F39" s="134"/>
      <c r="G39" s="68"/>
      <c r="H39" s="1066"/>
    </row>
    <row r="40" spans="1:9" ht="15.6" customHeight="1">
      <c r="A40" s="111">
        <f>+A35+1</f>
        <v>19</v>
      </c>
      <c r="B40" s="5"/>
      <c r="C40" s="9" t="s">
        <v>479</v>
      </c>
      <c r="D40" s="9"/>
      <c r="E40" s="34" t="str">
        <f>"(Notes "&amp;A$307&amp;" &amp; "&amp;A$324&amp;")"</f>
        <v>(Notes B &amp; S)</v>
      </c>
      <c r="F40" s="134" t="str">
        <f>+"WP04 PIS Line "&amp;'WP04 PIS'!$A$23&amp;", Line "&amp;'WP04 PIS'!$A$21&amp;" Column "&amp;'WP04 PIS'!$G$5</f>
        <v>WP04 PIS Line 18, Line 16 Column F</v>
      </c>
      <c r="G40" s="99">
        <f>+'WP04 PIS'!G23</f>
        <v>2795546770.8200002</v>
      </c>
      <c r="H40" s="1057">
        <f>+'WP04 PIS'!G21</f>
        <v>2945924806.4499998</v>
      </c>
      <c r="I40" s="966"/>
    </row>
    <row r="41" spans="1:9" ht="15.6" customHeight="1">
      <c r="A41" s="111">
        <f>+A40+1</f>
        <v>20</v>
      </c>
      <c r="B41" s="5"/>
      <c r="C41" s="1925" t="s">
        <v>480</v>
      </c>
      <c r="D41" s="1925"/>
      <c r="E41" s="983" t="str">
        <f>"(Notes "&amp;A$307&amp;" &amp; "&amp;A$324&amp;")"</f>
        <v>(Notes B &amp; S)</v>
      </c>
      <c r="F41" s="258" t="str">
        <f>+"WP05 CapAds Line "&amp;'WP05 CapAds'!$A$22&amp;" Column "&amp;'WP05 CapAds'!$D$6</f>
        <v>WP05 CapAds Line 16 Column C</v>
      </c>
      <c r="G41" s="653"/>
      <c r="H41" s="1058">
        <f>+'WP05 CapAds'!D22</f>
        <v>89762116.36083357</v>
      </c>
    </row>
    <row r="42" spans="1:9" ht="15.6" customHeight="1">
      <c r="A42" s="111">
        <f>+A41+1</f>
        <v>21</v>
      </c>
      <c r="B42" s="32"/>
      <c r="C42" s="58" t="s">
        <v>38</v>
      </c>
      <c r="D42" s="9"/>
      <c r="E42" s="967"/>
      <c r="F42" s="134" t="str">
        <f>"(Line"&amp;A40&amp;" + Line "&amp;A41&amp;")"</f>
        <v>(Line19 + Line 20)</v>
      </c>
      <c r="G42" s="99">
        <f>+G40+G41</f>
        <v>2795546770.8200002</v>
      </c>
      <c r="H42" s="1057">
        <f>+H40+H41</f>
        <v>3035686922.8108335</v>
      </c>
    </row>
    <row r="43" spans="1:9" ht="13.95" customHeight="1">
      <c r="A43" s="74"/>
      <c r="B43" s="32"/>
      <c r="C43" s="5"/>
      <c r="D43" s="9"/>
      <c r="E43" s="34"/>
      <c r="F43" s="134"/>
      <c r="G43" s="71"/>
      <c r="H43" s="1067"/>
    </row>
    <row r="44" spans="1:9" ht="15.6" customHeight="1">
      <c r="A44" s="74">
        <f>+A42+1</f>
        <v>22</v>
      </c>
      <c r="B44" s="32"/>
      <c r="C44" s="58" t="s">
        <v>189</v>
      </c>
      <c r="D44" s="9"/>
      <c r="E44" s="34" t="str">
        <f>"(Notes "&amp;A$307&amp;" &amp; "&amp;A$324&amp;")"</f>
        <v>(Notes B &amp; S)</v>
      </c>
      <c r="F44" s="134" t="str">
        <f>+"WP04 PIS Line "&amp;'WP04 PIS'!$A$23&amp;", Line "&amp;'WP04 PIS'!$A$21&amp;" Column "&amp;'WP04 PIS'!$K$5</f>
        <v>WP04 PIS Line 18, Line 16 Column J</v>
      </c>
      <c r="G44" s="99">
        <f>+'WP04 PIS'!K23</f>
        <v>245113074.15769231</v>
      </c>
      <c r="H44" s="1057">
        <f>+'WP04 PIS'!K21</f>
        <v>247973271.18000001</v>
      </c>
    </row>
    <row r="45" spans="1:9" ht="15.6" customHeight="1">
      <c r="A45" s="74">
        <f>+A44+1</f>
        <v>23</v>
      </c>
      <c r="B45" s="32"/>
      <c r="C45" s="58" t="s">
        <v>261</v>
      </c>
      <c r="D45" s="9"/>
      <c r="E45" s="34" t="str">
        <f>"(Notes "&amp;A$307&amp;" &amp; "&amp;A$324&amp;")"</f>
        <v>(Notes B &amp; S)</v>
      </c>
      <c r="F45" s="135" t="str">
        <f>+"WP04 PIS Line "&amp;'WP04 PIS'!$A$23&amp;", Line "&amp;'WP04 PIS'!$A$21&amp;" Column "&amp;'WP04 PIS'!$C$5</f>
        <v>WP04 PIS Line 18, Line 16 Column B</v>
      </c>
      <c r="G45" s="653">
        <f>+'WP04 PIS'!C23</f>
        <v>566800921.77846146</v>
      </c>
      <c r="H45" s="1058">
        <f>+'WP04 PIS'!C21</f>
        <v>587666302.80999994</v>
      </c>
    </row>
    <row r="46" spans="1:9" ht="15.6" customHeight="1">
      <c r="A46" s="74">
        <f>+A45+1</f>
        <v>24</v>
      </c>
      <c r="B46" s="32"/>
      <c r="C46" s="279" t="s">
        <v>260</v>
      </c>
      <c r="D46" s="282"/>
      <c r="E46" s="283"/>
      <c r="F46" s="134" t="str">
        <f>"(Line"&amp;A44&amp;" + Line "&amp;A45&amp;")"</f>
        <v>(Line22 + Line 23)</v>
      </c>
      <c r="G46" s="99">
        <f>SUM(G44:G45)</f>
        <v>811913995.93615377</v>
      </c>
      <c r="H46" s="1057">
        <f>SUM(H44:H45)</f>
        <v>835639573.99000001</v>
      </c>
    </row>
    <row r="47" spans="1:9" ht="15.6" customHeight="1">
      <c r="A47" s="74">
        <f>+A46+1</f>
        <v>25</v>
      </c>
      <c r="B47" s="32"/>
      <c r="C47" s="56" t="s">
        <v>110</v>
      </c>
      <c r="D47" s="58"/>
      <c r="E47" s="107"/>
      <c r="F47" s="135" t="str">
        <f>"(Line "&amp;A$24&amp;")"</f>
        <v>(Line 11)</v>
      </c>
      <c r="G47" s="80">
        <f>+G24</f>
        <v>7.3273229645201082E-2</v>
      </c>
      <c r="H47" s="1068">
        <f>H$24</f>
        <v>7.3273229645201082E-2</v>
      </c>
    </row>
    <row r="48" spans="1:9" ht="15.6" customHeight="1">
      <c r="A48" s="74">
        <f>+A47+1</f>
        <v>26</v>
      </c>
      <c r="B48" s="15"/>
      <c r="C48" s="1927" t="s">
        <v>262</v>
      </c>
      <c r="D48" s="1927"/>
      <c r="E48" s="281"/>
      <c r="F48" s="134" t="str">
        <f>"(Line "&amp;A46&amp;" * Line "&amp;A47&amp;")"</f>
        <v>(Line 24 * Line 25)</v>
      </c>
      <c r="G48" s="99">
        <f>+G46*G47</f>
        <v>59491560.676382653</v>
      </c>
      <c r="H48" s="1057">
        <f>+H46*H47</f>
        <v>61230010.405587271</v>
      </c>
    </row>
    <row r="49" spans="1:10" ht="13.95" customHeight="1">
      <c r="A49" s="111"/>
      <c r="B49" s="15"/>
      <c r="C49" s="5"/>
      <c r="D49" s="15"/>
      <c r="E49" s="34"/>
      <c r="F49" s="130"/>
      <c r="G49" s="99"/>
      <c r="H49" s="1057"/>
    </row>
    <row r="50" spans="1:10" s="1" customFormat="1" ht="15.6" customHeight="1" thickBot="1">
      <c r="A50" s="74">
        <f>+A48+1</f>
        <v>27</v>
      </c>
      <c r="B50" s="1929" t="s">
        <v>302</v>
      </c>
      <c r="C50" s="1929"/>
      <c r="D50" s="160"/>
      <c r="E50" s="161"/>
      <c r="F50" s="454" t="str">
        <f>"(Line "&amp;A42&amp;" + Line "&amp;A48&amp;")"</f>
        <v>(Line 21 + Line 26)</v>
      </c>
      <c r="G50" s="586">
        <f>+G48+G42</f>
        <v>2855038331.4963827</v>
      </c>
      <c r="H50" s="1069">
        <f>+H48+H42</f>
        <v>3096916933.2164207</v>
      </c>
    </row>
    <row r="51" spans="1:10" ht="13.95" customHeight="1" thickTop="1">
      <c r="A51" s="111"/>
      <c r="B51" s="15"/>
      <c r="C51" s="15"/>
      <c r="D51" s="15"/>
      <c r="E51" s="34"/>
      <c r="F51" s="130"/>
      <c r="G51" s="644"/>
      <c r="H51" s="1062"/>
    </row>
    <row r="52" spans="1:10" ht="15.6" customHeight="1">
      <c r="A52" s="74"/>
      <c r="B52" s="1930" t="s">
        <v>83</v>
      </c>
      <c r="C52" s="1930"/>
      <c r="D52" s="48"/>
      <c r="E52" s="107"/>
      <c r="F52" s="134"/>
      <c r="G52" s="99"/>
      <c r="H52" s="1057"/>
    </row>
    <row r="53" spans="1:10" s="260" customFormat="1" ht="15.6" customHeight="1">
      <c r="A53" s="74">
        <f>+A50+1</f>
        <v>28</v>
      </c>
      <c r="B53" s="32"/>
      <c r="C53" s="1928" t="s">
        <v>162</v>
      </c>
      <c r="D53" s="1928"/>
      <c r="E53" s="34" t="str">
        <f>"(Notes "&amp;A$307&amp;" &amp; "&amp;A$324&amp;")"</f>
        <v>(Notes B &amp; S)</v>
      </c>
      <c r="F53" s="134" t="str">
        <f>+"WP04 PIS Line "&amp;'WP04 PIS'!$A$42&amp;", Line "&amp;'WP04 PIS'!$A$40&amp;" Column "&amp;'WP04 PIS'!$G$5</f>
        <v>WP04 PIS Line 37, Line 35 Column F</v>
      </c>
      <c r="G53" s="715">
        <f>+'WP04 PIS'!G42</f>
        <v>1030333378.3846154</v>
      </c>
      <c r="H53" s="1058">
        <f>+'WP04 PIS'!G40</f>
        <v>1045526805</v>
      </c>
    </row>
    <row r="54" spans="1:10" s="260" customFormat="1" ht="13.95" customHeight="1">
      <c r="A54" s="74"/>
      <c r="B54" s="32"/>
      <c r="C54" s="58"/>
      <c r="D54" s="33"/>
      <c r="E54" s="15"/>
      <c r="F54" s="134"/>
      <c r="G54" s="716"/>
      <c r="H54" s="1057"/>
    </row>
    <row r="55" spans="1:10" ht="15.6" customHeight="1">
      <c r="A55" s="74">
        <f>+A53+1</f>
        <v>29</v>
      </c>
      <c r="B55" s="32"/>
      <c r="C55" s="58" t="s">
        <v>131</v>
      </c>
      <c r="D55" s="9"/>
      <c r="E55" s="34" t="str">
        <f>"(Notes "&amp;A$307&amp;", "&amp;A$324&amp;" &amp; "&amp;A$343&amp;")"</f>
        <v>(Notes B, S &amp; LL)</v>
      </c>
      <c r="F55" s="134" t="str">
        <f>+"WP04 PIS Line "&amp;'WP04 PIS'!$A$42&amp;", Line "&amp;'WP04 PIS'!$A$40&amp;" Column "&amp;'WP04 PIS'!$K$5</f>
        <v>WP04 PIS Line 37, Line 35 Column J</v>
      </c>
      <c r="G55" s="99">
        <f>+'WP04 PIS'!K42</f>
        <v>74580854.307692304</v>
      </c>
      <c r="H55" s="1057">
        <f>+'WP04 PIS'!K40</f>
        <v>87147621.000000015</v>
      </c>
      <c r="J55" s="259" t="s">
        <v>1847</v>
      </c>
    </row>
    <row r="56" spans="1:10" ht="15.6" customHeight="1">
      <c r="A56" s="74">
        <f>+A55+1</f>
        <v>30</v>
      </c>
      <c r="B56" s="32"/>
      <c r="C56" s="60" t="s">
        <v>161</v>
      </c>
      <c r="D56" s="65"/>
      <c r="E56" s="73" t="str">
        <f>"(Notes "&amp;A$307&amp;" &amp; "&amp;A$324&amp;")"</f>
        <v>(Notes B &amp; S)</v>
      </c>
      <c r="F56" s="135" t="str">
        <f>+"WP04 PIS Line "&amp;'WP04 PIS'!$A$42&amp;", Line "&amp;'WP04 PIS'!$A$40&amp;" Column "&amp;'WP04 PIS'!$C$5</f>
        <v>WP04 PIS Line 37, Line 35 Column B</v>
      </c>
      <c r="G56" s="653">
        <f>+'WP04 PIS'!C42</f>
        <v>436252201.38461536</v>
      </c>
      <c r="H56" s="1058">
        <f>+'WP04 PIS'!C40</f>
        <v>448770512</v>
      </c>
    </row>
    <row r="57" spans="1:10" ht="15.6" customHeight="1">
      <c r="A57" s="74">
        <f>+A56+1</f>
        <v>31</v>
      </c>
      <c r="B57" s="32"/>
      <c r="C57" s="1927" t="s">
        <v>473</v>
      </c>
      <c r="D57" s="1927"/>
      <c r="E57" s="107"/>
      <c r="F57" s="134" t="str">
        <f>"(Sum Line "&amp;A55&amp;" + Line "&amp;A56&amp;")"</f>
        <v>(Sum Line 29 + Line 30)</v>
      </c>
      <c r="G57" s="99">
        <f>SUM(G55:G56)</f>
        <v>510833055.69230765</v>
      </c>
      <c r="H57" s="1057">
        <f>SUM(H55:H56)</f>
        <v>535918133</v>
      </c>
    </row>
    <row r="58" spans="1:10" ht="15.6" customHeight="1">
      <c r="A58" s="74">
        <f>+A57+1</f>
        <v>32</v>
      </c>
      <c r="B58" s="32"/>
      <c r="C58" s="58" t="str">
        <f>+C47</f>
        <v>Wage &amp; Salary Allocation Factor</v>
      </c>
      <c r="D58" s="9"/>
      <c r="E58" s="107"/>
      <c r="F58" s="135" t="str">
        <f>"(Line "&amp;A$24&amp;")"</f>
        <v>(Line 11)</v>
      </c>
      <c r="G58" s="80">
        <f>+G24</f>
        <v>7.3273229645201082E-2</v>
      </c>
      <c r="H58" s="1068">
        <f>H$24</f>
        <v>7.3273229645201082E-2</v>
      </c>
    </row>
    <row r="59" spans="1:10" ht="15.6" customHeight="1">
      <c r="A59" s="74">
        <f>+A58+1</f>
        <v>33</v>
      </c>
      <c r="B59" s="15"/>
      <c r="C59" s="1927" t="s">
        <v>263</v>
      </c>
      <c r="D59" s="1927"/>
      <c r="E59" s="283"/>
      <c r="F59" s="134" t="str">
        <f>"(Line "&amp;A57&amp;" * Line "&amp;A58&amp;")"</f>
        <v>(Line 31 * Line 32)</v>
      </c>
      <c r="G59" s="99">
        <f>+G58*G57</f>
        <v>37430387.800102249</v>
      </c>
      <c r="H59" s="1057">
        <f>+H58*H57</f>
        <v>39268452.430336416</v>
      </c>
    </row>
    <row r="60" spans="1:10" ht="13.95" customHeight="1">
      <c r="A60" s="111"/>
      <c r="B60" s="15"/>
      <c r="C60" s="15"/>
      <c r="D60" s="15"/>
      <c r="E60" s="34"/>
      <c r="F60" s="130"/>
      <c r="G60" s="673"/>
      <c r="H60" s="1070"/>
    </row>
    <row r="61" spans="1:10" ht="15.6" customHeight="1" thickBot="1">
      <c r="A61" s="74">
        <f>+A59+1</f>
        <v>34</v>
      </c>
      <c r="B61" s="1929" t="s">
        <v>303</v>
      </c>
      <c r="C61" s="1929"/>
      <c r="D61" s="1929"/>
      <c r="E61" s="161"/>
      <c r="F61" s="454" t="str">
        <f>"(Line "&amp;A53&amp;" + Line "&amp;A59&amp;")"</f>
        <v>(Line 28 + Line 33)</v>
      </c>
      <c r="G61" s="586">
        <f>+G59+G53</f>
        <v>1067763766.1847177</v>
      </c>
      <c r="H61" s="1069">
        <f>+H59+H53</f>
        <v>1084795257.4303365</v>
      </c>
    </row>
    <row r="62" spans="1:10" ht="13.95" customHeight="1" thickTop="1">
      <c r="A62" s="111"/>
      <c r="B62" s="15"/>
      <c r="C62" s="15"/>
      <c r="D62" s="15"/>
      <c r="E62" s="34"/>
      <c r="F62" s="130"/>
      <c r="G62" s="644"/>
      <c r="H62" s="1062"/>
    </row>
    <row r="63" spans="1:10" ht="15.6" customHeight="1" thickBot="1">
      <c r="A63" s="74">
        <f>+A61+1</f>
        <v>35</v>
      </c>
      <c r="B63" s="1929" t="s">
        <v>304</v>
      </c>
      <c r="C63" s="1929"/>
      <c r="D63" s="1929"/>
      <c r="E63" s="161"/>
      <c r="F63" s="454" t="str">
        <f>"(Line "&amp;A50&amp;" - Line "&amp;A61&amp;")"</f>
        <v>(Line 27 - Line 34)</v>
      </c>
      <c r="G63" s="586">
        <f>+G50-G61</f>
        <v>1787274565.3116651</v>
      </c>
      <c r="H63" s="1069">
        <f>+H50-H61</f>
        <v>2012121675.7860842</v>
      </c>
    </row>
    <row r="64" spans="1:10" ht="13.95" customHeight="1" thickTop="1">
      <c r="A64" s="111"/>
      <c r="B64" s="15"/>
      <c r="C64" s="15"/>
      <c r="D64" s="15"/>
      <c r="E64" s="34"/>
      <c r="F64" s="130"/>
      <c r="G64" s="67"/>
      <c r="H64" s="1071"/>
    </row>
    <row r="65" spans="1:18" ht="15.6" customHeight="1">
      <c r="A65" s="1937" t="s">
        <v>416</v>
      </c>
      <c r="B65" s="1938"/>
      <c r="C65" s="1938"/>
      <c r="D65" s="243"/>
      <c r="E65" s="244"/>
      <c r="F65" s="245"/>
      <c r="G65" s="246"/>
      <c r="H65" s="1064"/>
    </row>
    <row r="66" spans="1:18" ht="13.95" customHeight="1">
      <c r="A66" s="112"/>
      <c r="B66" s="113"/>
      <c r="C66" s="113"/>
      <c r="D66" s="113"/>
      <c r="E66" s="27"/>
      <c r="F66" s="133"/>
      <c r="G66" s="84"/>
      <c r="H66" s="1061"/>
    </row>
    <row r="67" spans="1:18" ht="15.6" customHeight="1">
      <c r="A67" s="108"/>
      <c r="B67" s="1930" t="s">
        <v>143</v>
      </c>
      <c r="C67" s="1930"/>
      <c r="D67" s="980"/>
      <c r="E67" s="456" t="str">
        <f>"(Note "&amp;A$334&amp;")"</f>
        <v>(Note CC)</v>
      </c>
      <c r="F67" s="130"/>
      <c r="G67" s="84"/>
      <c r="H67" s="1061"/>
    </row>
    <row r="68" spans="1:18" ht="15.6" customHeight="1">
      <c r="A68" s="108">
        <f>+A63+1</f>
        <v>36</v>
      </c>
      <c r="B68" s="113"/>
      <c r="C68" s="9" t="s">
        <v>135</v>
      </c>
      <c r="D68" s="9"/>
      <c r="E68" s="34" t="str">
        <f>"(Note "&amp;A$341&amp;")"</f>
        <v>(Note JJ)</v>
      </c>
      <c r="F68" s="130" t="str">
        <f>+"WP06 ADIT Line "&amp;'WP06 ADIT'!$A$13&amp;" Columns "&amp;'WP06 ADIT'!$G$5&amp;", "&amp;'WP06 ADIT'!$K$5</f>
        <v>WP06 ADIT Line 7 Columns F, J</v>
      </c>
      <c r="G68" s="644">
        <f>+'WP06 ADIT'!G$13</f>
        <v>-30606800.740000002</v>
      </c>
      <c r="H68" s="1062">
        <f>+'WP06 ADIT'!K13</f>
        <v>-27552114.73</v>
      </c>
    </row>
    <row r="69" spans="1:18" ht="15.6" customHeight="1">
      <c r="A69" s="108">
        <f t="shared" ref="A69:A75" si="0">+A68+1</f>
        <v>37</v>
      </c>
      <c r="B69" s="113"/>
      <c r="C69" s="9" t="s">
        <v>157</v>
      </c>
      <c r="D69" s="9"/>
      <c r="E69" s="34" t="str">
        <f>"(Note "&amp;A$341&amp;")"</f>
        <v>(Note JJ)</v>
      </c>
      <c r="F69" s="130" t="str">
        <f>+"WP06 ADIT Line "&amp;'WP06 ADIT'!$A$13&amp;" Columns "&amp;'WP06 ADIT'!$H$5&amp;", "&amp;'WP06 ADIT'!$L$5</f>
        <v>WP06 ADIT Line 7 Columns G, K</v>
      </c>
      <c r="G69" s="644">
        <f>+'WP06 ADIT'!H13</f>
        <v>409316181.12275702</v>
      </c>
      <c r="H69" s="1062">
        <f>+'WP06 ADIT'!L13</f>
        <v>630401055.72510254</v>
      </c>
    </row>
    <row r="70" spans="1:18" ht="15.6" customHeight="1">
      <c r="A70" s="108">
        <f t="shared" si="0"/>
        <v>38</v>
      </c>
      <c r="B70" s="113"/>
      <c r="C70" s="56" t="str">
        <f>+B32</f>
        <v>Gross Plant Allocator</v>
      </c>
      <c r="D70" s="14"/>
      <c r="E70" s="32"/>
      <c r="F70" s="134" t="str">
        <f>"(Line "&amp;A$32&amp;")"</f>
        <v>(Line 16)</v>
      </c>
      <c r="G70" s="91">
        <f>+G$32</f>
        <v>0.15559412132471881</v>
      </c>
      <c r="H70" s="1072">
        <f>+H$32</f>
        <v>0.16653369040067945</v>
      </c>
    </row>
    <row r="71" spans="1:18" ht="15.6" customHeight="1">
      <c r="A71" s="108">
        <f t="shared" si="0"/>
        <v>39</v>
      </c>
      <c r="B71" s="113"/>
      <c r="C71" s="56" t="str">
        <f>+"Total Transmission Allocated "&amp;C69</f>
        <v>Total Transmission Allocated Plant</v>
      </c>
      <c r="D71" s="9"/>
      <c r="E71" s="34"/>
      <c r="F71" s="134" t="str">
        <f>"(Line "&amp;A69&amp;" * Line "&amp;A70&amp;")"</f>
        <v>(Line 37 * Line 38)</v>
      </c>
      <c r="G71" s="624">
        <f>+G69*G70</f>
        <v>63687191.545784831</v>
      </c>
      <c r="H71" s="1073">
        <f>+H69*H70</f>
        <v>104983014.2423857</v>
      </c>
    </row>
    <row r="72" spans="1:18" ht="15.6" customHeight="1">
      <c r="A72" s="108">
        <f t="shared" si="0"/>
        <v>40</v>
      </c>
      <c r="B72" s="113"/>
      <c r="C72" s="9" t="s">
        <v>142</v>
      </c>
      <c r="D72" s="9"/>
      <c r="E72" s="34" t="str">
        <f>"(Note "&amp;A$341&amp;")"</f>
        <v>(Note JJ)</v>
      </c>
      <c r="F72" s="130" t="str">
        <f>+"WP06 ADIT Line "&amp;'WP06 ADIT'!$A$13&amp;" Columns "&amp;'WP06 ADIT'!$I$5&amp;", "&amp;'WP06 ADIT'!$M$5</f>
        <v>WP06 ADIT Line 7 Columns H, L</v>
      </c>
      <c r="G72" s="644">
        <f>+'WP06 ADIT'!I13</f>
        <v>-118122420.91499998</v>
      </c>
      <c r="H72" s="1062">
        <f>+'WP06 ADIT'!M13</f>
        <v>-123634108.96000001</v>
      </c>
    </row>
    <row r="73" spans="1:18" ht="15.6" customHeight="1">
      <c r="A73" s="108">
        <f t="shared" si="0"/>
        <v>41</v>
      </c>
      <c r="B73" s="113"/>
      <c r="C73" s="9" t="s">
        <v>110</v>
      </c>
      <c r="D73" s="9"/>
      <c r="E73" s="50"/>
      <c r="F73" s="130" t="str">
        <f>"(Line "&amp;A$24&amp;")"</f>
        <v>(Line 11)</v>
      </c>
      <c r="G73" s="250">
        <f>+G$24</f>
        <v>7.3273229645201082E-2</v>
      </c>
      <c r="H73" s="1068">
        <f>H$24</f>
        <v>7.3273229645201082E-2</v>
      </c>
    </row>
    <row r="74" spans="1:18" ht="15.6" customHeight="1">
      <c r="A74" s="108">
        <f t="shared" si="0"/>
        <v>42</v>
      </c>
      <c r="B74" s="114"/>
      <c r="C74" s="24" t="str">
        <f>+"Total Transmission Allocated "&amp;C72</f>
        <v>Total Transmission Allocated Labor</v>
      </c>
      <c r="D74" s="65"/>
      <c r="E74" s="73"/>
      <c r="F74" s="135" t="str">
        <f>"(Line "&amp;A72&amp;" * Line "&amp;A73&amp;")"</f>
        <v>(Line 40 * Line 41)</v>
      </c>
      <c r="G74" s="879">
        <f>+G72*G73</f>
        <v>-8655211.2739518974</v>
      </c>
      <c r="H74" s="1074">
        <f>+H72*H73</f>
        <v>-9059070.4578058925</v>
      </c>
      <c r="J74" s="260"/>
      <c r="K74" s="260"/>
      <c r="L74" s="260"/>
    </row>
    <row r="75" spans="1:18" s="260" customFormat="1" ht="15.6" customHeight="1">
      <c r="A75" s="108">
        <f t="shared" si="0"/>
        <v>43</v>
      </c>
      <c r="B75" s="1931" t="s">
        <v>956</v>
      </c>
      <c r="C75" s="1931"/>
      <c r="D75" s="1931"/>
      <c r="F75" s="134" t="str">
        <f>"(Line "&amp;A68&amp;" + Line "&amp;A71&amp;" + Line "&amp;A74&amp;")"</f>
        <v>(Line 36 + Line 39 + Line 42)</v>
      </c>
      <c r="G75" s="99">
        <f>+G68+G71+G74</f>
        <v>24425179.531832933</v>
      </c>
      <c r="H75" s="1057">
        <f>+H68+H71+H74</f>
        <v>68371829.054579809</v>
      </c>
    </row>
    <row r="76" spans="1:18" ht="13.95" customHeight="1">
      <c r="A76" s="111"/>
      <c r="B76" s="15"/>
      <c r="C76" s="56"/>
      <c r="D76" s="15"/>
      <c r="E76" s="34"/>
      <c r="F76" s="130"/>
      <c r="G76" s="89"/>
      <c r="H76" s="1075"/>
      <c r="J76" s="260"/>
      <c r="K76" s="260"/>
      <c r="L76" s="260"/>
    </row>
    <row r="77" spans="1:18" ht="15.6" customHeight="1">
      <c r="A77" s="111">
        <f>+A75+1</f>
        <v>44</v>
      </c>
      <c r="B77" s="1931" t="s">
        <v>496</v>
      </c>
      <c r="C77" s="1931"/>
      <c r="D77" s="15"/>
      <c r="E77" s="34" t="str">
        <f>"(Note "&amp;A314&amp;")"</f>
        <v>(Note I)</v>
      </c>
      <c r="F77" s="136" t="s">
        <v>674</v>
      </c>
      <c r="G77" s="208">
        <v>0</v>
      </c>
      <c r="H77" s="1076">
        <v>0</v>
      </c>
      <c r="J77" s="1739" t="s">
        <v>1896</v>
      </c>
      <c r="K77" s="260"/>
      <c r="L77" s="260"/>
      <c r="M77" s="260"/>
      <c r="N77" s="260"/>
      <c r="O77" s="260"/>
      <c r="P77" s="260"/>
      <c r="Q77" s="260"/>
      <c r="R77" s="260"/>
    </row>
    <row r="78" spans="1:18" ht="13.95" customHeight="1">
      <c r="A78" s="111"/>
      <c r="B78" s="15"/>
      <c r="C78" s="56"/>
      <c r="D78" s="15"/>
      <c r="E78" s="34"/>
      <c r="F78" s="130"/>
      <c r="G78" s="89"/>
      <c r="H78" s="1075"/>
      <c r="J78" s="260"/>
      <c r="K78" s="260"/>
      <c r="L78" s="260"/>
    </row>
    <row r="79" spans="1:18" ht="15.6" customHeight="1">
      <c r="A79" s="74"/>
      <c r="B79" s="1932" t="s">
        <v>708</v>
      </c>
      <c r="C79" s="1932"/>
      <c r="D79" s="1932"/>
      <c r="E79" s="1932"/>
      <c r="F79" s="139"/>
      <c r="G79" s="86"/>
      <c r="H79" s="1061"/>
      <c r="J79" s="260"/>
      <c r="K79" s="260"/>
      <c r="L79" s="260"/>
    </row>
    <row r="80" spans="1:18" ht="15.6" customHeight="1">
      <c r="A80" s="74">
        <f>+A77+1</f>
        <v>45</v>
      </c>
      <c r="B80" s="39"/>
      <c r="C80" s="9" t="s">
        <v>135</v>
      </c>
      <c r="D80" s="9"/>
      <c r="E80" s="34" t="str">
        <f>"(Notes "&amp;A$337&amp;" &amp; "&amp;A$342&amp;")"</f>
        <v>(Notes FF &amp; KK)</v>
      </c>
      <c r="F80" s="130" t="str">
        <f>+"WP02 Support Line "&amp;'WP02 Support'!A$89&amp;" Column "&amp;'WP02 Support'!F$44</f>
        <v>WP02 Support Line 27 Column E</v>
      </c>
      <c r="G80" s="644">
        <f>+'WP02 Support'!F89</f>
        <v>0</v>
      </c>
      <c r="H80" s="1062">
        <f>+'WP02 Support'!F89</f>
        <v>0</v>
      </c>
      <c r="J80" s="260"/>
      <c r="K80" s="260"/>
      <c r="L80" s="260"/>
    </row>
    <row r="81" spans="1:12" ht="15.6" customHeight="1">
      <c r="A81" s="74">
        <f>+A80+1</f>
        <v>46</v>
      </c>
      <c r="B81" s="114"/>
      <c r="C81" s="9" t="s">
        <v>157</v>
      </c>
      <c r="D81" s="9"/>
      <c r="E81" s="34" t="str">
        <f>"(Notes "&amp;A$337&amp;" &amp; "&amp;A$342&amp;")"</f>
        <v>(Notes FF &amp; KK)</v>
      </c>
      <c r="F81" s="130" t="str">
        <f>+"WP02 Support Line "&amp;'WP02 Support'!A$89&amp;" Column "&amp;'WP02 Support'!G$44</f>
        <v>WP02 Support Line 27 Column F</v>
      </c>
      <c r="G81" s="644">
        <f>+'WP02 Support'!G89</f>
        <v>0</v>
      </c>
      <c r="H81" s="1062">
        <f>+'WP02 Support'!G89</f>
        <v>0</v>
      </c>
      <c r="J81" s="260"/>
      <c r="K81" s="260"/>
      <c r="L81" s="260"/>
    </row>
    <row r="82" spans="1:12" ht="15.6" customHeight="1">
      <c r="A82" s="74">
        <f t="shared" ref="A82:A87" si="1">+A81+1</f>
        <v>47</v>
      </c>
      <c r="B82" s="32"/>
      <c r="C82" s="56" t="s">
        <v>88</v>
      </c>
      <c r="D82" s="14"/>
      <c r="E82" s="32"/>
      <c r="F82" s="134" t="str">
        <f>"(Line "&amp;A$35&amp;")"</f>
        <v>(Line 18)</v>
      </c>
      <c r="G82" s="91">
        <f>+G$35</f>
        <v>0.18417846586322134</v>
      </c>
      <c r="H82" s="1072">
        <f>+H$35</f>
        <v>0.20063605654126818</v>
      </c>
      <c r="J82" s="260"/>
      <c r="K82" s="260"/>
      <c r="L82" s="260"/>
    </row>
    <row r="83" spans="1:12" ht="15.6" customHeight="1">
      <c r="A83" s="74">
        <f t="shared" si="1"/>
        <v>48</v>
      </c>
      <c r="B83" s="114"/>
      <c r="C83" s="56" t="str">
        <f>+"Total Transmission Allocated "&amp;C81</f>
        <v>Total Transmission Allocated Plant</v>
      </c>
      <c r="D83" s="9"/>
      <c r="E83" s="34"/>
      <c r="F83" s="134" t="str">
        <f>"(Line "&amp;A81&amp;" * Line "&amp;A82&amp;")"</f>
        <v>(Line 46 * Line 47)</v>
      </c>
      <c r="G83" s="624">
        <f>+G81*G82</f>
        <v>0</v>
      </c>
      <c r="H83" s="1073">
        <f>+H81*H82</f>
        <v>0</v>
      </c>
      <c r="J83" s="260"/>
      <c r="K83" s="260"/>
      <c r="L83" s="260"/>
    </row>
    <row r="84" spans="1:12" ht="15.6" customHeight="1">
      <c r="A84" s="74">
        <f t="shared" si="1"/>
        <v>49</v>
      </c>
      <c r="B84" s="114"/>
      <c r="C84" s="9" t="s">
        <v>142</v>
      </c>
      <c r="D84" s="9"/>
      <c r="E84" s="34" t="str">
        <f>"(Notes "&amp;A$337&amp;" &amp; "&amp;A$342&amp;")"</f>
        <v>(Notes FF &amp; KK)</v>
      </c>
      <c r="F84" s="130" t="str">
        <f>+"WP02 Support Line "&amp;'WP02 Support'!A$89&amp;" Column "&amp;'WP02 Support'!H$44</f>
        <v>WP02 Support Line 27 Column G</v>
      </c>
      <c r="G84" s="644">
        <f>+'WP02 Support'!H89</f>
        <v>238363096.45692316</v>
      </c>
      <c r="H84" s="1062">
        <f>+'WP02 Support'!H89</f>
        <v>238363096.45692316</v>
      </c>
      <c r="J84" s="260"/>
      <c r="K84" s="260"/>
      <c r="L84" s="260"/>
    </row>
    <row r="85" spans="1:12" s="260" customFormat="1" ht="15.6" customHeight="1">
      <c r="A85" s="74">
        <f t="shared" si="1"/>
        <v>50</v>
      </c>
      <c r="B85" s="49"/>
      <c r="C85" s="9" t="s">
        <v>110</v>
      </c>
      <c r="D85" s="9"/>
      <c r="E85" s="50"/>
      <c r="F85" s="130" t="str">
        <f>"(Line "&amp;A$24&amp;")"</f>
        <v>(Line 11)</v>
      </c>
      <c r="G85" s="250">
        <f>+G$24</f>
        <v>7.3273229645201082E-2</v>
      </c>
      <c r="H85" s="1068">
        <f>H$24</f>
        <v>7.3273229645201082E-2</v>
      </c>
    </row>
    <row r="86" spans="1:12" ht="15.6" customHeight="1">
      <c r="A86" s="74">
        <f t="shared" si="1"/>
        <v>51</v>
      </c>
      <c r="B86" s="114"/>
      <c r="C86" s="24" t="str">
        <f>+"Total Transmission Allocated "&amp;C84</f>
        <v>Total Transmission Allocated Labor</v>
      </c>
      <c r="D86" s="65"/>
      <c r="E86" s="73"/>
      <c r="F86" s="135" t="str">
        <f>"(Line "&amp;A84&amp;" * Line "&amp;A85&amp;")"</f>
        <v>(Line 49 * Line 50)</v>
      </c>
      <c r="G86" s="879">
        <f>+G84*G85</f>
        <v>17465633.905629348</v>
      </c>
      <c r="H86" s="1074">
        <f>+H84*H85</f>
        <v>17465633.905629348</v>
      </c>
      <c r="J86" s="260"/>
      <c r="K86" s="260"/>
      <c r="L86" s="260"/>
    </row>
    <row r="87" spans="1:12" ht="15.6" customHeight="1">
      <c r="A87" s="111">
        <f t="shared" si="1"/>
        <v>52</v>
      </c>
      <c r="B87" s="1931" t="s">
        <v>305</v>
      </c>
      <c r="C87" s="1931"/>
      <c r="D87" s="15"/>
      <c r="E87" s="34" t="str">
        <f>"(Note "&amp;A$327&amp;")"</f>
        <v>(Note V)</v>
      </c>
      <c r="F87" s="134" t="str">
        <f>"(Line "&amp;A80&amp;" + Line "&amp;A83&amp;" + Line "&amp;A86&amp;")"</f>
        <v>(Line 45 + Line 48 + Line 51)</v>
      </c>
      <c r="G87" s="624">
        <f>+G80+G83+G86</f>
        <v>17465633.905629348</v>
      </c>
      <c r="H87" s="1073">
        <f>+H80+H83+H86</f>
        <v>17465633.905629348</v>
      </c>
      <c r="J87" s="260"/>
      <c r="K87" s="260"/>
      <c r="L87" s="260"/>
    </row>
    <row r="88" spans="1:12" ht="13.95" customHeight="1">
      <c r="A88" s="74"/>
      <c r="B88" s="5"/>
      <c r="C88" s="9"/>
      <c r="D88" s="81"/>
      <c r="E88" s="34"/>
      <c r="F88" s="134"/>
      <c r="G88" s="88"/>
      <c r="H88" s="1077"/>
      <c r="J88" s="260"/>
      <c r="K88" s="260"/>
      <c r="L88" s="260"/>
    </row>
    <row r="89" spans="1:12" ht="15.6" customHeight="1">
      <c r="A89" s="74"/>
      <c r="B89" s="1930" t="s">
        <v>82</v>
      </c>
      <c r="C89" s="1930"/>
      <c r="D89" s="15"/>
      <c r="E89" s="34"/>
      <c r="F89" s="140"/>
      <c r="G89" s="90"/>
      <c r="H89" s="1078"/>
      <c r="J89" s="260"/>
      <c r="K89" s="260"/>
      <c r="L89" s="260"/>
    </row>
    <row r="90" spans="1:12" ht="15.6" customHeight="1">
      <c r="A90" s="74">
        <f>+A87+1</f>
        <v>53</v>
      </c>
      <c r="B90" s="114"/>
      <c r="C90" s="56" t="s">
        <v>73</v>
      </c>
      <c r="D90" s="9"/>
      <c r="E90" s="34" t="str">
        <f>"(Note "&amp;A$342&amp;")"</f>
        <v>(Note KK)</v>
      </c>
      <c r="F90" s="15" t="str">
        <f>+"WP07 M&amp;S Line "&amp;'WP07 M&amp;S'!A9&amp;" Column "&amp;'WP07 M&amp;S'!Q$6</f>
        <v>WP07 M&amp;S Line 2 Column P</v>
      </c>
      <c r="G90" s="645">
        <f>'WP07 M&amp;S'!Q9</f>
        <v>17104089.189080827</v>
      </c>
      <c r="H90" s="1079">
        <f>'WP07 M&amp;S'!Q9</f>
        <v>17104089.189080827</v>
      </c>
      <c r="J90" s="260"/>
      <c r="K90" s="260"/>
      <c r="L90" s="260"/>
    </row>
    <row r="91" spans="1:12" ht="15.6" customHeight="1">
      <c r="A91" s="111">
        <f>+A90+1</f>
        <v>54</v>
      </c>
      <c r="B91" s="15"/>
      <c r="C91" s="15" t="s">
        <v>622</v>
      </c>
      <c r="D91" s="9"/>
      <c r="E91" s="34" t="str">
        <f>"(Notes "&amp;A$306&amp;" &amp; "&amp;A$342&amp;")"</f>
        <v>(Notes A &amp; KK)</v>
      </c>
      <c r="F91" s="15" t="str">
        <f>+"WP07 M&amp;S Line "&amp;'WP07 M&amp;S'!A10&amp;" Column "&amp;'WP07 M&amp;S'!Q$6</f>
        <v>WP07 M&amp;S Line 3 Column P</v>
      </c>
      <c r="G91" s="658">
        <f>'WP07 M&amp;S'!Q10</f>
        <v>33910554.925384618</v>
      </c>
      <c r="H91" s="1080">
        <f>'WP07 M&amp;S'!Q10</f>
        <v>33910554.925384618</v>
      </c>
      <c r="J91" s="260"/>
      <c r="K91" s="260"/>
      <c r="L91" s="260"/>
    </row>
    <row r="92" spans="1:12" s="260" customFormat="1" ht="15.6" customHeight="1">
      <c r="A92" s="111">
        <f>+A91+1</f>
        <v>55</v>
      </c>
      <c r="B92" s="49"/>
      <c r="C92" s="9" t="s">
        <v>110</v>
      </c>
      <c r="D92" s="9"/>
      <c r="E92" s="50"/>
      <c r="F92" s="15" t="str">
        <f>"(Line "&amp;A$24&amp;")"</f>
        <v>(Line 11)</v>
      </c>
      <c r="G92" s="250">
        <f>+G$24</f>
        <v>7.3273229645201082E-2</v>
      </c>
      <c r="H92" s="1068">
        <f>H$24</f>
        <v>7.3273229645201082E-2</v>
      </c>
    </row>
    <row r="93" spans="1:12" ht="15.6" customHeight="1">
      <c r="A93" s="74">
        <f>+A92+1</f>
        <v>56</v>
      </c>
      <c r="B93" s="114"/>
      <c r="C93" s="56" t="s">
        <v>117</v>
      </c>
      <c r="D93" s="9"/>
      <c r="E93" s="34"/>
      <c r="F93" s="135" t="str">
        <f>"(Line "&amp;A91&amp;" * Line "&amp;A92&amp;")"</f>
        <v>(Line 54 * Line 55)</v>
      </c>
      <c r="G93" s="645">
        <f>+G91*G92</f>
        <v>2484735.8784439117</v>
      </c>
      <c r="H93" s="1079">
        <f>+H91*H92</f>
        <v>2484735.8784439117</v>
      </c>
      <c r="J93" s="260"/>
      <c r="K93" s="260"/>
      <c r="L93" s="260"/>
    </row>
    <row r="94" spans="1:12" ht="15.6" customHeight="1">
      <c r="A94" s="74">
        <f>+A93+1</f>
        <v>57</v>
      </c>
      <c r="B94" s="114"/>
      <c r="C94" s="1941" t="s">
        <v>81</v>
      </c>
      <c r="D94" s="1941"/>
      <c r="E94" s="287"/>
      <c r="F94" s="134" t="str">
        <f>"(Line "&amp;A93&amp;" + Line "&amp;A90&amp;")"</f>
        <v>(Line 56 + Line 53)</v>
      </c>
      <c r="G94" s="646">
        <f>+G90+G93</f>
        <v>19588825.067524739</v>
      </c>
      <c r="H94" s="1081">
        <f>+H90+H93</f>
        <v>19588825.067524739</v>
      </c>
      <c r="J94" s="260"/>
      <c r="K94" s="260"/>
      <c r="L94" s="260"/>
    </row>
    <row r="95" spans="1:12" ht="13.95" customHeight="1">
      <c r="A95" s="74"/>
      <c r="B95" s="114"/>
      <c r="C95" s="9"/>
      <c r="D95" s="9"/>
      <c r="E95" s="34"/>
      <c r="F95" s="139"/>
      <c r="G95" s="86"/>
      <c r="H95" s="1061"/>
      <c r="J95" s="260"/>
      <c r="K95" s="260"/>
      <c r="L95" s="260"/>
    </row>
    <row r="96" spans="1:12" ht="15.6" customHeight="1">
      <c r="A96" s="74"/>
      <c r="B96" s="1930" t="s">
        <v>84</v>
      </c>
      <c r="C96" s="1930"/>
      <c r="D96" s="9"/>
      <c r="E96" s="34"/>
      <c r="F96" s="139"/>
      <c r="G96" s="86"/>
      <c r="H96" s="1061"/>
      <c r="J96" s="260"/>
      <c r="K96" s="260"/>
      <c r="L96" s="260"/>
    </row>
    <row r="97" spans="1:19" ht="15.6" customHeight="1">
      <c r="A97" s="74">
        <f>+A94+1</f>
        <v>58</v>
      </c>
      <c r="B97" s="39"/>
      <c r="C97" s="9" t="s">
        <v>135</v>
      </c>
      <c r="D97" s="9"/>
      <c r="E97" s="34" t="str">
        <f>"(Note "&amp;A$342&amp;")"</f>
        <v>(Note KK)</v>
      </c>
      <c r="F97" s="130" t="str">
        <f>+"WP08 Prepay Line "&amp;'WP08 Prepay'!A$73&amp;" Column "&amp;'WP08 Prepay'!F$5</f>
        <v>WP08 Prepay Line 8 Column E</v>
      </c>
      <c r="G97" s="644">
        <f>+'WP08 Prepay'!F$73</f>
        <v>0</v>
      </c>
      <c r="H97" s="1062">
        <f>+'WP08 Prepay'!F73</f>
        <v>0</v>
      </c>
      <c r="J97" s="260"/>
      <c r="K97" s="260"/>
      <c r="L97" s="260"/>
    </row>
    <row r="98" spans="1:19" ht="15.6" customHeight="1">
      <c r="A98" s="74">
        <f>+A97+1</f>
        <v>59</v>
      </c>
      <c r="B98" s="114"/>
      <c r="C98" s="9" t="s">
        <v>157</v>
      </c>
      <c r="D98" s="9"/>
      <c r="E98" s="34" t="str">
        <f>"(Note "&amp;A$342&amp;")"</f>
        <v>(Note KK)</v>
      </c>
      <c r="F98" s="130" t="str">
        <f>+"WP08 Prepay Line "&amp;'WP08 Prepay'!A73&amp;" Column "&amp;'WP08 Prepay'!G$5</f>
        <v>WP08 Prepay Line 8 Column F</v>
      </c>
      <c r="G98" s="644">
        <f>+'WP08 Prepay'!G73</f>
        <v>9627485.6923077088</v>
      </c>
      <c r="H98" s="1062">
        <f>+'WP08 Prepay'!G73</f>
        <v>9627485.6923077088</v>
      </c>
      <c r="J98" s="260"/>
      <c r="K98" s="260"/>
      <c r="L98" s="260"/>
    </row>
    <row r="99" spans="1:19" ht="15.6" customHeight="1">
      <c r="A99" s="74">
        <f t="shared" ref="A99:A104" si="2">+A98+1</f>
        <v>60</v>
      </c>
      <c r="B99" s="32"/>
      <c r="C99" s="56" t="s">
        <v>88</v>
      </c>
      <c r="D99" s="14"/>
      <c r="E99" s="32"/>
      <c r="F99" s="134" t="str">
        <f>"(Line "&amp;A$35&amp;")"</f>
        <v>(Line 18)</v>
      </c>
      <c r="G99" s="91">
        <f>+G$35</f>
        <v>0.18417846586322134</v>
      </c>
      <c r="H99" s="1072">
        <f>+H$35</f>
        <v>0.20063605654126818</v>
      </c>
      <c r="J99" s="260"/>
      <c r="K99" s="260"/>
      <c r="L99" s="260"/>
    </row>
    <row r="100" spans="1:19" ht="15.6" customHeight="1">
      <c r="A100" s="74">
        <f t="shared" si="2"/>
        <v>61</v>
      </c>
      <c r="B100" s="114"/>
      <c r="C100" s="56" t="str">
        <f>+"Total Transmission Allocated "&amp;C98</f>
        <v>Total Transmission Allocated Plant</v>
      </c>
      <c r="D100" s="9"/>
      <c r="E100" s="34"/>
      <c r="F100" s="134" t="str">
        <f>"(Line "&amp;A98&amp;" * Line "&amp;A99&amp;")"</f>
        <v>(Line 59 * Line 60)</v>
      </c>
      <c r="G100" s="624">
        <f>+G98*G99</f>
        <v>1773175.5449293472</v>
      </c>
      <c r="H100" s="1073">
        <f>+H98*H99</f>
        <v>1931620.7637120998</v>
      </c>
      <c r="J100" s="260"/>
      <c r="K100" s="260"/>
      <c r="L100" s="260"/>
    </row>
    <row r="101" spans="1:19" ht="15.6" customHeight="1">
      <c r="A101" s="74">
        <f t="shared" si="2"/>
        <v>62</v>
      </c>
      <c r="B101" s="114"/>
      <c r="C101" s="9" t="s">
        <v>142</v>
      </c>
      <c r="D101" s="9"/>
      <c r="E101" s="34" t="str">
        <f>"(Note "&amp;A$342&amp;")"</f>
        <v>(Note KK)</v>
      </c>
      <c r="F101" s="130" t="str">
        <f>+"WP08 Prepay Line "&amp;'WP08 Prepay'!A$73&amp;" Column "&amp;'WP08 Prepay'!H$5</f>
        <v>WP08 Prepay Line 8 Column G</v>
      </c>
      <c r="G101" s="644">
        <f>+'WP08 Prepay'!H73</f>
        <v>906988.91307692265</v>
      </c>
      <c r="H101" s="1062">
        <f>+'WP08 Prepay'!H73</f>
        <v>906988.91307692265</v>
      </c>
      <c r="J101" s="260"/>
      <c r="K101" s="260"/>
      <c r="L101" s="260"/>
    </row>
    <row r="102" spans="1:19" s="260" customFormat="1" ht="15.6" customHeight="1">
      <c r="A102" s="111">
        <f t="shared" si="2"/>
        <v>63</v>
      </c>
      <c r="B102" s="49"/>
      <c r="C102" s="9" t="s">
        <v>110</v>
      </c>
      <c r="D102" s="9"/>
      <c r="E102" s="50"/>
      <c r="F102" s="130" t="str">
        <f>"(Line "&amp;A$24&amp;")"</f>
        <v>(Line 11)</v>
      </c>
      <c r="G102" s="250">
        <f>+G$24</f>
        <v>7.3273229645201082E-2</v>
      </c>
      <c r="H102" s="1068">
        <f>H$24</f>
        <v>7.3273229645201082E-2</v>
      </c>
    </row>
    <row r="103" spans="1:19" ht="15.6" customHeight="1">
      <c r="A103" s="74">
        <f t="shared" si="2"/>
        <v>64</v>
      </c>
      <c r="B103" s="114"/>
      <c r="C103" s="24" t="str">
        <f>+"Total Transmission Allocated "&amp;C101</f>
        <v>Total Transmission Allocated Labor</v>
      </c>
      <c r="D103" s="65"/>
      <c r="E103" s="73"/>
      <c r="F103" s="135" t="str">
        <f>"(Line "&amp;A101&amp;" * Line "&amp;A102&amp;")"</f>
        <v>(Line 62 * Line 63)</v>
      </c>
      <c r="G103" s="879">
        <f>+G101*G102</f>
        <v>66458.006913536679</v>
      </c>
      <c r="H103" s="1074">
        <f>+H101*H102</f>
        <v>66458.006913536679</v>
      </c>
      <c r="J103" s="260"/>
      <c r="K103" s="260"/>
      <c r="L103" s="260"/>
    </row>
    <row r="104" spans="1:19" ht="15.6" customHeight="1">
      <c r="A104" s="74">
        <f t="shared" si="2"/>
        <v>65</v>
      </c>
      <c r="B104" s="1928" t="s">
        <v>306</v>
      </c>
      <c r="C104" s="1928"/>
      <c r="D104" s="33"/>
      <c r="E104" s="456" t="str">
        <f>"(Note "&amp;A$306&amp;")"</f>
        <v>(Note A)</v>
      </c>
      <c r="F104" s="134" t="str">
        <f>"(Line "&amp;A97&amp;" + Line "&amp;A100&amp;" + Line "&amp;A103&amp;")"</f>
        <v>(Line 58 + Line 61 + Line 64)</v>
      </c>
      <c r="G104" s="624">
        <f>+G97+G100+G103</f>
        <v>1839633.5518428839</v>
      </c>
      <c r="H104" s="1073">
        <f>+H97+H100+H103</f>
        <v>1998078.7706256364</v>
      </c>
      <c r="J104" s="260"/>
      <c r="K104" s="260"/>
      <c r="L104" s="260"/>
    </row>
    <row r="105" spans="1:19" ht="13.95" customHeight="1">
      <c r="A105" s="74"/>
      <c r="B105" s="114"/>
      <c r="C105" s="15"/>
      <c r="D105" s="9"/>
      <c r="E105" s="32"/>
      <c r="F105" s="134"/>
      <c r="G105" s="89"/>
      <c r="H105" s="1075"/>
      <c r="J105" s="260"/>
      <c r="K105" s="260"/>
      <c r="L105" s="260"/>
    </row>
    <row r="106" spans="1:19" ht="15.6" customHeight="1">
      <c r="A106" s="74">
        <f>+A104+1</f>
        <v>66</v>
      </c>
      <c r="B106" s="1928" t="s">
        <v>307</v>
      </c>
      <c r="C106" s="1928"/>
      <c r="D106" s="81"/>
      <c r="E106" s="34" t="str">
        <f>"(Notes "&amp;A$307&amp;" &amp; "&amp;A$308&amp;")"</f>
        <v>(Notes B &amp; C)</v>
      </c>
      <c r="F106" s="981" t="str">
        <f>+"WP09 PHFU Line "&amp;'WP09 PHFU'!A11&amp;" Columns "&amp;'WP09 PHFU'!P5&amp;", "&amp;'WP09 PHFU'!O5</f>
        <v>WP09 PHFU Line 5 Columns O, N</v>
      </c>
      <c r="G106" s="68">
        <f>+'WP09 PHFU'!P11</f>
        <v>2404681.41</v>
      </c>
      <c r="H106" s="1066">
        <f>+'WP09 PHFU'!O11</f>
        <v>2404681.41</v>
      </c>
      <c r="J106" s="260"/>
      <c r="K106" s="260"/>
      <c r="L106" s="260"/>
    </row>
    <row r="107" spans="1:19" ht="13.95" customHeight="1">
      <c r="A107" s="74"/>
      <c r="B107" s="114"/>
      <c r="C107" s="56"/>
      <c r="D107" s="9"/>
      <c r="E107" s="32"/>
      <c r="F107" s="140"/>
      <c r="G107" s="86"/>
      <c r="H107" s="1061"/>
      <c r="J107" s="260"/>
      <c r="K107" s="260"/>
      <c r="L107" s="260"/>
    </row>
    <row r="108" spans="1:19" ht="15.6" customHeight="1">
      <c r="A108" s="74"/>
      <c r="B108" s="1930" t="s">
        <v>85</v>
      </c>
      <c r="C108" s="1930"/>
      <c r="D108" s="9"/>
      <c r="E108" s="34"/>
      <c r="F108" s="140"/>
      <c r="G108" s="86"/>
      <c r="H108" s="1061"/>
      <c r="J108" s="260"/>
      <c r="K108" s="260"/>
      <c r="L108" s="260"/>
    </row>
    <row r="109" spans="1:19" ht="15.6" customHeight="1">
      <c r="A109" s="74">
        <f>+A106+1</f>
        <v>67</v>
      </c>
      <c r="B109" s="114"/>
      <c r="C109" s="56" t="s">
        <v>116</v>
      </c>
      <c r="D109" s="14"/>
      <c r="E109" s="34"/>
      <c r="F109" s="134" t="str">
        <f>"(Line "&amp;A$156&amp;")"</f>
        <v>(Line 102)</v>
      </c>
      <c r="G109" s="624">
        <f>+G156</f>
        <v>57688114.757164702</v>
      </c>
      <c r="H109" s="1073">
        <f>+H156</f>
        <v>57941855.569883123</v>
      </c>
      <c r="J109" s="260"/>
      <c r="K109" s="260"/>
      <c r="L109" s="260"/>
      <c r="M109" s="260"/>
      <c r="N109" s="260"/>
      <c r="O109" s="260"/>
      <c r="P109" s="260"/>
      <c r="Q109" s="260"/>
      <c r="R109" s="260"/>
      <c r="S109" s="260"/>
    </row>
    <row r="110" spans="1:19" ht="15.6" customHeight="1">
      <c r="A110" s="74">
        <f>+A109+1</f>
        <v>68</v>
      </c>
      <c r="B110" s="114"/>
      <c r="C110" s="14" t="s">
        <v>141</v>
      </c>
      <c r="D110" s="14"/>
      <c r="E110" s="34" t="str">
        <f>"(Note "&amp;A$313&amp;")"</f>
        <v>(Note H)</v>
      </c>
      <c r="F110" s="881"/>
      <c r="G110" s="656">
        <v>0</v>
      </c>
      <c r="H110" s="1093">
        <v>0</v>
      </c>
      <c r="J110" s="1739" t="s">
        <v>1897</v>
      </c>
      <c r="K110" s="260"/>
      <c r="L110" s="260"/>
    </row>
    <row r="111" spans="1:19" s="1" customFormat="1" ht="15.6" customHeight="1">
      <c r="A111" s="74">
        <f>+A110+1</f>
        <v>69</v>
      </c>
      <c r="B111" s="115"/>
      <c r="C111" s="1939" t="s">
        <v>72</v>
      </c>
      <c r="D111" s="1939"/>
      <c r="E111" s="880"/>
      <c r="F111" s="134" t="str">
        <f>"(Line "&amp;A109&amp;" * Line "&amp;A110&amp;")"</f>
        <v>(Line 67 * Line 68)</v>
      </c>
      <c r="G111" s="624">
        <f>+G109*G110</f>
        <v>0</v>
      </c>
      <c r="H111" s="1073">
        <f>+H109*H110</f>
        <v>0</v>
      </c>
      <c r="J111" s="1740"/>
      <c r="K111" s="35"/>
      <c r="L111" s="35"/>
    </row>
    <row r="112" spans="1:19" s="1" customFormat="1" ht="13.95" customHeight="1">
      <c r="A112" s="74"/>
      <c r="B112" s="115"/>
      <c r="C112" s="39"/>
      <c r="D112" s="982"/>
      <c r="E112" s="189"/>
      <c r="F112" s="134"/>
      <c r="G112" s="647"/>
      <c r="H112" s="1083"/>
      <c r="J112" s="1740"/>
      <c r="K112" s="35"/>
      <c r="L112" s="35"/>
    </row>
    <row r="113" spans="1:13" s="1" customFormat="1" ht="15.6" customHeight="1">
      <c r="A113" s="116"/>
      <c r="B113" s="39" t="s">
        <v>147</v>
      </c>
      <c r="C113" s="36"/>
      <c r="D113" s="54"/>
      <c r="E113" s="36"/>
      <c r="F113" s="129"/>
      <c r="G113" s="647"/>
      <c r="H113" s="1083"/>
      <c r="J113" s="1740"/>
      <c r="K113" s="35"/>
      <c r="L113" s="35"/>
    </row>
    <row r="114" spans="1:13" ht="15.6" customHeight="1">
      <c r="A114" s="74">
        <f>+A111+1</f>
        <v>70</v>
      </c>
      <c r="B114" s="10"/>
      <c r="C114" s="15" t="s">
        <v>149</v>
      </c>
      <c r="D114" s="10"/>
      <c r="E114" s="34" t="str">
        <f>"(Notes "&amp;A$307&amp;" &amp; "&amp;A$319&amp;")"</f>
        <v>(Notes B &amp; N)</v>
      </c>
      <c r="F114" s="130"/>
      <c r="G114" s="208">
        <v>0</v>
      </c>
      <c r="H114" s="1076">
        <v>0</v>
      </c>
      <c r="J114" s="1739" t="s">
        <v>1893</v>
      </c>
      <c r="K114" s="35"/>
      <c r="L114" s="35"/>
      <c r="M114" s="1"/>
    </row>
    <row r="115" spans="1:13" ht="15.6" customHeight="1">
      <c r="A115" s="108">
        <f>+A114+1</f>
        <v>71</v>
      </c>
      <c r="B115" s="15"/>
      <c r="C115" s="1925" t="s">
        <v>623</v>
      </c>
      <c r="D115" s="1925"/>
      <c r="E115" s="73" t="str">
        <f>"(Notes "&amp;A$307&amp;" &amp; "&amp;A$319&amp;")"</f>
        <v>(Notes B &amp; N)</v>
      </c>
      <c r="F115" s="258"/>
      <c r="G115" s="703">
        <v>0</v>
      </c>
      <c r="H115" s="1084">
        <v>0</v>
      </c>
      <c r="J115" s="1739" t="s">
        <v>1893</v>
      </c>
      <c r="K115" s="35"/>
      <c r="L115" s="35"/>
      <c r="M115" s="1"/>
    </row>
    <row r="116" spans="1:13" ht="15.6" customHeight="1">
      <c r="A116" s="108">
        <f>+A115+1</f>
        <v>72</v>
      </c>
      <c r="B116" s="10"/>
      <c r="C116" s="10" t="s">
        <v>150</v>
      </c>
      <c r="D116" s="10"/>
      <c r="E116" s="34"/>
      <c r="F116" s="129" t="str">
        <f>"(Line "&amp;A114&amp;" - Line "&amp;A115&amp;")"</f>
        <v>(Line 70 - Line 71)</v>
      </c>
      <c r="G116" s="646">
        <f>+G114-G115</f>
        <v>0</v>
      </c>
      <c r="H116" s="1081">
        <f>+H114-H115</f>
        <v>0</v>
      </c>
      <c r="J116" s="35"/>
      <c r="K116" s="35"/>
      <c r="L116" s="35"/>
      <c r="M116" s="1"/>
    </row>
    <row r="117" spans="1:13" ht="13.95" customHeight="1">
      <c r="A117" s="108"/>
      <c r="B117" s="10"/>
      <c r="C117" s="10"/>
      <c r="D117" s="10"/>
      <c r="E117" s="34"/>
      <c r="F117" s="133"/>
      <c r="G117" s="648"/>
      <c r="H117" s="1085"/>
      <c r="J117" s="35"/>
      <c r="K117" s="35"/>
      <c r="L117" s="35"/>
      <c r="M117" s="1"/>
    </row>
    <row r="118" spans="1:13" ht="15.6" customHeight="1" thickBot="1">
      <c r="A118" s="108">
        <f>+A116+1</f>
        <v>73</v>
      </c>
      <c r="B118" s="1940" t="s">
        <v>111</v>
      </c>
      <c r="C118" s="1940"/>
      <c r="D118" s="4"/>
      <c r="E118" s="161"/>
      <c r="F118" s="988" t="str">
        <f>"(Line "&amp;A75&amp;" + Line "&amp;A77&amp;" + Line "&amp;A87&amp;" + Line "&amp;A94&amp;" + Line "&amp;A104&amp;" + Line "&amp;A106&amp;" + Line "&amp;A111&amp;" - Line "&amp;A116&amp;")"</f>
        <v>(Line 43 + Line 44 + Line 52 + Line 57 + Line 65 + Line 66 + Line 69 - Line 72)</v>
      </c>
      <c r="G118" s="586">
        <f>SUM(G75,G77,G87,G104,G106,G94,G111)-G116</f>
        <v>65723953.466829903</v>
      </c>
      <c r="H118" s="1069">
        <f>SUM(H75,H87,H104,H106,H94,H111)-H116+H77</f>
        <v>109829048.20835954</v>
      </c>
      <c r="J118" s="35"/>
      <c r="K118" s="35"/>
      <c r="L118" s="35"/>
      <c r="M118" s="1"/>
    </row>
    <row r="119" spans="1:13" ht="13.95" customHeight="1" thickTop="1">
      <c r="A119" s="108"/>
      <c r="B119" s="10"/>
      <c r="C119" s="10"/>
      <c r="D119" s="10"/>
      <c r="E119" s="27"/>
      <c r="F119" s="133"/>
      <c r="G119" s="648"/>
      <c r="H119" s="1085"/>
      <c r="J119" s="35"/>
      <c r="K119" s="35"/>
      <c r="L119" s="35"/>
      <c r="M119" s="1"/>
    </row>
    <row r="120" spans="1:13" ht="15.6" customHeight="1" thickBot="1">
      <c r="A120" s="105">
        <f>+A118+1</f>
        <v>74</v>
      </c>
      <c r="B120" s="1940" t="s">
        <v>107</v>
      </c>
      <c r="C120" s="1940"/>
      <c r="D120" s="4"/>
      <c r="E120" s="28"/>
      <c r="F120" s="131" t="str">
        <f>"(Line "&amp;A63&amp;" + Line "&amp;A118&amp;")"</f>
        <v>(Line 35 + Line 73)</v>
      </c>
      <c r="G120" s="649">
        <f>+G63+G118</f>
        <v>1852998518.7784951</v>
      </c>
      <c r="H120" s="1086">
        <f>+H63+H118</f>
        <v>2121950723.9944437</v>
      </c>
      <c r="J120" s="35"/>
      <c r="K120" s="35"/>
      <c r="L120" s="35"/>
      <c r="M120" s="1"/>
    </row>
    <row r="121" spans="1:13" ht="13.95" customHeight="1" thickTop="1">
      <c r="A121" s="117"/>
      <c r="B121" s="10"/>
      <c r="C121" s="10"/>
      <c r="D121" s="10"/>
      <c r="E121" s="27"/>
      <c r="F121" s="133"/>
      <c r="G121" s="648"/>
      <c r="H121" s="1085"/>
      <c r="J121" s="35"/>
      <c r="K121" s="35"/>
      <c r="L121" s="35"/>
      <c r="M121" s="1"/>
    </row>
    <row r="122" spans="1:13" s="260" customFormat="1" ht="15.6" customHeight="1">
      <c r="A122" s="1053" t="s">
        <v>126</v>
      </c>
      <c r="B122" s="242"/>
      <c r="C122" s="243"/>
      <c r="D122" s="243"/>
      <c r="E122" s="873"/>
      <c r="F122" s="245"/>
      <c r="G122" s="650"/>
      <c r="H122" s="1087"/>
      <c r="J122" s="35"/>
      <c r="K122" s="35"/>
      <c r="L122" s="35"/>
      <c r="M122" s="1"/>
    </row>
    <row r="123" spans="1:13" s="260" customFormat="1" ht="13.95" customHeight="1">
      <c r="A123" s="118"/>
      <c r="B123" s="9"/>
      <c r="C123" s="9"/>
      <c r="D123" s="9"/>
      <c r="E123" s="50"/>
      <c r="F123" s="130"/>
      <c r="G123" s="651"/>
      <c r="H123" s="1088"/>
      <c r="J123" s="35"/>
      <c r="K123" s="35"/>
      <c r="L123" s="35"/>
      <c r="M123" s="1"/>
    </row>
    <row r="124" spans="1:13" ht="15.6" customHeight="1">
      <c r="A124" s="105"/>
      <c r="B124" s="5" t="s">
        <v>474</v>
      </c>
      <c r="C124" s="6"/>
      <c r="D124" s="47"/>
      <c r="E124" s="53"/>
      <c r="F124" s="133"/>
      <c r="G124" s="652"/>
      <c r="H124" s="1089"/>
      <c r="J124" s="35"/>
      <c r="K124" s="35"/>
      <c r="L124" s="35"/>
      <c r="M124" s="1"/>
    </row>
    <row r="125" spans="1:13" ht="15.6" customHeight="1">
      <c r="A125" s="74">
        <f>+A120+1</f>
        <v>75</v>
      </c>
      <c r="B125" s="32"/>
      <c r="C125" s="58" t="s">
        <v>100</v>
      </c>
      <c r="D125" s="9"/>
      <c r="E125" s="34" t="str">
        <f>"(Note "&amp;A$320&amp;")"</f>
        <v>(Note O)</v>
      </c>
      <c r="F125" s="134" t="s">
        <v>677</v>
      </c>
      <c r="G125" s="208">
        <v>83850940.67000033</v>
      </c>
      <c r="H125" s="1076">
        <v>83850940.67000033</v>
      </c>
      <c r="J125" s="35"/>
      <c r="K125" s="35"/>
      <c r="L125" s="35"/>
      <c r="M125" s="1"/>
    </row>
    <row r="126" spans="1:13" ht="15.6" customHeight="1">
      <c r="A126" s="74">
        <f>+A125+1</f>
        <v>76</v>
      </c>
      <c r="B126" s="32"/>
      <c r="C126" s="183" t="s">
        <v>485</v>
      </c>
      <c r="D126" s="9"/>
      <c r="E126" s="34" t="str">
        <f>"(Note "&amp;A$336&amp;")"</f>
        <v>(Note EE)</v>
      </c>
      <c r="F126" s="134" t="s">
        <v>953</v>
      </c>
      <c r="G126" s="208">
        <v>22427254</v>
      </c>
      <c r="H126" s="1076">
        <v>22427254</v>
      </c>
      <c r="K126" s="35"/>
      <c r="L126" s="35"/>
      <c r="M126" s="1"/>
    </row>
    <row r="127" spans="1:13" ht="15.6" customHeight="1">
      <c r="A127" s="74">
        <f>+A126+1</f>
        <v>77</v>
      </c>
      <c r="B127" s="32"/>
      <c r="C127" s="1944" t="s">
        <v>624</v>
      </c>
      <c r="D127" s="1944"/>
      <c r="E127" s="889"/>
      <c r="F127" s="58" t="s">
        <v>761</v>
      </c>
      <c r="G127" s="208">
        <v>25244316.489999998</v>
      </c>
      <c r="H127" s="1076">
        <v>25244316.489999998</v>
      </c>
      <c r="J127" s="35"/>
      <c r="K127" s="35"/>
      <c r="L127" s="35"/>
      <c r="M127" s="1"/>
    </row>
    <row r="128" spans="1:13" ht="15.6" customHeight="1">
      <c r="A128" s="74">
        <f t="shared" ref="A128:A129" si="3">+A127+1</f>
        <v>78</v>
      </c>
      <c r="B128" s="32"/>
      <c r="C128" s="1944" t="s">
        <v>954</v>
      </c>
      <c r="D128" s="1944"/>
      <c r="E128" s="1944"/>
      <c r="F128" s="58" t="s">
        <v>955</v>
      </c>
      <c r="G128" s="208">
        <v>556287</v>
      </c>
      <c r="H128" s="1076">
        <v>556287</v>
      </c>
      <c r="J128" s="1739" t="s">
        <v>1898</v>
      </c>
      <c r="K128" s="35"/>
      <c r="L128" s="35"/>
      <c r="M128" s="1"/>
    </row>
    <row r="129" spans="1:20" ht="15.6" customHeight="1">
      <c r="A129" s="74">
        <f t="shared" si="3"/>
        <v>79</v>
      </c>
      <c r="B129" s="32"/>
      <c r="C129" s="882" t="s">
        <v>512</v>
      </c>
      <c r="D129" s="9"/>
      <c r="E129" s="34" t="str">
        <f>"(Note "&amp;A$337&amp;")"</f>
        <v>(Note FF)</v>
      </c>
      <c r="F129" s="668" t="str">
        <f>+"WP02 Support Line "&amp;'WP02 Support'!A103&amp;" Column "&amp;'WP02 Support'!D92</f>
        <v>WP02 Support Line 32 Column C</v>
      </c>
      <c r="G129" s="653">
        <f>+'WP02 Support'!D103</f>
        <v>191518.4547086379</v>
      </c>
      <c r="H129" s="1058">
        <f>+'WP02 Support'!D103</f>
        <v>191518.4547086379</v>
      </c>
      <c r="J129" s="35"/>
      <c r="K129" s="35"/>
      <c r="L129" s="35"/>
      <c r="M129" s="1"/>
    </row>
    <row r="130" spans="1:20" ht="15.6" customHeight="1">
      <c r="A130" s="74">
        <f>+A129+1</f>
        <v>80</v>
      </c>
      <c r="B130" s="9"/>
      <c r="C130" s="284" t="s">
        <v>100</v>
      </c>
      <c r="D130" s="282"/>
      <c r="E130" s="283"/>
      <c r="F130" s="134" t="str">
        <f>"(Line "&amp;A125&amp;" - Line "&amp;A126&amp;" - Line "&amp;A127&amp;" + Line "&amp;A128&amp;" + "&amp;" Line "&amp;A129&amp;")"</f>
        <v>(Line 75 - Line 76 - Line 77 + Line 78 +  Line 79)</v>
      </c>
      <c r="G130" s="71">
        <f>+G125-G126-G127+G128+G129</f>
        <v>36927175.634708971</v>
      </c>
      <c r="H130" s="71">
        <f>+H125-H126-H127+H128+H129</f>
        <v>36927175.634708971</v>
      </c>
      <c r="J130" s="35"/>
      <c r="K130" s="35"/>
      <c r="L130" s="35"/>
      <c r="M130" s="1"/>
    </row>
    <row r="131" spans="1:20" ht="13.95" customHeight="1">
      <c r="A131" s="74"/>
      <c r="B131" s="32"/>
      <c r="C131" s="5"/>
      <c r="D131" s="9"/>
      <c r="E131" s="107"/>
      <c r="F131" s="141"/>
      <c r="G131" s="71"/>
      <c r="H131" s="1067"/>
      <c r="J131" s="35"/>
      <c r="K131" s="35"/>
      <c r="L131" s="35"/>
      <c r="M131" s="1"/>
    </row>
    <row r="132" spans="1:20" ht="15.6" customHeight="1">
      <c r="A132" s="74"/>
      <c r="B132" s="1930" t="s">
        <v>475</v>
      </c>
      <c r="C132" s="1930"/>
      <c r="D132" s="9"/>
      <c r="E132" s="107"/>
      <c r="F132" s="141"/>
      <c r="G132" s="71"/>
      <c r="H132" s="1067"/>
      <c r="J132" s="35"/>
      <c r="K132" s="35"/>
      <c r="L132" s="35"/>
      <c r="M132" s="1"/>
    </row>
    <row r="133" spans="1:20" ht="15.6" customHeight="1">
      <c r="A133" s="74">
        <f>+A130+1</f>
        <v>81</v>
      </c>
      <c r="B133" s="32"/>
      <c r="C133" s="58" t="s">
        <v>103</v>
      </c>
      <c r="D133" s="9"/>
      <c r="E133" s="34" t="str">
        <f>"(Note "&amp;A$320&amp;")"</f>
        <v>(Note O)</v>
      </c>
      <c r="F133" s="134" t="s">
        <v>678</v>
      </c>
      <c r="G133" s="208">
        <v>284407571</v>
      </c>
      <c r="H133" s="1076">
        <v>284407571</v>
      </c>
      <c r="J133" s="260"/>
      <c r="K133" s="260"/>
      <c r="L133" s="260"/>
      <c r="M133" s="260"/>
      <c r="N133" s="260"/>
      <c r="O133" s="260"/>
      <c r="P133" s="260"/>
      <c r="Q133" s="260"/>
      <c r="R133" s="260"/>
      <c r="S133" s="260"/>
      <c r="T133" s="260"/>
    </row>
    <row r="134" spans="1:20" ht="15.6" customHeight="1">
      <c r="A134" s="74">
        <f>+A133+1</f>
        <v>82</v>
      </c>
      <c r="B134" s="32"/>
      <c r="C134" s="1944" t="s">
        <v>735</v>
      </c>
      <c r="D134" s="1944"/>
      <c r="E134" s="34" t="str">
        <f>"(Note "&amp;A$309&amp;")"</f>
        <v>(Note D)</v>
      </c>
      <c r="F134" s="987" t="str">
        <f>+"WP12 PBOP Line "&amp;'WP12 PBOP'!A11&amp;" Column "&amp;'WP12 PBOP'!C6</f>
        <v>WP12 PBOP Line 3 Column B</v>
      </c>
      <c r="G134" s="99">
        <f>+'WP12 PBOP'!$C11</f>
        <v>-3730881.3396614939</v>
      </c>
      <c r="H134" s="1057">
        <f>+'WP12 PBOP'!$C11</f>
        <v>-3730881.3396614939</v>
      </c>
      <c r="J134" s="260"/>
      <c r="K134" s="260"/>
      <c r="L134" s="260"/>
    </row>
    <row r="135" spans="1:20" ht="15.6" customHeight="1">
      <c r="A135" s="74">
        <f>+A134+1</f>
        <v>83</v>
      </c>
      <c r="B135" s="32"/>
      <c r="C135" s="183" t="s">
        <v>508</v>
      </c>
      <c r="D135" s="1820"/>
      <c r="E135" s="34"/>
      <c r="F135" s="142" t="s">
        <v>679</v>
      </c>
      <c r="G135" s="208">
        <v>21037856.010000002</v>
      </c>
      <c r="H135" s="1076">
        <v>21037856.010000002</v>
      </c>
      <c r="J135" s="260"/>
      <c r="K135" s="260"/>
      <c r="L135" s="260"/>
    </row>
    <row r="136" spans="1:20" ht="15.6" customHeight="1">
      <c r="A136" s="74">
        <f t="shared" ref="A136:A143" si="4">+A135+1</f>
        <v>84</v>
      </c>
      <c r="B136" s="32"/>
      <c r="C136" s="1944" t="s">
        <v>625</v>
      </c>
      <c r="D136" s="1944"/>
      <c r="E136" s="34" t="str">
        <f>"(Note "&amp;A$310&amp;")"</f>
        <v>(Note E)</v>
      </c>
      <c r="F136" s="142" t="s">
        <v>680</v>
      </c>
      <c r="G136" s="208">
        <v>9539117.540000001</v>
      </c>
      <c r="H136" s="1076">
        <v>9539117.540000001</v>
      </c>
      <c r="J136" s="260"/>
      <c r="K136" s="260"/>
      <c r="L136" s="260"/>
    </row>
    <row r="137" spans="1:20" ht="15.6" customHeight="1">
      <c r="A137" s="74">
        <f t="shared" si="4"/>
        <v>85</v>
      </c>
      <c r="B137" s="32"/>
      <c r="C137" s="1944" t="s">
        <v>626</v>
      </c>
      <c r="D137" s="1944"/>
      <c r="E137" s="34"/>
      <c r="F137" s="142" t="s">
        <v>681</v>
      </c>
      <c r="G137" s="208">
        <v>482597.99000000011</v>
      </c>
      <c r="H137" s="1076">
        <v>482597.99000000011</v>
      </c>
      <c r="J137" s="260"/>
      <c r="K137" s="260"/>
      <c r="L137" s="260"/>
    </row>
    <row r="138" spans="1:20" ht="15.6" customHeight="1">
      <c r="A138" s="74">
        <f>+A137+1</f>
        <v>86</v>
      </c>
      <c r="B138" s="32"/>
      <c r="C138" s="183" t="s">
        <v>509</v>
      </c>
      <c r="D138" s="1820"/>
      <c r="E138" s="34" t="str">
        <f>"(Notes "&amp;A$329&amp;" &amp; "&amp;A$337&amp;")"</f>
        <v>(Notes X &amp; FF)</v>
      </c>
      <c r="F138" s="130" t="str">
        <f>+"WP02 Support Line "&amp;'WP02 Support'!A127&amp;" Column "&amp;'WP02 Support'!$D$5</f>
        <v>WP02 Support Line 38 Column C</v>
      </c>
      <c r="G138" s="99">
        <f>'WP02 Support'!D127</f>
        <v>-2319598</v>
      </c>
      <c r="H138" s="1057">
        <f>+G138</f>
        <v>-2319598</v>
      </c>
      <c r="J138" s="260"/>
      <c r="K138" s="260"/>
      <c r="L138" s="260"/>
    </row>
    <row r="139" spans="1:20" ht="15.6" customHeight="1">
      <c r="A139" s="74">
        <f>+A138+1</f>
        <v>87</v>
      </c>
      <c r="B139" s="32"/>
      <c r="C139" s="183" t="s">
        <v>507</v>
      </c>
      <c r="D139" s="889"/>
      <c r="E139" s="34"/>
      <c r="F139" s="134" t="s">
        <v>675</v>
      </c>
      <c r="G139" s="208">
        <v>257553</v>
      </c>
      <c r="H139" s="1076">
        <v>257553</v>
      </c>
      <c r="J139" s="260"/>
      <c r="K139" s="260"/>
      <c r="L139" s="260"/>
    </row>
    <row r="140" spans="1:20" ht="15.6" customHeight="1">
      <c r="A140" s="74">
        <f>+A139+1</f>
        <v>88</v>
      </c>
      <c r="B140" s="32"/>
      <c r="C140" s="183" t="s">
        <v>762</v>
      </c>
      <c r="D140" s="889"/>
      <c r="E140" s="34" t="str">
        <f>"(Note "&amp;A$337&amp;")"</f>
        <v>(Note FF)</v>
      </c>
      <c r="F140" s="668" t="str">
        <f>+"WP02 Support Line "&amp;'WP02 Support'!A114&amp;" Column "&amp;'WP02 Support'!D5</f>
        <v>WP02 Support Line 35 Column C</v>
      </c>
      <c r="G140" s="653">
        <f>+'WP02 Support'!D114</f>
        <v>-14795677.34</v>
      </c>
      <c r="H140" s="1058">
        <f>+'WP02 Support'!D114</f>
        <v>-14795677.34</v>
      </c>
      <c r="J140" s="260"/>
      <c r="K140" s="260"/>
      <c r="L140" s="260"/>
    </row>
    <row r="141" spans="1:20" ht="15.6" customHeight="1">
      <c r="A141" s="74">
        <f>+A140+1</f>
        <v>89</v>
      </c>
      <c r="B141" s="32"/>
      <c r="C141" s="284" t="s">
        <v>476</v>
      </c>
      <c r="D141" s="282"/>
      <c r="E141" s="281"/>
      <c r="F141" s="129" t="str">
        <f>"(Line "&amp;A133&amp;" -  Sum ("&amp;A134&amp;" to "&amp;A139&amp;")"&amp;" + "&amp;A140&amp;")"</f>
        <v>(Line 81 -  Sum (82 to 87) + 88)</v>
      </c>
      <c r="G141" s="99">
        <f>+G133-G134-G135-G136-G137-G138-G139+G140</f>
        <v>244345248.45966148</v>
      </c>
      <c r="H141" s="1057">
        <f>+H133-H134-H135-H136-H137-H138-H139+H140</f>
        <v>244345248.45966148</v>
      </c>
      <c r="J141" s="260"/>
      <c r="K141" s="260"/>
      <c r="L141" s="260"/>
    </row>
    <row r="142" spans="1:20" ht="15.6" customHeight="1">
      <c r="A142" s="74">
        <f t="shared" si="4"/>
        <v>90</v>
      </c>
      <c r="B142" s="32"/>
      <c r="C142" s="58" t="s">
        <v>110</v>
      </c>
      <c r="D142" s="12"/>
      <c r="E142" s="73"/>
      <c r="F142" s="143" t="str">
        <f>"(Line "&amp;A$24&amp;")"</f>
        <v>(Line 11)</v>
      </c>
      <c r="G142" s="669">
        <f>+G24</f>
        <v>7.3273229645201082E-2</v>
      </c>
      <c r="H142" s="1068">
        <f>H$24</f>
        <v>7.3273229645201082E-2</v>
      </c>
      <c r="J142" s="260"/>
      <c r="K142" s="260"/>
      <c r="L142" s="260"/>
    </row>
    <row r="143" spans="1:20" ht="15.6" customHeight="1">
      <c r="A143" s="74">
        <f t="shared" si="4"/>
        <v>91</v>
      </c>
      <c r="B143" s="32"/>
      <c r="C143" s="279" t="str">
        <f>+B132</f>
        <v>Allocated General Expenses (EOY)</v>
      </c>
      <c r="D143" s="9"/>
      <c r="E143" s="9"/>
      <c r="F143" s="134" t="str">
        <f>"(Line "&amp;A141&amp;" * "&amp;A142&amp;")"</f>
        <v>(Line 89 * 90)</v>
      </c>
      <c r="G143" s="71">
        <f>+G142*G141</f>
        <v>17903965.503098492</v>
      </c>
      <c r="H143" s="1067">
        <f>+H142*H141</f>
        <v>17903965.503098492</v>
      </c>
      <c r="J143" s="260"/>
      <c r="K143" s="260"/>
      <c r="L143" s="260"/>
    </row>
    <row r="144" spans="1:20" ht="13.95" customHeight="1">
      <c r="A144" s="74"/>
      <c r="B144" s="32"/>
      <c r="C144" s="5"/>
      <c r="D144" s="9"/>
      <c r="E144" s="107"/>
      <c r="F144" s="141"/>
      <c r="G144" s="99"/>
      <c r="H144" s="1057"/>
      <c r="J144" s="260"/>
      <c r="K144" s="260"/>
      <c r="L144" s="260"/>
    </row>
    <row r="145" spans="1:12" ht="15.6" customHeight="1">
      <c r="A145" s="74"/>
      <c r="B145" s="1930" t="s">
        <v>74</v>
      </c>
      <c r="C145" s="1930"/>
      <c r="D145" s="9"/>
      <c r="E145" s="107"/>
      <c r="F145" s="141"/>
      <c r="G145" s="99"/>
      <c r="H145" s="1057"/>
      <c r="J145" s="260"/>
      <c r="K145" s="260"/>
      <c r="L145" s="260"/>
    </row>
    <row r="146" spans="1:12" ht="15.6" customHeight="1">
      <c r="A146" s="74">
        <f>+A143+1</f>
        <v>92</v>
      </c>
      <c r="B146" s="114"/>
      <c r="C146" s="1928" t="s">
        <v>514</v>
      </c>
      <c r="D146" s="1928"/>
      <c r="E146" s="34" t="str">
        <f>"(Notes "&amp;A$312&amp;" &amp; "&amp;A$337&amp;")"</f>
        <v>(Notes G &amp; FF)</v>
      </c>
      <c r="F146" s="130" t="str">
        <f>+"WP02 Support Line "&amp;'WP02 Support'!A136&amp;" Column "&amp;'WP02 Support'!$D$5</f>
        <v>WP02 Support Line 42 Column C</v>
      </c>
      <c r="G146" s="99">
        <f>+'WP02 Support'!D136</f>
        <v>17336</v>
      </c>
      <c r="H146" s="1057">
        <f>+'WP02 Support'!D136</f>
        <v>17336</v>
      </c>
      <c r="J146" s="260"/>
      <c r="K146" s="260"/>
      <c r="L146" s="260"/>
    </row>
    <row r="147" spans="1:12" ht="15.6" customHeight="1">
      <c r="A147" s="74">
        <f t="shared" ref="A147:A156" si="5">+A146+1</f>
        <v>93</v>
      </c>
      <c r="B147" s="114"/>
      <c r="C147" s="1926" t="s">
        <v>627</v>
      </c>
      <c r="D147" s="1926"/>
      <c r="E147" s="73" t="str">
        <f>"(Notes "&amp;A$316&amp;" &amp; "&amp;A$337&amp;")"</f>
        <v>(Notes K &amp; FF)</v>
      </c>
      <c r="F147" s="668"/>
      <c r="G147" s="208">
        <v>0</v>
      </c>
      <c r="H147" s="1076">
        <v>0</v>
      </c>
      <c r="J147" s="1739" t="s">
        <v>1894</v>
      </c>
      <c r="K147" s="260"/>
      <c r="L147" s="260"/>
    </row>
    <row r="148" spans="1:12" ht="15.6" customHeight="1">
      <c r="A148" s="74">
        <f t="shared" si="5"/>
        <v>94</v>
      </c>
      <c r="B148" s="114"/>
      <c r="C148" s="56" t="s">
        <v>122</v>
      </c>
      <c r="D148" s="119"/>
      <c r="E148" s="34"/>
      <c r="F148" s="134" t="str">
        <f>"(Line "&amp;A146&amp;" + "&amp;A147&amp;")"</f>
        <v>(Line 92 + 93)</v>
      </c>
      <c r="G148" s="647">
        <f>+G147+G146</f>
        <v>17336</v>
      </c>
      <c r="H148" s="1083">
        <f>+H147+H146</f>
        <v>17336</v>
      </c>
      <c r="J148" s="1739"/>
      <c r="K148" s="260"/>
      <c r="L148" s="260"/>
    </row>
    <row r="149" spans="1:12" ht="13.95" customHeight="1">
      <c r="A149" s="74">
        <f t="shared" si="5"/>
        <v>95</v>
      </c>
      <c r="B149" s="114"/>
      <c r="C149" s="56"/>
      <c r="D149" s="119"/>
      <c r="E149" s="34"/>
      <c r="F149" s="144"/>
      <c r="G149" s="654"/>
      <c r="H149" s="1090"/>
      <c r="J149" s="1739"/>
      <c r="K149" s="260"/>
      <c r="L149" s="260"/>
    </row>
    <row r="150" spans="1:12" ht="15.6" customHeight="1">
      <c r="A150" s="74">
        <f t="shared" si="5"/>
        <v>96</v>
      </c>
      <c r="B150" s="114"/>
      <c r="C150" s="1928" t="s">
        <v>747</v>
      </c>
      <c r="D150" s="1928"/>
      <c r="E150" s="34" t="str">
        <f>"(Note "&amp;A$311&amp;")"</f>
        <v>(Note F)</v>
      </c>
      <c r="F150" s="987" t="str">
        <f>+"WP10 Storm Line "&amp;'WP10 Storm'!A65&amp;" Column "&amp;'WP10 Storm'!E6</f>
        <v xml:space="preserve">WP10 Storm Line 28 Column D </v>
      </c>
      <c r="G150" s="624">
        <f>+'WP10 Storm'!$E$65</f>
        <v>15417859.010000009</v>
      </c>
      <c r="H150" s="1073">
        <f>+'WP10 Storm'!$E$65</f>
        <v>15417859.010000009</v>
      </c>
      <c r="J150" s="1739"/>
      <c r="K150" s="260"/>
      <c r="L150" s="260"/>
    </row>
    <row r="151" spans="1:12" ht="15.6" customHeight="1">
      <c r="A151" s="74">
        <f t="shared" si="5"/>
        <v>97</v>
      </c>
      <c r="B151" s="114"/>
      <c r="C151" s="1926" t="s">
        <v>553</v>
      </c>
      <c r="D151" s="1926"/>
      <c r="E151" s="73" t="str">
        <f>"(Notes "&amp;A$340&amp;" &amp; "&amp;A$337&amp;")"</f>
        <v>(Notes II &amp; FF)</v>
      </c>
      <c r="F151" s="1345"/>
      <c r="G151" s="208">
        <v>0</v>
      </c>
      <c r="H151" s="1076">
        <v>0</v>
      </c>
      <c r="J151" s="1739" t="s">
        <v>1894</v>
      </c>
      <c r="K151" s="260"/>
      <c r="L151" s="260"/>
    </row>
    <row r="152" spans="1:12" ht="15.6" customHeight="1">
      <c r="A152" s="74">
        <f t="shared" si="5"/>
        <v>98</v>
      </c>
      <c r="B152" s="114"/>
      <c r="C152" s="623" t="s">
        <v>113</v>
      </c>
      <c r="D152" s="288"/>
      <c r="E152" s="283"/>
      <c r="F152" s="134" t="str">
        <f>"(Line "&amp;A150&amp;" + "&amp;A151&amp;")"</f>
        <v>(Line 96 + 97)</v>
      </c>
      <c r="G152" s="624">
        <f>+G150+G151</f>
        <v>15417859.010000009</v>
      </c>
      <c r="H152" s="1073">
        <f>+H150+H151</f>
        <v>15417859.010000009</v>
      </c>
      <c r="J152" s="260"/>
      <c r="K152" s="260"/>
      <c r="L152" s="260"/>
    </row>
    <row r="153" spans="1:12" ht="15.6" customHeight="1">
      <c r="A153" s="74">
        <f t="shared" si="5"/>
        <v>99</v>
      </c>
      <c r="B153" s="32"/>
      <c r="C153" s="24" t="s">
        <v>88</v>
      </c>
      <c r="D153" s="14"/>
      <c r="E153" s="29"/>
      <c r="F153" s="135" t="str">
        <f>"(Line "&amp;A$35&amp;")"</f>
        <v>(Line 18)</v>
      </c>
      <c r="G153" s="91">
        <f>+G$35</f>
        <v>0.18417846586322134</v>
      </c>
      <c r="H153" s="1072">
        <f>+H$35</f>
        <v>0.20063605654126818</v>
      </c>
      <c r="J153" s="260"/>
      <c r="K153" s="260"/>
      <c r="L153" s="260"/>
    </row>
    <row r="154" spans="1:12" ht="15.6" customHeight="1">
      <c r="A154" s="74">
        <f t="shared" si="5"/>
        <v>100</v>
      </c>
      <c r="B154" s="32"/>
      <c r="C154" s="284" t="s">
        <v>75</v>
      </c>
      <c r="D154" s="282"/>
      <c r="E154" s="34"/>
      <c r="F154" s="134" t="str">
        <f>"(Line "&amp;A152&amp;" * "&amp;A153&amp;")"</f>
        <v>(Line 98 * 99)</v>
      </c>
      <c r="G154" s="647">
        <f>+G153*G152</f>
        <v>2839637.6193572464</v>
      </c>
      <c r="H154" s="1083">
        <f>+H153*H152</f>
        <v>3093378.432075663</v>
      </c>
      <c r="J154" s="260"/>
      <c r="K154" s="260"/>
      <c r="L154" s="260"/>
    </row>
    <row r="155" spans="1:12" ht="13.95" customHeight="1">
      <c r="A155" s="74">
        <f t="shared" si="5"/>
        <v>101</v>
      </c>
      <c r="B155" s="7"/>
      <c r="C155" s="5"/>
      <c r="D155" s="9"/>
      <c r="E155" s="53"/>
      <c r="F155" s="132"/>
      <c r="G155" s="652"/>
      <c r="H155" s="1089"/>
      <c r="J155" s="260"/>
      <c r="K155" s="260"/>
      <c r="L155" s="260"/>
    </row>
    <row r="156" spans="1:12" ht="15.6" customHeight="1" thickBot="1">
      <c r="A156" s="74">
        <f t="shared" si="5"/>
        <v>102</v>
      </c>
      <c r="B156" s="1945" t="s">
        <v>102</v>
      </c>
      <c r="C156" s="1945"/>
      <c r="D156" s="18"/>
      <c r="E156" s="55"/>
      <c r="F156" s="69" t="str">
        <f>"(Line "&amp;A130&amp;" + "&amp;A143&amp;" + "&amp;A148&amp;" + "&amp;A154&amp;")"</f>
        <v>(Line 80 + 91 + 94 + 100)</v>
      </c>
      <c r="G156" s="655">
        <f>+G130+G143+G148+G154</f>
        <v>57688114.757164702</v>
      </c>
      <c r="H156" s="1091">
        <f>+H130+H143+H148+H154</f>
        <v>57941855.569883123</v>
      </c>
      <c r="J156" s="260"/>
      <c r="K156" s="260"/>
      <c r="L156" s="260"/>
    </row>
    <row r="157" spans="1:12" ht="13.95" customHeight="1" thickTop="1">
      <c r="A157" s="109"/>
      <c r="B157" s="7"/>
      <c r="C157" s="5"/>
      <c r="D157" s="9"/>
      <c r="E157" s="53"/>
      <c r="F157" s="132"/>
      <c r="G157" s="70"/>
      <c r="H157" s="1063"/>
      <c r="J157" s="260"/>
      <c r="K157" s="260"/>
      <c r="L157" s="260"/>
    </row>
    <row r="158" spans="1:12" ht="15.6" customHeight="1">
      <c r="A158" s="1053" t="s">
        <v>96</v>
      </c>
      <c r="B158" s="242"/>
      <c r="C158" s="243"/>
      <c r="D158" s="243"/>
      <c r="E158" s="244"/>
      <c r="F158" s="245"/>
      <c r="G158" s="246"/>
      <c r="H158" s="1064"/>
      <c r="J158" s="260"/>
      <c r="K158" s="260"/>
      <c r="L158" s="260"/>
    </row>
    <row r="159" spans="1:12" ht="13.95" customHeight="1">
      <c r="A159" s="120"/>
      <c r="B159" s="7"/>
      <c r="C159" s="5"/>
      <c r="D159" s="9"/>
      <c r="E159" s="53"/>
      <c r="F159" s="132"/>
      <c r="G159" s="70"/>
      <c r="H159" s="1063"/>
      <c r="J159" s="260"/>
      <c r="K159" s="260"/>
      <c r="L159" s="260"/>
    </row>
    <row r="160" spans="1:12" ht="15.6" customHeight="1">
      <c r="A160" s="108"/>
      <c r="B160" s="1946" t="s">
        <v>477</v>
      </c>
      <c r="C160" s="1946"/>
      <c r="D160" s="9"/>
      <c r="E160" s="34"/>
      <c r="F160" s="158"/>
      <c r="G160" s="159"/>
      <c r="H160" s="1092"/>
      <c r="J160" s="260"/>
      <c r="K160" s="260"/>
      <c r="L160" s="260"/>
    </row>
    <row r="161" spans="1:12" ht="15.6" customHeight="1">
      <c r="A161" s="105">
        <f>+A156+1</f>
        <v>103</v>
      </c>
      <c r="B161" s="121"/>
      <c r="C161" s="58" t="s">
        <v>62</v>
      </c>
      <c r="D161" s="32"/>
      <c r="E161" s="34" t="str">
        <f>"(Note "&amp;A$321&amp;")"</f>
        <v>(Note P)</v>
      </c>
      <c r="F161" s="1857" t="str">
        <f>+"WP18 Deprec Line "&amp;'WP18 Deprec'!A51&amp;" Column C"</f>
        <v>WP18 Deprec Line 6.14 Column C</v>
      </c>
      <c r="G161" s="1705">
        <f>+'WP18 Deprec'!$E51</f>
        <v>48195412.100000001</v>
      </c>
      <c r="H161" s="1706">
        <f>+'WP18 Deprec'!$E51</f>
        <v>48195412.100000001</v>
      </c>
      <c r="J161" s="259" t="s">
        <v>1844</v>
      </c>
      <c r="K161" s="260"/>
      <c r="L161" s="260"/>
    </row>
    <row r="162" spans="1:12" ht="13.95" customHeight="1">
      <c r="A162" s="105">
        <f t="shared" ref="A162:A170" si="6">+A161+1</f>
        <v>104</v>
      </c>
      <c r="B162" s="121"/>
      <c r="C162" s="56"/>
      <c r="D162" s="9"/>
      <c r="E162" s="32"/>
      <c r="F162" s="144"/>
      <c r="G162" s="624"/>
      <c r="H162" s="1073"/>
      <c r="K162" s="260"/>
      <c r="L162" s="260"/>
    </row>
    <row r="163" spans="1:12" ht="15.6" customHeight="1">
      <c r="A163" s="105">
        <f t="shared" si="6"/>
        <v>105</v>
      </c>
      <c r="B163" s="114"/>
      <c r="C163" s="1699" t="s">
        <v>89</v>
      </c>
      <c r="D163" s="9"/>
      <c r="E163" s="34" t="str">
        <f>"(Note "&amp;A$306&amp;")"</f>
        <v>(Note A)</v>
      </c>
      <c r="F163" s="1857" t="str">
        <f>+"WP18 Deprec Line "&amp;'WP18 Deprec'!A35&amp;"0 Column C"</f>
        <v>WP18 Deprec Line 4.10 Column C</v>
      </c>
      <c r="G163" s="1707">
        <f>+'WP18 Deprec'!$E35</f>
        <v>24805727.41</v>
      </c>
      <c r="H163" s="1708">
        <f>+'WP18 Deprec'!$E35</f>
        <v>24805727.41</v>
      </c>
      <c r="J163" s="259" t="s">
        <v>1844</v>
      </c>
      <c r="K163" s="260"/>
      <c r="L163" s="260"/>
    </row>
    <row r="164" spans="1:12" s="260" customFormat="1" ht="15.6" customHeight="1">
      <c r="A164" s="105">
        <f t="shared" si="6"/>
        <v>106</v>
      </c>
      <c r="B164" s="121"/>
      <c r="C164" s="1699" t="s">
        <v>554</v>
      </c>
      <c r="D164" s="9"/>
      <c r="E164" s="1858" t="str">
        <f>"(Notes "&amp;A$306&amp;" &amp; "&amp;A$321&amp;")"</f>
        <v>(Notes A &amp; P)</v>
      </c>
      <c r="F164" s="1857" t="str">
        <f>+"WP18 Deprec Line "&amp;'WP18 Deprec'!A23&amp;" Column C"</f>
        <v>WP18 Deprec Line 2.15 Column C</v>
      </c>
      <c r="G164" s="1707">
        <f>+'WP18 Deprec'!$E23</f>
        <v>15990721.57</v>
      </c>
      <c r="H164" s="1708">
        <f>+'WP18 Deprec'!$E23</f>
        <v>15990721.57</v>
      </c>
      <c r="J164" s="259" t="s">
        <v>1844</v>
      </c>
    </row>
    <row r="165" spans="1:12" s="260" customFormat="1" ht="15.6" customHeight="1">
      <c r="A165" s="105">
        <f t="shared" si="6"/>
        <v>107</v>
      </c>
      <c r="B165" s="458"/>
      <c r="C165" s="1700" t="s">
        <v>1846</v>
      </c>
      <c r="D165" s="457"/>
      <c r="E165" s="1859" t="str">
        <f>"(Notes "&amp;A$337&amp;" &amp; "&amp;A$343&amp;")"</f>
        <v>(Notes FF &amp; LL)</v>
      </c>
      <c r="F165" s="258" t="str">
        <f>+"WP02 Support Line "&amp;'WP02 Support'!A151&amp;" Column "&amp;'WP02 Support'!$D$5</f>
        <v>WP02 Support Line 48 Column C</v>
      </c>
      <c r="G165" s="892">
        <f>+'WP02 Support'!D151</f>
        <v>8530497.3900000006</v>
      </c>
      <c r="H165" s="1094">
        <f>+'WP02 Support'!D151</f>
        <v>8530497.3900000006</v>
      </c>
      <c r="J165" s="259" t="s">
        <v>1845</v>
      </c>
    </row>
    <row r="166" spans="1:12" ht="15.6" customHeight="1">
      <c r="A166" s="105">
        <f t="shared" si="6"/>
        <v>108</v>
      </c>
      <c r="B166" s="114"/>
      <c r="C166" s="56" t="s">
        <v>113</v>
      </c>
      <c r="D166" s="9"/>
      <c r="E166" s="32"/>
      <c r="F166" s="990" t="str">
        <f>"(Line "&amp;A163&amp;" + "&amp;A164&amp;" + "&amp;A165&amp;")"</f>
        <v>(Line 105 + 106 + 107)</v>
      </c>
      <c r="G166" s="624">
        <f>+G164+G165+G163</f>
        <v>49326946.370000005</v>
      </c>
      <c r="H166" s="1073">
        <f>+H164+H165+H163</f>
        <v>49326946.370000005</v>
      </c>
      <c r="J166" s="260"/>
      <c r="K166" s="260"/>
      <c r="L166" s="260"/>
    </row>
    <row r="167" spans="1:12" ht="15.6" customHeight="1">
      <c r="A167" s="74">
        <f t="shared" si="6"/>
        <v>109</v>
      </c>
      <c r="B167" s="114"/>
      <c r="C167" s="24" t="s">
        <v>110</v>
      </c>
      <c r="D167" s="12"/>
      <c r="E167" s="73"/>
      <c r="F167" s="143" t="str">
        <f>"(Line "&amp;A$24&amp;")"</f>
        <v>(Line 11)</v>
      </c>
      <c r="G167" s="91">
        <f>+G24</f>
        <v>7.3273229645201082E-2</v>
      </c>
      <c r="H167" s="1068">
        <f>H$24</f>
        <v>7.3273229645201082E-2</v>
      </c>
      <c r="J167" s="260"/>
      <c r="K167" s="260"/>
      <c r="L167" s="260"/>
    </row>
    <row r="168" spans="1:12" ht="15.6" customHeight="1">
      <c r="A168" s="74">
        <f t="shared" si="6"/>
        <v>110</v>
      </c>
      <c r="B168" s="114"/>
      <c r="C168" s="1939" t="s">
        <v>263</v>
      </c>
      <c r="D168" s="1939"/>
      <c r="E168" s="9"/>
      <c r="F168" s="134" t="str">
        <f>"(Line "&amp;A166&amp;" * "&amp;A167&amp;")"</f>
        <v>(Line 108 * 109)</v>
      </c>
      <c r="G168" s="647">
        <f>(+G166*G167)</f>
        <v>3614344.6690655281</v>
      </c>
      <c r="H168" s="1083">
        <f>(+H166*H167)</f>
        <v>3614344.6690655281</v>
      </c>
      <c r="J168" s="260"/>
      <c r="K168" s="260"/>
      <c r="L168" s="260"/>
    </row>
    <row r="169" spans="1:12" ht="13.95" customHeight="1">
      <c r="A169" s="74">
        <f t="shared" si="6"/>
        <v>111</v>
      </c>
      <c r="B169" s="122"/>
      <c r="C169" s="56"/>
      <c r="D169" s="9"/>
      <c r="E169" s="32"/>
      <c r="F169" s="144"/>
      <c r="G169" s="624"/>
      <c r="H169" s="1073"/>
      <c r="J169" s="260"/>
      <c r="K169" s="260"/>
      <c r="L169" s="260"/>
    </row>
    <row r="170" spans="1:12" s="1" customFormat="1" ht="15.6" customHeight="1" thickBot="1">
      <c r="A170" s="74">
        <f t="shared" si="6"/>
        <v>112</v>
      </c>
      <c r="B170" s="1947" t="s">
        <v>97</v>
      </c>
      <c r="C170" s="1947"/>
      <c r="D170" s="1947"/>
      <c r="E170" s="57"/>
      <c r="F170" s="69" t="str">
        <f>"(Line "&amp;A161&amp;" + "&amp;A168&amp;")"</f>
        <v>(Line 103 + 110)</v>
      </c>
      <c r="G170" s="98">
        <f>+G161+G168</f>
        <v>51809756.769065529</v>
      </c>
      <c r="H170" s="1095">
        <f>+H161+H168</f>
        <v>51809756.769065529</v>
      </c>
      <c r="J170" s="35"/>
      <c r="K170" s="35"/>
      <c r="L170" s="35"/>
    </row>
    <row r="171" spans="1:12" ht="13.95" customHeight="1" thickTop="1">
      <c r="A171" s="117"/>
      <c r="B171" s="6"/>
      <c r="C171" s="6"/>
      <c r="D171" s="6"/>
      <c r="E171" s="27"/>
      <c r="F171" s="133"/>
      <c r="G171" s="648"/>
      <c r="H171" s="1085"/>
      <c r="J171" s="260"/>
      <c r="K171" s="260"/>
      <c r="L171" s="260"/>
    </row>
    <row r="172" spans="1:12" ht="15.6" customHeight="1">
      <c r="A172" s="1937" t="s">
        <v>39</v>
      </c>
      <c r="B172" s="1938"/>
      <c r="C172" s="1938"/>
      <c r="D172" s="243"/>
      <c r="E172" s="244"/>
      <c r="F172" s="245"/>
      <c r="G172" s="650"/>
      <c r="H172" s="1096"/>
      <c r="J172" s="260"/>
      <c r="K172" s="260"/>
      <c r="L172" s="260"/>
    </row>
    <row r="173" spans="1:12" ht="13.95" customHeight="1">
      <c r="A173" s="112"/>
      <c r="B173" s="7"/>
      <c r="C173" s="5"/>
      <c r="D173" s="9"/>
      <c r="E173" s="107"/>
      <c r="F173" s="132"/>
      <c r="G173" s="657"/>
      <c r="H173" s="1097"/>
      <c r="J173" s="260"/>
      <c r="K173" s="260"/>
      <c r="L173" s="260"/>
    </row>
    <row r="174" spans="1:12" ht="15.6" customHeight="1">
      <c r="A174" s="74">
        <f>+A170+1</f>
        <v>113</v>
      </c>
      <c r="B174" s="39"/>
      <c r="C174" s="9" t="s">
        <v>548</v>
      </c>
      <c r="D174" s="9"/>
      <c r="E174" s="34"/>
      <c r="F174" s="130" t="str">
        <f>+"WP13 TOTI Line "&amp;'WP13 TOTI'!A39&amp;" Column "&amp;'WP13 TOTI'!E$5</f>
        <v>WP13 TOTI Line 2 Column D</v>
      </c>
      <c r="G174" s="644">
        <f>+'WP13 TOTI'!E39</f>
        <v>0</v>
      </c>
      <c r="H174" s="1062">
        <f>+'WP13 TOTI'!E39</f>
        <v>0</v>
      </c>
      <c r="J174" s="260"/>
      <c r="K174" s="260"/>
      <c r="L174" s="260"/>
    </row>
    <row r="175" spans="1:12" ht="13.95" customHeight="1">
      <c r="A175" s="74">
        <f t="shared" ref="A175:A185" si="7">+A174+1</f>
        <v>114</v>
      </c>
      <c r="B175" s="114"/>
      <c r="C175" s="9"/>
      <c r="D175" s="9"/>
      <c r="E175" s="34"/>
      <c r="F175" s="130"/>
      <c r="G175" s="644"/>
      <c r="H175" s="1062"/>
      <c r="J175" s="260"/>
      <c r="K175" s="260"/>
      <c r="L175" s="260"/>
    </row>
    <row r="176" spans="1:12" ht="15.6" customHeight="1">
      <c r="A176" s="74">
        <f t="shared" si="7"/>
        <v>115</v>
      </c>
      <c r="B176" s="114"/>
      <c r="C176" s="9" t="s">
        <v>555</v>
      </c>
      <c r="D176" s="9"/>
      <c r="E176" s="34"/>
      <c r="F176" s="130" t="str">
        <f>+"WP13 TOTI Line "&amp;'WP13 TOTI'!A$39&amp;" Column "&amp;'WP13 TOTI'!F$5</f>
        <v>WP13 TOTI Line 2 Column E</v>
      </c>
      <c r="G176" s="644">
        <f>+'WP13 TOTI'!F39</f>
        <v>109744740.06999996</v>
      </c>
      <c r="H176" s="1062">
        <f>+'WP13 TOTI'!F39</f>
        <v>109744740.06999996</v>
      </c>
      <c r="J176" s="260"/>
      <c r="K176" s="260"/>
      <c r="L176" s="260"/>
    </row>
    <row r="177" spans="1:12" ht="15.6" customHeight="1">
      <c r="A177" s="74">
        <f t="shared" si="7"/>
        <v>116</v>
      </c>
      <c r="B177" s="114"/>
      <c r="C177" s="889" t="s">
        <v>556</v>
      </c>
      <c r="D177" s="9"/>
      <c r="E177" s="34" t="str">
        <f>"(Note "&amp;A$337&amp;")"</f>
        <v>(Note FF)</v>
      </c>
      <c r="F177" s="130" t="str">
        <f>+"WP02 Support Line "&amp;'WP02 Support'!A164&amp;" Column "&amp;'WP02 Support'!$D$5</f>
        <v>WP02 Support Line 53 Column C</v>
      </c>
      <c r="G177" s="455">
        <f>+'WP02 Support'!D164</f>
        <v>-418926.85</v>
      </c>
      <c r="H177" s="1098">
        <f>+'WP02 Support'!D164</f>
        <v>-418926.85</v>
      </c>
      <c r="I177" s="260"/>
      <c r="J177" s="260"/>
      <c r="K177" s="260"/>
      <c r="L177" s="260"/>
    </row>
    <row r="178" spans="1:12" ht="15.6" customHeight="1">
      <c r="A178" s="74">
        <f t="shared" si="7"/>
        <v>117</v>
      </c>
      <c r="B178" s="114"/>
      <c r="C178" s="890" t="s">
        <v>557</v>
      </c>
      <c r="D178" s="9"/>
      <c r="E178" s="34"/>
      <c r="F178" s="134" t="str">
        <f>"(Line "&amp;A176&amp;" + "&amp;A177&amp;")"</f>
        <v>(Line 115 + 116)</v>
      </c>
      <c r="G178" s="644">
        <f>+G176+G177</f>
        <v>109325813.21999997</v>
      </c>
      <c r="H178" s="1062">
        <f>+H176+H177</f>
        <v>109325813.21999997</v>
      </c>
      <c r="J178" s="260"/>
      <c r="K178" s="260"/>
      <c r="L178" s="260"/>
    </row>
    <row r="179" spans="1:12" ht="15.6" customHeight="1">
      <c r="A179" s="74">
        <f t="shared" si="7"/>
        <v>118</v>
      </c>
      <c r="B179" s="32"/>
      <c r="C179" s="56" t="str">
        <f>+B32</f>
        <v>Gross Plant Allocator</v>
      </c>
      <c r="D179" s="14"/>
      <c r="E179" s="32"/>
      <c r="F179" s="134" t="str">
        <f>"(Line "&amp;A$32&amp;")"</f>
        <v>(Line 16)</v>
      </c>
      <c r="G179" s="91">
        <f>+G$32</f>
        <v>0.15559412132471881</v>
      </c>
      <c r="H179" s="1072">
        <f>+H$32</f>
        <v>0.16653369040067945</v>
      </c>
      <c r="J179" s="260"/>
      <c r="K179" s="260"/>
      <c r="L179" s="260"/>
    </row>
    <row r="180" spans="1:12" ht="15.6" customHeight="1">
      <c r="A180" s="74">
        <f t="shared" si="7"/>
        <v>119</v>
      </c>
      <c r="B180" s="114"/>
      <c r="C180" s="1928" t="str">
        <f>+"Total Transmission Allocated "&amp;C178</f>
        <v>Total Transmission Allocated Total Plant Associated</v>
      </c>
      <c r="D180" s="1928"/>
      <c r="E180" s="34"/>
      <c r="F180" s="134" t="str">
        <f>"(Line "&amp;A178&amp;" * "&amp;A179&amp;")"</f>
        <v>(Line 117 * 118)</v>
      </c>
      <c r="G180" s="624">
        <f>+G178*G179</f>
        <v>17010453.846076224</v>
      </c>
      <c r="H180" s="1073">
        <f>+H178*H179</f>
        <v>18206431.131581984</v>
      </c>
      <c r="J180" s="260"/>
      <c r="K180" s="260"/>
      <c r="L180" s="260"/>
    </row>
    <row r="181" spans="1:12" ht="13.95" customHeight="1">
      <c r="A181" s="74">
        <f t="shared" si="7"/>
        <v>120</v>
      </c>
      <c r="B181" s="114"/>
      <c r="C181" s="9"/>
      <c r="D181" s="9"/>
      <c r="E181" s="34"/>
      <c r="F181" s="130"/>
      <c r="G181" s="644"/>
      <c r="H181" s="1062"/>
      <c r="J181" s="260"/>
      <c r="K181" s="260"/>
      <c r="L181" s="260"/>
    </row>
    <row r="182" spans="1:12" ht="15.6" customHeight="1">
      <c r="A182" s="74">
        <f t="shared" si="7"/>
        <v>121</v>
      </c>
      <c r="B182" s="114"/>
      <c r="C182" s="9" t="s">
        <v>142</v>
      </c>
      <c r="D182" s="9"/>
      <c r="E182" s="34"/>
      <c r="F182" s="130" t="str">
        <f>+"WP13 TOTI Line "&amp;'WP13 TOTI'!A$39&amp;" Column "&amp;'WP13 TOTI'!G$5</f>
        <v>WP13 TOTI Line 2 Column F</v>
      </c>
      <c r="G182" s="644">
        <f>+'WP13 TOTI'!G39</f>
        <v>20711906.120000008</v>
      </c>
      <c r="H182" s="1062">
        <f>+'WP13 TOTI'!G39</f>
        <v>20711906.120000008</v>
      </c>
      <c r="J182" s="260"/>
      <c r="K182" s="260"/>
      <c r="L182" s="260"/>
    </row>
    <row r="183" spans="1:12" s="260" customFormat="1" ht="15.6" customHeight="1">
      <c r="A183" s="111">
        <f t="shared" si="7"/>
        <v>122</v>
      </c>
      <c r="B183" s="49"/>
      <c r="C183" s="9" t="s">
        <v>110</v>
      </c>
      <c r="D183" s="9"/>
      <c r="E183" s="50"/>
      <c r="F183" s="130" t="str">
        <f>"(Line "&amp;A$24&amp;")"</f>
        <v>(Line 11)</v>
      </c>
      <c r="G183" s="250">
        <f>+G$24</f>
        <v>7.3273229645201082E-2</v>
      </c>
      <c r="H183" s="1068">
        <f>H$24</f>
        <v>7.3273229645201082E-2</v>
      </c>
    </row>
    <row r="184" spans="1:12" ht="15.6" customHeight="1">
      <c r="A184" s="74">
        <f t="shared" si="7"/>
        <v>123</v>
      </c>
      <c r="B184" s="114"/>
      <c r="C184" s="24" t="str">
        <f>+"Total Transmission Allocated "&amp;C182</f>
        <v>Total Transmission Allocated Labor</v>
      </c>
      <c r="D184" s="65"/>
      <c r="E184" s="73"/>
      <c r="F184" s="135" t="str">
        <f>"(Line "&amp;A182&amp;" * "&amp;A183&amp;")"</f>
        <v>(Line 121 * 122)</v>
      </c>
      <c r="G184" s="879">
        <f>+G182*G183</f>
        <v>1517628.2535206063</v>
      </c>
      <c r="H184" s="1074">
        <f>+H182*H183</f>
        <v>1517628.2535206063</v>
      </c>
      <c r="J184" s="260"/>
      <c r="K184" s="260"/>
      <c r="L184" s="260"/>
    </row>
    <row r="185" spans="1:12" s="1" customFormat="1" ht="15.6" customHeight="1" thickBot="1">
      <c r="A185" s="74">
        <f t="shared" si="7"/>
        <v>124</v>
      </c>
      <c r="B185" s="1945" t="s">
        <v>478</v>
      </c>
      <c r="C185" s="1945"/>
      <c r="D185" s="459"/>
      <c r="E185" s="161"/>
      <c r="F185" s="69" t="str">
        <f>"(Line "&amp;A174&amp;" + "&amp;A180&amp;" + "&amp;A184&amp;")"</f>
        <v>(Line 113 + 119 + 123)</v>
      </c>
      <c r="G185" s="586">
        <f>+G174+G180+G184</f>
        <v>18528082.099596832</v>
      </c>
      <c r="H185" s="1069">
        <f>+H174+H180+H184</f>
        <v>19724059.385102592</v>
      </c>
      <c r="J185" s="35"/>
      <c r="K185" s="35"/>
      <c r="L185" s="35"/>
    </row>
    <row r="186" spans="1:12" ht="13.95" customHeight="1" thickTop="1">
      <c r="A186" s="108"/>
      <c r="B186" s="6"/>
      <c r="C186" s="6"/>
      <c r="D186" s="6"/>
      <c r="E186" s="27"/>
      <c r="F186" s="133"/>
      <c r="G186" s="84"/>
      <c r="H186" s="1082"/>
      <c r="J186" s="260"/>
      <c r="K186" s="260"/>
      <c r="L186" s="260"/>
    </row>
    <row r="187" spans="1:12" ht="15.6" customHeight="1">
      <c r="A187" s="1937" t="s">
        <v>764</v>
      </c>
      <c r="B187" s="1938"/>
      <c r="C187" s="1938"/>
      <c r="D187" s="243"/>
      <c r="E187" s="244"/>
      <c r="F187" s="247"/>
      <c r="G187" s="241"/>
      <c r="H187" s="1099"/>
      <c r="J187" s="260"/>
      <c r="K187" s="260"/>
      <c r="L187" s="260"/>
    </row>
    <row r="188" spans="1:12" ht="15.6">
      <c r="A188" s="112"/>
      <c r="B188" s="7"/>
      <c r="C188" s="5"/>
      <c r="D188" s="9"/>
      <c r="E188" s="53"/>
      <c r="F188" s="132"/>
      <c r="G188" s="70"/>
      <c r="H188" s="1063"/>
      <c r="J188" s="260"/>
      <c r="K188" s="260"/>
      <c r="L188" s="260"/>
    </row>
    <row r="189" spans="1:12" ht="15.6" customHeight="1">
      <c r="A189" s="74">
        <f>+A185+1</f>
        <v>125</v>
      </c>
      <c r="B189" s="32"/>
      <c r="C189" s="1928" t="s">
        <v>765</v>
      </c>
      <c r="D189" s="1928"/>
      <c r="E189" s="157" t="s">
        <v>768</v>
      </c>
      <c r="F189" s="130"/>
      <c r="G189" s="208">
        <v>0</v>
      </c>
      <c r="H189" s="1076">
        <v>0</v>
      </c>
      <c r="J189" s="260"/>
      <c r="K189" s="260"/>
      <c r="L189" s="260"/>
    </row>
    <row r="190" spans="1:12" ht="15.6" customHeight="1">
      <c r="A190" s="74">
        <f>+A189+1</f>
        <v>126</v>
      </c>
      <c r="B190" s="32"/>
      <c r="C190" s="1928" t="s">
        <v>766</v>
      </c>
      <c r="D190" s="1928"/>
      <c r="E190" s="157" t="s">
        <v>768</v>
      </c>
      <c r="F190" s="130"/>
      <c r="G190" s="208">
        <v>0</v>
      </c>
      <c r="H190" s="1076">
        <v>0</v>
      </c>
      <c r="J190" s="260"/>
      <c r="K190" s="260"/>
      <c r="L190" s="260"/>
    </row>
    <row r="191" spans="1:12" ht="15.6" customHeight="1">
      <c r="A191" s="74">
        <f>+A190+1</f>
        <v>127</v>
      </c>
      <c r="B191" s="32"/>
      <c r="C191" s="9" t="s">
        <v>110</v>
      </c>
      <c r="D191" s="9"/>
      <c r="E191" s="50"/>
      <c r="F191" s="130" t="str">
        <f>"(Line "&amp;A$24&amp;")"</f>
        <v>(Line 11)</v>
      </c>
      <c r="G191" s="250">
        <f>+G$24</f>
        <v>7.3273229645201082E-2</v>
      </c>
      <c r="H191" s="1068">
        <f>H$24</f>
        <v>7.3273229645201082E-2</v>
      </c>
      <c r="J191" s="260"/>
      <c r="K191" s="260"/>
      <c r="L191" s="260"/>
    </row>
    <row r="192" spans="1:12" ht="15.6" customHeight="1">
      <c r="A192" s="74">
        <f>+A191+1</f>
        <v>128</v>
      </c>
      <c r="B192" s="32"/>
      <c r="C192" s="1950" t="str">
        <f>+"Total Allocated "&amp;C190</f>
        <v>Total Allocated (Gain) or Loss on Sales of General Plant Assets</v>
      </c>
      <c r="D192" s="1950"/>
      <c r="E192" s="73"/>
      <c r="F192" s="135" t="str">
        <f>"(Line "&amp;A190&amp;" * "&amp;A191&amp;")"</f>
        <v>(Line 126 * 127)</v>
      </c>
      <c r="G192" s="879">
        <f>+G190*G191</f>
        <v>0</v>
      </c>
      <c r="H192" s="1074">
        <f>+H190*H191</f>
        <v>0</v>
      </c>
      <c r="J192" s="260"/>
      <c r="K192" s="260"/>
      <c r="L192" s="260"/>
    </row>
    <row r="193" spans="1:12" ht="15.6" customHeight="1" thickBot="1">
      <c r="A193" s="74">
        <f>+A192+1</f>
        <v>129</v>
      </c>
      <c r="B193" s="1148" t="s">
        <v>767</v>
      </c>
      <c r="C193" s="1148"/>
      <c r="D193" s="459"/>
      <c r="E193" s="874" t="str">
        <f>"(Note "&amp;A$335&amp;")"</f>
        <v>(Note DD)</v>
      </c>
      <c r="F193" s="69" t="str">
        <f>"(Line "&amp;A189&amp;" + "&amp;A192&amp;")"</f>
        <v>(Line 125 + 128)</v>
      </c>
      <c r="G193" s="98">
        <f>+G189+G192</f>
        <v>0</v>
      </c>
      <c r="H193" s="1095">
        <f>+H189+H192</f>
        <v>0</v>
      </c>
      <c r="J193" s="260"/>
      <c r="K193" s="260"/>
      <c r="L193" s="260"/>
    </row>
    <row r="194" spans="1:12" ht="13.95" customHeight="1" thickTop="1">
      <c r="A194" s="108"/>
      <c r="B194" s="6"/>
      <c r="C194" s="6"/>
      <c r="D194" s="6"/>
      <c r="E194" s="27"/>
      <c r="F194" s="133"/>
      <c r="G194" s="648"/>
      <c r="H194" s="1085"/>
      <c r="J194" s="260"/>
      <c r="K194" s="260"/>
      <c r="L194" s="260"/>
    </row>
    <row r="195" spans="1:12" ht="15.6" customHeight="1">
      <c r="A195" s="1937" t="s">
        <v>90</v>
      </c>
      <c r="B195" s="1938"/>
      <c r="C195" s="1938"/>
      <c r="D195" s="243"/>
      <c r="E195" s="244"/>
      <c r="F195" s="245"/>
      <c r="G195" s="650"/>
      <c r="H195" s="1096"/>
      <c r="J195" s="260"/>
      <c r="K195" s="260"/>
      <c r="L195" s="260"/>
    </row>
    <row r="196" spans="1:12" ht="13.95" customHeight="1">
      <c r="A196" s="124"/>
      <c r="B196" s="32"/>
      <c r="C196" s="5"/>
      <c r="D196" s="9"/>
      <c r="E196" s="107"/>
      <c r="F196" s="141"/>
      <c r="G196" s="657"/>
      <c r="H196" s="1097"/>
      <c r="J196" s="260"/>
      <c r="K196" s="260"/>
      <c r="L196" s="260"/>
    </row>
    <row r="197" spans="1:12" ht="15.6" customHeight="1">
      <c r="A197" s="74">
        <f>+A193+1</f>
        <v>130</v>
      </c>
      <c r="B197" s="155" t="s">
        <v>456</v>
      </c>
      <c r="C197" s="155"/>
      <c r="D197" s="260"/>
      <c r="E197" s="34" t="str">
        <f>"(Notes "&amp;A$323&amp;" &amp; "&amp;A$339&amp;")"</f>
        <v>(Notes R &amp; HH)</v>
      </c>
      <c r="F197" s="991" t="str">
        <f>+"WP14 COC Line "&amp;'WP14 COC'!A12&amp;" Column "&amp;'WP14 COC'!Q5&amp;", Column O"</f>
        <v>WP14 COC Line 6 Column P, Column O</v>
      </c>
      <c r="G197" s="644">
        <f>+'WP14 COC'!$Q12</f>
        <v>5155912618.2453833</v>
      </c>
      <c r="H197" s="1062">
        <f>+'WP14 COC'!$P12</f>
        <v>5545704491.96</v>
      </c>
      <c r="J197" s="260"/>
      <c r="K197" s="260"/>
      <c r="L197" s="260"/>
    </row>
    <row r="198" spans="1:12" ht="15.6" customHeight="1">
      <c r="A198" s="74">
        <f>+A197+1</f>
        <v>131</v>
      </c>
      <c r="B198" s="155" t="s">
        <v>457</v>
      </c>
      <c r="C198" s="155"/>
      <c r="D198" s="260"/>
      <c r="E198" s="34" t="str">
        <f>"(Notes "&amp;A$323&amp;" &amp; "&amp;A$339&amp;")"</f>
        <v>(Notes R &amp; HH)</v>
      </c>
      <c r="F198" s="991" t="str">
        <f>+"WP14 COC Line "&amp;'WP14 COC'!A20&amp;" Column "&amp;'WP14 COC'!Q5&amp;", Column O"</f>
        <v>WP14 COC Line 14 Column P, Column O</v>
      </c>
      <c r="G198" s="644">
        <f>+'WP14 COC'!Q20</f>
        <v>5076596995.7415371</v>
      </c>
      <c r="H198" s="1062">
        <f>+'WP14 COC'!P20</f>
        <v>5455257243.6400003</v>
      </c>
      <c r="J198" s="260"/>
      <c r="K198" s="260"/>
      <c r="L198" s="260"/>
    </row>
    <row r="199" spans="1:12" ht="15.6" customHeight="1">
      <c r="A199" s="74">
        <f>+A198+1</f>
        <v>132</v>
      </c>
      <c r="B199" s="155" t="s">
        <v>308</v>
      </c>
      <c r="C199" s="155"/>
      <c r="D199" s="260"/>
      <c r="E199" s="34" t="str">
        <f>"(Notes "&amp;A$322&amp;" &amp; "&amp;A$323&amp;")"</f>
        <v>(Notes Q &amp; R)</v>
      </c>
      <c r="F199" s="991" t="str">
        <f>+"WP14 COC Line "&amp;'WP14 COC'!A30&amp;" Column O"</f>
        <v>WP14 COC Line 24 Column O</v>
      </c>
      <c r="G199" s="644">
        <f>'WP14 COC'!$P30</f>
        <v>254973645.98999998</v>
      </c>
      <c r="H199" s="1062">
        <f>'WP14 COC'!$P30</f>
        <v>254973645.98999998</v>
      </c>
      <c r="J199" s="260"/>
      <c r="K199" s="260"/>
      <c r="L199" s="260"/>
    </row>
    <row r="200" spans="1:12" ht="15.6" customHeight="1">
      <c r="A200" s="74">
        <f>+A199+1</f>
        <v>133</v>
      </c>
      <c r="B200" s="155" t="s">
        <v>70</v>
      </c>
      <c r="C200" s="155"/>
      <c r="D200" s="260"/>
      <c r="E200" s="34" t="str">
        <f>"(Note "&amp;A$339&amp;")"</f>
        <v>(Note HH)</v>
      </c>
      <c r="F200" s="991" t="str">
        <f>+"WP14 COC Line "&amp;'WP14 COC'!A39&amp;" Column P, Column O"</f>
        <v>WP14 COC Line 33 Column P, Column O</v>
      </c>
      <c r="G200" s="99">
        <f>+'WP14 COC'!Q39</f>
        <v>-7.6923072338104248E-3</v>
      </c>
      <c r="H200" s="1062">
        <f>+'WP14 COC'!P39</f>
        <v>0</v>
      </c>
      <c r="J200" s="260"/>
      <c r="K200" s="260"/>
      <c r="L200" s="260"/>
    </row>
    <row r="201" spans="1:12" ht="15.6" customHeight="1">
      <c r="A201" s="74">
        <f>+A200+1</f>
        <v>134</v>
      </c>
      <c r="B201" s="155" t="s">
        <v>43</v>
      </c>
      <c r="C201" s="891"/>
      <c r="D201" s="260"/>
      <c r="E201" s="1149"/>
      <c r="F201" s="991" t="str">
        <f>+"WP14 COC Line "&amp;'WP14 COC'!A41&amp;" Column O"</f>
        <v>WP14 COC Line 35 Column O</v>
      </c>
      <c r="G201" s="99">
        <f>+'WP14 COC'!P41</f>
        <v>0</v>
      </c>
      <c r="H201" s="1062">
        <f>+'WP14 COC'!P41</f>
        <v>0</v>
      </c>
      <c r="J201" s="260"/>
      <c r="K201" s="260"/>
      <c r="L201" s="260"/>
    </row>
    <row r="202" spans="1:12" ht="15.6" customHeight="1">
      <c r="A202" s="74">
        <f>+A201+1</f>
        <v>135</v>
      </c>
      <c r="B202" s="155" t="s">
        <v>309</v>
      </c>
      <c r="C202" s="155"/>
      <c r="D202" s="260"/>
      <c r="E202" s="34" t="str">
        <f>"(Note "&amp;A$339&amp;")"</f>
        <v>(Note HH)</v>
      </c>
      <c r="F202" s="991" t="str">
        <f>+"WP14 COC Line "&amp;'WP14 COC'!A48&amp;" Column P, Column O"</f>
        <v>WP14 COC Line 42 Column P, Column O</v>
      </c>
      <c r="G202" s="99">
        <f>+'WP14 COC'!Q48</f>
        <v>5042556519.6338472</v>
      </c>
      <c r="H202" s="1062">
        <f>+'WP14 COC'!P48</f>
        <v>5162556539.8600006</v>
      </c>
      <c r="J202" s="260"/>
      <c r="K202" s="260"/>
      <c r="L202" s="260"/>
    </row>
    <row r="203" spans="1:12" ht="13.95" customHeight="1">
      <c r="A203" s="74"/>
      <c r="B203" s="155"/>
      <c r="C203" s="155"/>
      <c r="D203" s="155"/>
      <c r="E203" s="155"/>
      <c r="F203" s="154"/>
      <c r="G203" s="156"/>
      <c r="H203" s="1100"/>
      <c r="J203" s="260"/>
      <c r="K203" s="260"/>
      <c r="L203" s="260"/>
    </row>
    <row r="204" spans="1:12" ht="15.6" customHeight="1">
      <c r="A204" s="74">
        <f>+A202+1</f>
        <v>136</v>
      </c>
      <c r="B204" s="15"/>
      <c r="C204" s="56" t="s">
        <v>280</v>
      </c>
      <c r="D204" s="58" t="s">
        <v>57</v>
      </c>
      <c r="E204" s="34"/>
      <c r="F204" s="254" t="str">
        <f>"(1 - (Line "&amp;A205&amp;" + Line "&amp;A206&amp;"))"</f>
        <v>(1 - (Line 137 + Line 138))</v>
      </c>
      <c r="G204" s="92">
        <f>IF((1-G205-G206)=1,0,1-G205-G206)</f>
        <v>0.5055575055965158</v>
      </c>
      <c r="H204" s="1101">
        <f>IF((1-H205-H206)=1,0,1-H205-H206)</f>
        <v>0.51789029754511307</v>
      </c>
      <c r="J204" s="260"/>
      <c r="K204" s="260"/>
      <c r="L204" s="260"/>
    </row>
    <row r="205" spans="1:12" ht="15.6" customHeight="1">
      <c r="A205" s="74">
        <f>+A204+1</f>
        <v>137</v>
      </c>
      <c r="B205" s="15"/>
      <c r="C205" s="56" t="s">
        <v>281</v>
      </c>
      <c r="D205" s="58" t="s">
        <v>70</v>
      </c>
      <c r="E205" s="34"/>
      <c r="F205" s="254" t="str">
        <f>"(Line "&amp;A200&amp;" / (Line "&amp;A$197&amp;" + Line "&amp;A$200&amp;" + Line "&amp;A$202&amp;"))"</f>
        <v>(Line 133 / (Line 130 + Line 133 + Line 135))</v>
      </c>
      <c r="G205" s="271">
        <f>IF((G197+G200+G202)=0,0,G200/(G197+G200+G202))</f>
        <v>-7.5426097091821377E-13</v>
      </c>
      <c r="H205" s="1102">
        <f>IF((H197+H200+H202)=0,0,H200/(H197+H200+H202))</f>
        <v>0</v>
      </c>
      <c r="J205" s="260"/>
      <c r="K205" s="260"/>
      <c r="L205" s="260"/>
    </row>
    <row r="206" spans="1:12" ht="15.6" customHeight="1">
      <c r="A206" s="74">
        <f>+A205+1</f>
        <v>138</v>
      </c>
      <c r="B206" s="15"/>
      <c r="C206" s="56" t="s">
        <v>282</v>
      </c>
      <c r="D206" s="58" t="s">
        <v>53</v>
      </c>
      <c r="E206" s="34"/>
      <c r="F206" s="254" t="str">
        <f>"(Line "&amp;A202&amp;" / (Line "&amp;A$197&amp;" + Line "&amp;A$200&amp;" + Line "&amp;A$202&amp;"))"</f>
        <v>(Line 135 / (Line 130 + Line 133 + Line 135))</v>
      </c>
      <c r="G206" s="271">
        <f>IF((G197+G200+G202)=0,0,G202/(G197+G200+G202))</f>
        <v>0.49444249440423854</v>
      </c>
      <c r="H206" s="1102">
        <f>IF((H197+H200+H202)=0,0,H202/(H197+H200+H202))</f>
        <v>0.48210970245488693</v>
      </c>
      <c r="J206" s="260"/>
      <c r="K206" s="260"/>
      <c r="L206" s="260"/>
    </row>
    <row r="207" spans="1:12" ht="13.95" customHeight="1">
      <c r="A207" s="74"/>
      <c r="B207" s="15"/>
      <c r="C207" s="157"/>
      <c r="D207" s="9"/>
      <c r="E207" s="34"/>
      <c r="F207" s="134"/>
      <c r="G207" s="532"/>
      <c r="H207" s="1102"/>
      <c r="J207" s="260"/>
      <c r="K207" s="260"/>
      <c r="L207" s="260"/>
    </row>
    <row r="208" spans="1:12" ht="31.95" customHeight="1">
      <c r="A208" s="235">
        <f>+A206+1</f>
        <v>139</v>
      </c>
      <c r="B208" s="236"/>
      <c r="C208" s="237" t="s">
        <v>127</v>
      </c>
      <c r="D208" s="1954" t="s">
        <v>521</v>
      </c>
      <c r="E208" s="1954"/>
      <c r="F208" s="248" t="str">
        <f>"(Line "&amp;A199&amp;" / Line "&amp;A198&amp;")"</f>
        <v>(Line 132 / Line 131)</v>
      </c>
      <c r="G208" s="1542">
        <f>IF(G198=0,0,G199/G198)</f>
        <v>5.0225307662570537E-2</v>
      </c>
      <c r="H208" s="1660">
        <f>IF(H198=0,0,H199/H198)</f>
        <v>4.6739069232209066E-2</v>
      </c>
      <c r="J208" s="260"/>
      <c r="K208" s="260"/>
      <c r="L208" s="260"/>
    </row>
    <row r="209" spans="1:12" ht="31.2" customHeight="1">
      <c r="A209" s="235">
        <f>+A208+1</f>
        <v>140</v>
      </c>
      <c r="B209" s="236"/>
      <c r="C209" s="237" t="s">
        <v>132</v>
      </c>
      <c r="D209" s="1955" t="s">
        <v>520</v>
      </c>
      <c r="E209" s="1955"/>
      <c r="F209" s="248" t="str">
        <f>"(Line "&amp;A201&amp;" / Line "&amp;A200&amp;")"</f>
        <v>(Line 134 / Line 133)</v>
      </c>
      <c r="G209" s="1542">
        <f>IF(G201=0,0,G201/G200)</f>
        <v>0</v>
      </c>
      <c r="H209" s="1630">
        <f>IF(H201=0,0,H201/H200)</f>
        <v>0</v>
      </c>
      <c r="J209" s="260"/>
      <c r="K209" s="260"/>
      <c r="L209" s="260"/>
    </row>
    <row r="210" spans="1:12" ht="15.6" customHeight="1">
      <c r="A210" s="74">
        <f>+A209+1</f>
        <v>141</v>
      </c>
      <c r="B210" s="15"/>
      <c r="C210" s="157" t="s">
        <v>128</v>
      </c>
      <c r="D210" s="58" t="s">
        <v>53</v>
      </c>
      <c r="E210" s="34" t="str">
        <f>"(Note "&amp;A315&amp;")"</f>
        <v>(Note J)</v>
      </c>
      <c r="F210" s="134"/>
      <c r="G210" s="207">
        <f>'App A Support'!D9</f>
        <v>0.11975081967213114</v>
      </c>
      <c r="H210" s="1103">
        <f>'App A Support'!B8</f>
        <v>0.1082</v>
      </c>
      <c r="J210" s="1738" t="s">
        <v>1892</v>
      </c>
      <c r="K210" s="260"/>
      <c r="L210" s="260"/>
    </row>
    <row r="211" spans="1:12" ht="13.95" customHeight="1">
      <c r="A211" s="74"/>
      <c r="B211" s="15"/>
      <c r="C211" s="157"/>
      <c r="D211" s="58"/>
      <c r="E211" s="34"/>
      <c r="F211" s="134"/>
      <c r="G211" s="92"/>
      <c r="H211" s="1101"/>
      <c r="J211" s="260"/>
      <c r="K211" s="260"/>
      <c r="L211" s="260"/>
    </row>
    <row r="212" spans="1:12" ht="15.6" customHeight="1">
      <c r="A212" s="74">
        <f>+A210+1</f>
        <v>142</v>
      </c>
      <c r="B212" s="32"/>
      <c r="C212" s="56" t="s">
        <v>129</v>
      </c>
      <c r="D212" s="58"/>
      <c r="E212" s="34"/>
      <c r="F212" s="134" t="str">
        <f>"(Line "&amp;A204&amp;" * "&amp;A208&amp;")"</f>
        <v>(Line 136 * 139)</v>
      </c>
      <c r="G212" s="92">
        <f t="shared" ref="G212:H214" si="8">+G204*G208</f>
        <v>2.5391781259706731E-2</v>
      </c>
      <c r="H212" s="1101">
        <f t="shared" si="8"/>
        <v>2.4205710471650391E-2</v>
      </c>
      <c r="J212" s="260"/>
      <c r="K212" s="260"/>
      <c r="L212" s="260"/>
    </row>
    <row r="213" spans="1:12" ht="15.6" customHeight="1">
      <c r="A213" s="74">
        <f>+A212+1</f>
        <v>143</v>
      </c>
      <c r="B213" s="32"/>
      <c r="C213" s="56" t="s">
        <v>134</v>
      </c>
      <c r="D213" s="58"/>
      <c r="E213" s="34"/>
      <c r="F213" s="134" t="str">
        <f>"(Line "&amp;A205&amp;" * "&amp;A209&amp;")"</f>
        <v>(Line 137 * 140)</v>
      </c>
      <c r="G213" s="92">
        <f t="shared" si="8"/>
        <v>0</v>
      </c>
      <c r="H213" s="1101">
        <f t="shared" si="8"/>
        <v>0</v>
      </c>
      <c r="J213" s="260"/>
      <c r="K213" s="260"/>
      <c r="L213" s="260"/>
    </row>
    <row r="214" spans="1:12" ht="15.6" customHeight="1">
      <c r="A214" s="74">
        <f>+A213+1</f>
        <v>144</v>
      </c>
      <c r="B214" s="26"/>
      <c r="C214" s="13" t="s">
        <v>130</v>
      </c>
      <c r="D214" s="46"/>
      <c r="E214" s="30"/>
      <c r="F214" s="135" t="str">
        <f>"(Line "&amp;A206&amp;" * "&amp;A210&amp;")"</f>
        <v>(Line 138 * 141)</v>
      </c>
      <c r="G214" s="252">
        <f t="shared" si="8"/>
        <v>5.920989398564068E-2</v>
      </c>
      <c r="H214" s="1104">
        <f t="shared" si="8"/>
        <v>5.2164269805618765E-2</v>
      </c>
      <c r="J214" s="260"/>
      <c r="K214" s="260"/>
      <c r="L214" s="260"/>
    </row>
    <row r="215" spans="1:12" s="1" customFormat="1" ht="15.6" customHeight="1">
      <c r="A215" s="105">
        <f>+A214+1</f>
        <v>145</v>
      </c>
      <c r="B215" s="11" t="s">
        <v>58</v>
      </c>
      <c r="C215" s="11"/>
      <c r="D215" s="20"/>
      <c r="E215" s="31"/>
      <c r="F215" s="134" t="str">
        <f>"(Line "&amp;A212&amp;" + Line "&amp;A213&amp;" + Line "&amp;A214&amp;")"</f>
        <v>(Line 142 + Line 143 + Line 144)</v>
      </c>
      <c r="G215" s="253">
        <f>SUM(G212:G214)</f>
        <v>8.460167524534741E-2</v>
      </c>
      <c r="H215" s="1105">
        <f>SUM(H212:H214)</f>
        <v>7.6369980277269156E-2</v>
      </c>
      <c r="J215" s="35"/>
      <c r="K215" s="35"/>
      <c r="L215" s="35"/>
    </row>
    <row r="216" spans="1:12" s="1" customFormat="1" ht="13.95" customHeight="1">
      <c r="A216" s="123"/>
      <c r="B216" s="62"/>
      <c r="C216" s="11"/>
      <c r="D216" s="20"/>
      <c r="E216" s="31"/>
      <c r="F216" s="145"/>
      <c r="G216" s="93"/>
      <c r="H216" s="1106"/>
      <c r="J216" s="35"/>
      <c r="K216" s="35"/>
      <c r="L216" s="35"/>
    </row>
    <row r="217" spans="1:12" ht="15.6" customHeight="1" thickBot="1">
      <c r="A217" s="105">
        <f>+A215+1</f>
        <v>146</v>
      </c>
      <c r="B217" s="1951" t="s">
        <v>93</v>
      </c>
      <c r="C217" s="1951"/>
      <c r="D217" s="1951"/>
      <c r="E217" s="188"/>
      <c r="F217" s="138" t="str">
        <f>"(Line "&amp;A120&amp;" * Line "&amp;A215&amp;")"</f>
        <v>(Line 74 * Line 145)</v>
      </c>
      <c r="G217" s="138">
        <f>+G120*G215</f>
        <v>156766778.91580802</v>
      </c>
      <c r="H217" s="1107">
        <f>+H120*H215</f>
        <v>162053334.94079268</v>
      </c>
      <c r="J217" s="260"/>
      <c r="K217" s="260"/>
      <c r="L217" s="260"/>
    </row>
    <row r="218" spans="1:12" ht="13.95" customHeight="1" thickTop="1">
      <c r="A218" s="105"/>
      <c r="B218" s="7"/>
      <c r="C218" s="52"/>
      <c r="D218" s="6"/>
      <c r="E218" s="27"/>
      <c r="F218" s="129"/>
      <c r="G218" s="94"/>
      <c r="H218" s="1108"/>
      <c r="J218" s="260"/>
      <c r="K218" s="260"/>
      <c r="L218" s="260"/>
    </row>
    <row r="219" spans="1:12" ht="15.6" customHeight="1">
      <c r="A219" s="1937" t="s">
        <v>21</v>
      </c>
      <c r="B219" s="1938"/>
      <c r="C219" s="1938"/>
      <c r="D219" s="243"/>
      <c r="E219" s="244"/>
      <c r="F219" s="245"/>
      <c r="G219" s="246"/>
      <c r="H219" s="1064"/>
      <c r="J219" s="260"/>
      <c r="K219" s="260"/>
      <c r="L219" s="260"/>
    </row>
    <row r="220" spans="1:12" ht="13.95" customHeight="1">
      <c r="A220" s="124"/>
      <c r="B220" s="7"/>
      <c r="C220" s="5"/>
      <c r="D220" s="9"/>
      <c r="E220" s="53"/>
      <c r="F220" s="132"/>
      <c r="G220" s="70"/>
      <c r="H220" s="1063"/>
      <c r="J220" s="260"/>
      <c r="K220" s="260"/>
      <c r="L220" s="260"/>
    </row>
    <row r="221" spans="1:12" ht="15.6" customHeight="1">
      <c r="A221" s="105" t="s">
        <v>65</v>
      </c>
      <c r="B221" s="1949" t="s">
        <v>94</v>
      </c>
      <c r="C221" s="1949"/>
      <c r="D221" s="6"/>
      <c r="E221" s="53"/>
      <c r="F221" s="129"/>
      <c r="G221" s="271"/>
      <c r="H221" s="1102"/>
      <c r="J221" s="260"/>
      <c r="K221" s="260"/>
      <c r="L221" s="260"/>
    </row>
    <row r="222" spans="1:12" ht="15.6" customHeight="1">
      <c r="A222" s="105">
        <f>+A217+1</f>
        <v>147</v>
      </c>
      <c r="B222" s="7"/>
      <c r="C222" s="6" t="s">
        <v>92</v>
      </c>
      <c r="D222" s="9"/>
      <c r="E222" s="34" t="str">
        <f>"(Note "&amp;A$314&amp;")"</f>
        <v>(Note I)</v>
      </c>
      <c r="F222" s="132"/>
      <c r="G222" s="697">
        <v>0.35</v>
      </c>
      <c r="H222" s="1770">
        <v>0.35</v>
      </c>
      <c r="J222" s="260"/>
      <c r="K222" s="260"/>
      <c r="L222" s="260"/>
    </row>
    <row r="223" spans="1:12" ht="15.6" customHeight="1">
      <c r="A223" s="105">
        <f>+A222+1</f>
        <v>148</v>
      </c>
      <c r="B223" s="7"/>
      <c r="C223" s="125" t="s">
        <v>91</v>
      </c>
      <c r="D223" s="272"/>
      <c r="E223" s="34" t="str">
        <f>"(Note "&amp;A$314&amp;")"</f>
        <v>(Note I)</v>
      </c>
      <c r="F223" s="132"/>
      <c r="G223" s="697">
        <v>0.08</v>
      </c>
      <c r="H223" s="1770">
        <v>0.08</v>
      </c>
      <c r="J223" s="260"/>
      <c r="K223" s="260"/>
      <c r="L223" s="260"/>
    </row>
    <row r="224" spans="1:12" ht="15.6" customHeight="1">
      <c r="A224" s="105">
        <f>+A223+1</f>
        <v>149</v>
      </c>
      <c r="B224" s="7"/>
      <c r="C224" s="1928" t="s">
        <v>519</v>
      </c>
      <c r="D224" s="1928"/>
      <c r="E224" s="34" t="str">
        <f>"(Note "&amp;A$314&amp;")"</f>
        <v>(Note I)</v>
      </c>
      <c r="F224" s="132"/>
      <c r="G224" s="697">
        <v>1</v>
      </c>
      <c r="H224" s="1770">
        <v>1</v>
      </c>
      <c r="J224" s="580"/>
      <c r="K224" s="260"/>
      <c r="L224" s="260"/>
    </row>
    <row r="225" spans="1:454" ht="15.6" customHeight="1">
      <c r="A225" s="105">
        <f>+A224+1</f>
        <v>150</v>
      </c>
      <c r="B225" s="7"/>
      <c r="C225" s="125" t="s">
        <v>24</v>
      </c>
      <c r="D225" s="984"/>
      <c r="E225" s="34"/>
      <c r="F225" s="132"/>
      <c r="G225" s="271">
        <f>IF(G222&gt;0,1-(((1-G223)*(1-G222))/(1-G223*G222*G224)),0)</f>
        <v>0.38477366255144019</v>
      </c>
      <c r="H225" s="1102">
        <f>IF(H222&gt;0,1-(((1-H223)*(1-H222))/(1-H223*H222*H224)),0)</f>
        <v>0.38477366255144019</v>
      </c>
      <c r="J225" s="580"/>
      <c r="K225" s="260"/>
      <c r="L225" s="260"/>
    </row>
    <row r="226" spans="1:454" ht="15.6" customHeight="1">
      <c r="A226" s="105">
        <f>+A225+1</f>
        <v>151</v>
      </c>
      <c r="B226" s="7"/>
      <c r="C226" s="125" t="s">
        <v>123</v>
      </c>
      <c r="D226" s="126"/>
      <c r="E226" s="27"/>
      <c r="F226" s="132"/>
      <c r="G226" s="95">
        <f>+G225/(1-G225)</f>
        <v>0.62541806020066848</v>
      </c>
      <c r="H226" s="1109">
        <f>+H225/(1-H225)</f>
        <v>0.62541806020066848</v>
      </c>
      <c r="J226" s="581"/>
      <c r="K226" s="260"/>
      <c r="L226" s="260"/>
    </row>
    <row r="227" spans="1:454" ht="13.95" customHeight="1">
      <c r="A227" s="105"/>
      <c r="B227" s="7"/>
      <c r="C227" s="6"/>
      <c r="D227" s="6"/>
      <c r="E227" s="127"/>
      <c r="F227" s="146"/>
      <c r="G227" s="96"/>
      <c r="H227" s="1110"/>
      <c r="J227" s="260"/>
      <c r="K227" s="260"/>
      <c r="L227" s="260"/>
    </row>
    <row r="228" spans="1:454" ht="15.6" customHeight="1">
      <c r="A228" s="105"/>
      <c r="B228" s="21" t="s">
        <v>472</v>
      </c>
      <c r="C228" s="52"/>
      <c r="E228" s="34" t="str">
        <f>"(Note "&amp;A$314&amp;")"</f>
        <v>(Note I)</v>
      </c>
      <c r="F228" s="129"/>
      <c r="G228" s="97"/>
      <c r="H228" s="1111"/>
      <c r="J228" s="260"/>
      <c r="K228" s="260"/>
      <c r="L228" s="260"/>
    </row>
    <row r="229" spans="1:454" ht="15.6" customHeight="1">
      <c r="A229" s="105">
        <f>+A226+1</f>
        <v>152</v>
      </c>
      <c r="B229" s="7"/>
      <c r="C229" s="58" t="s">
        <v>628</v>
      </c>
      <c r="D229" s="107" t="s">
        <v>497</v>
      </c>
      <c r="E229" s="34" t="str">
        <f>"(Note "&amp;$A$306&amp;")"</f>
        <v>(Note A)</v>
      </c>
      <c r="F229" s="893" t="s">
        <v>257</v>
      </c>
      <c r="G229" s="208">
        <v>-4759533</v>
      </c>
      <c r="H229" s="1076">
        <v>-4759533</v>
      </c>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260"/>
      <c r="AT229" s="260"/>
      <c r="AU229" s="260"/>
      <c r="AV229" s="260"/>
      <c r="AW229" s="260"/>
      <c r="AX229" s="260"/>
      <c r="AY229" s="260"/>
      <c r="AZ229" s="260"/>
      <c r="BA229" s="260"/>
      <c r="BB229" s="260"/>
      <c r="BC229" s="260"/>
      <c r="BD229" s="260"/>
      <c r="BE229" s="260"/>
      <c r="BF229" s="260"/>
      <c r="BG229" s="260"/>
      <c r="BH229" s="260"/>
      <c r="BI229" s="260"/>
      <c r="BJ229" s="260"/>
      <c r="BK229" s="260"/>
      <c r="BL229" s="260"/>
      <c r="BM229" s="260"/>
      <c r="BN229" s="260"/>
      <c r="BO229" s="260"/>
      <c r="BP229" s="260"/>
      <c r="BQ229" s="260"/>
      <c r="BR229" s="260"/>
      <c r="BS229" s="260"/>
      <c r="BT229" s="260"/>
      <c r="BU229" s="260"/>
      <c r="BV229" s="260"/>
      <c r="BW229" s="260"/>
      <c r="BX229" s="260"/>
      <c r="BY229" s="260"/>
      <c r="BZ229" s="260"/>
      <c r="CA229" s="260"/>
      <c r="CB229" s="260"/>
      <c r="CC229" s="260"/>
      <c r="CD229" s="260"/>
      <c r="CE229" s="260"/>
      <c r="CF229" s="260"/>
      <c r="CG229" s="260"/>
      <c r="CH229" s="260"/>
      <c r="CI229" s="260"/>
      <c r="CJ229" s="260"/>
      <c r="CK229" s="260"/>
      <c r="CL229" s="260"/>
      <c r="CM229" s="260"/>
      <c r="CN229" s="260"/>
      <c r="CO229" s="260"/>
      <c r="CP229" s="260"/>
      <c r="CQ229" s="260"/>
      <c r="CR229" s="260"/>
      <c r="CS229" s="260"/>
      <c r="CT229" s="260"/>
      <c r="CU229" s="260"/>
      <c r="CV229" s="260"/>
      <c r="CW229" s="260"/>
      <c r="CX229" s="260"/>
      <c r="CY229" s="260"/>
      <c r="CZ229" s="260"/>
      <c r="DA229" s="260"/>
      <c r="DB229" s="260"/>
      <c r="DC229" s="260"/>
      <c r="DD229" s="260"/>
      <c r="DE229" s="260"/>
      <c r="DF229" s="260"/>
      <c r="DG229" s="260"/>
      <c r="DH229" s="260"/>
      <c r="DI229" s="260"/>
      <c r="DJ229" s="260"/>
      <c r="DK229" s="260"/>
      <c r="DL229" s="260"/>
      <c r="DM229" s="260"/>
      <c r="DN229" s="260"/>
      <c r="DO229" s="260"/>
      <c r="DP229" s="260"/>
      <c r="DQ229" s="260"/>
      <c r="DR229" s="260"/>
      <c r="DS229" s="260"/>
      <c r="DT229" s="260"/>
      <c r="DU229" s="260"/>
      <c r="DV229" s="260"/>
      <c r="DW229" s="260"/>
      <c r="DX229" s="260"/>
      <c r="DY229" s="260"/>
      <c r="DZ229" s="260"/>
      <c r="EA229" s="260"/>
      <c r="EB229" s="260"/>
      <c r="EC229" s="260"/>
      <c r="ED229" s="260"/>
      <c r="EE229" s="260"/>
      <c r="EF229" s="260"/>
      <c r="EG229" s="260"/>
      <c r="EH229" s="260"/>
      <c r="EI229" s="260"/>
      <c r="EJ229" s="260"/>
      <c r="EK229" s="260"/>
      <c r="EL229" s="260"/>
      <c r="EM229" s="260"/>
      <c r="EN229" s="260"/>
      <c r="EO229" s="260"/>
      <c r="EP229" s="260"/>
      <c r="EQ229" s="260"/>
      <c r="ER229" s="260"/>
      <c r="ES229" s="260"/>
      <c r="ET229" s="260"/>
      <c r="EU229" s="260"/>
      <c r="EV229" s="260"/>
      <c r="EW229" s="260"/>
      <c r="EX229" s="260"/>
      <c r="EY229" s="260"/>
      <c r="EZ229" s="260"/>
      <c r="FA229" s="260"/>
      <c r="FB229" s="260"/>
      <c r="FC229" s="260"/>
      <c r="FD229" s="260"/>
      <c r="FE229" s="260"/>
      <c r="FF229" s="260"/>
      <c r="FG229" s="260"/>
      <c r="FH229" s="260"/>
      <c r="FI229" s="260"/>
      <c r="FJ229" s="260"/>
      <c r="FK229" s="260"/>
      <c r="FL229" s="260"/>
      <c r="FM229" s="260"/>
      <c r="FN229" s="260"/>
      <c r="FO229" s="260"/>
      <c r="FP229" s="260"/>
      <c r="FQ229" s="260"/>
      <c r="FR229" s="260"/>
      <c r="FS229" s="260"/>
      <c r="FT229" s="260"/>
      <c r="FU229" s="260"/>
      <c r="FV229" s="260"/>
      <c r="FW229" s="260"/>
      <c r="FX229" s="260"/>
      <c r="FY229" s="260"/>
      <c r="FZ229" s="260"/>
      <c r="GA229" s="260"/>
      <c r="GB229" s="260"/>
      <c r="GC229" s="260"/>
      <c r="GD229" s="260"/>
      <c r="GE229" s="260"/>
      <c r="GF229" s="260"/>
      <c r="GG229" s="260"/>
      <c r="GH229" s="260"/>
      <c r="GI229" s="260"/>
      <c r="GJ229" s="260"/>
      <c r="GK229" s="260"/>
      <c r="GL229" s="260"/>
      <c r="GM229" s="260"/>
      <c r="GN229" s="260"/>
      <c r="GO229" s="260"/>
      <c r="GP229" s="260"/>
      <c r="GQ229" s="260"/>
      <c r="GR229" s="260"/>
      <c r="GS229" s="260"/>
      <c r="GT229" s="260"/>
      <c r="GU229" s="260"/>
      <c r="GV229" s="260"/>
      <c r="GW229" s="260"/>
      <c r="GX229" s="260"/>
      <c r="GY229" s="260"/>
      <c r="GZ229" s="260"/>
      <c r="HA229" s="260"/>
      <c r="HB229" s="260"/>
      <c r="HC229" s="260"/>
      <c r="HD229" s="260"/>
      <c r="HE229" s="260"/>
      <c r="HF229" s="260"/>
      <c r="HG229" s="260"/>
      <c r="HH229" s="260"/>
      <c r="HI229" s="260"/>
      <c r="HJ229" s="260"/>
      <c r="HK229" s="260"/>
      <c r="HL229" s="260"/>
      <c r="HM229" s="260"/>
      <c r="HN229" s="260"/>
      <c r="HO229" s="260"/>
      <c r="HP229" s="260"/>
      <c r="HQ229" s="260"/>
      <c r="HR229" s="260"/>
      <c r="HS229" s="260"/>
      <c r="HT229" s="260"/>
      <c r="HU229" s="260"/>
      <c r="HV229" s="260"/>
      <c r="HW229" s="260"/>
      <c r="HX229" s="260"/>
      <c r="HY229" s="260"/>
      <c r="HZ229" s="260"/>
      <c r="IA229" s="260"/>
      <c r="IB229" s="260"/>
      <c r="IC229" s="260"/>
      <c r="ID229" s="260"/>
      <c r="IE229" s="260"/>
      <c r="IF229" s="260"/>
      <c r="IG229" s="260"/>
      <c r="IH229" s="260"/>
      <c r="II229" s="260"/>
      <c r="IJ229" s="260"/>
      <c r="IK229" s="260"/>
      <c r="IL229" s="260"/>
      <c r="IM229" s="260"/>
      <c r="IN229" s="260"/>
      <c r="IO229" s="260"/>
      <c r="IP229" s="260"/>
      <c r="IQ229" s="260"/>
      <c r="IR229" s="260"/>
      <c r="IS229" s="260"/>
      <c r="IT229" s="260"/>
      <c r="IU229" s="260"/>
      <c r="IV229" s="260"/>
      <c r="IW229" s="260"/>
      <c r="IX229" s="260"/>
      <c r="IY229" s="260"/>
      <c r="IZ229" s="260"/>
      <c r="JA229" s="260"/>
      <c r="JB229" s="260"/>
      <c r="JC229" s="260"/>
      <c r="JD229" s="260"/>
      <c r="JE229" s="260"/>
      <c r="JF229" s="260"/>
      <c r="JG229" s="260"/>
      <c r="JH229" s="260"/>
      <c r="JI229" s="260"/>
      <c r="JJ229" s="260"/>
      <c r="JK229" s="260"/>
      <c r="JL229" s="260"/>
      <c r="JM229" s="260"/>
      <c r="JN229" s="260"/>
      <c r="JO229" s="260"/>
      <c r="JP229" s="260"/>
      <c r="JQ229" s="260"/>
      <c r="JR229" s="260"/>
      <c r="JS229" s="260"/>
      <c r="JT229" s="260"/>
      <c r="JU229" s="260"/>
      <c r="JV229" s="260"/>
      <c r="JW229" s="260"/>
      <c r="JX229" s="260"/>
      <c r="JY229" s="260"/>
      <c r="JZ229" s="260"/>
      <c r="KA229" s="260"/>
      <c r="KB229" s="260"/>
      <c r="KC229" s="260"/>
      <c r="KD229" s="260"/>
      <c r="KE229" s="260"/>
      <c r="KF229" s="260"/>
      <c r="KG229" s="260"/>
      <c r="KH229" s="260"/>
      <c r="KI229" s="260"/>
      <c r="KJ229" s="260"/>
      <c r="KK229" s="260"/>
      <c r="KL229" s="260"/>
      <c r="KM229" s="260"/>
      <c r="KN229" s="260"/>
      <c r="KO229" s="260"/>
      <c r="KP229" s="260"/>
      <c r="KQ229" s="260"/>
      <c r="KR229" s="260"/>
      <c r="KS229" s="260"/>
      <c r="KT229" s="260"/>
      <c r="KU229" s="260"/>
      <c r="KV229" s="260"/>
      <c r="KW229" s="260"/>
      <c r="KX229" s="260"/>
      <c r="KY229" s="260"/>
      <c r="KZ229" s="260"/>
      <c r="LA229" s="260"/>
      <c r="LB229" s="260"/>
      <c r="LC229" s="260"/>
      <c r="LD229" s="260"/>
      <c r="LE229" s="260"/>
      <c r="LF229" s="260"/>
      <c r="LG229" s="260"/>
      <c r="LH229" s="260"/>
      <c r="LI229" s="260"/>
      <c r="LJ229" s="260"/>
      <c r="LK229" s="260"/>
      <c r="LL229" s="260"/>
      <c r="LM229" s="260"/>
      <c r="LN229" s="260"/>
      <c r="LO229" s="260"/>
      <c r="LP229" s="260"/>
      <c r="LQ229" s="260"/>
      <c r="LR229" s="260"/>
      <c r="LS229" s="260"/>
      <c r="LT229" s="260"/>
      <c r="LU229" s="260"/>
      <c r="LV229" s="260"/>
      <c r="LW229" s="260"/>
      <c r="LX229" s="260"/>
      <c r="LY229" s="260"/>
      <c r="LZ229" s="260"/>
      <c r="MA229" s="260"/>
      <c r="MB229" s="260"/>
      <c r="MC229" s="260"/>
      <c r="MD229" s="260"/>
      <c r="ME229" s="260"/>
      <c r="MF229" s="260"/>
      <c r="MG229" s="260"/>
      <c r="MH229" s="260"/>
      <c r="MI229" s="260"/>
      <c r="MJ229" s="260"/>
      <c r="MK229" s="260"/>
      <c r="ML229" s="260"/>
      <c r="MM229" s="260"/>
      <c r="MN229" s="260"/>
      <c r="MO229" s="260"/>
      <c r="MP229" s="260"/>
      <c r="MQ229" s="260"/>
      <c r="MR229" s="260"/>
      <c r="MS229" s="260"/>
      <c r="MT229" s="260"/>
      <c r="MU229" s="260"/>
      <c r="MV229" s="260"/>
      <c r="MW229" s="260"/>
      <c r="MX229" s="260"/>
      <c r="MY229" s="260"/>
      <c r="MZ229" s="260"/>
      <c r="NA229" s="260"/>
      <c r="NB229" s="260"/>
      <c r="NC229" s="260"/>
      <c r="ND229" s="260"/>
      <c r="NE229" s="260"/>
      <c r="NF229" s="260"/>
      <c r="NG229" s="260"/>
      <c r="NH229" s="260"/>
      <c r="NI229" s="260"/>
      <c r="NJ229" s="260"/>
      <c r="NK229" s="260"/>
      <c r="NL229" s="260"/>
      <c r="NM229" s="260"/>
      <c r="NN229" s="260"/>
      <c r="NO229" s="260"/>
      <c r="NP229" s="260"/>
      <c r="NQ229" s="260"/>
      <c r="NR229" s="260"/>
      <c r="NS229" s="260"/>
      <c r="NT229" s="260"/>
      <c r="NU229" s="260"/>
      <c r="NV229" s="260"/>
      <c r="NW229" s="260"/>
      <c r="NX229" s="260"/>
      <c r="NY229" s="260"/>
      <c r="NZ229" s="260"/>
      <c r="OA229" s="260"/>
      <c r="OB229" s="260"/>
      <c r="OC229" s="260"/>
      <c r="OD229" s="260"/>
      <c r="OE229" s="260"/>
      <c r="OF229" s="260"/>
      <c r="OG229" s="260"/>
      <c r="OH229" s="260"/>
      <c r="OI229" s="260"/>
      <c r="OJ229" s="260"/>
      <c r="OK229" s="260"/>
      <c r="OL229" s="260"/>
      <c r="OM229" s="260"/>
      <c r="ON229" s="260"/>
      <c r="OO229" s="260"/>
      <c r="OP229" s="260"/>
      <c r="OQ229" s="260"/>
      <c r="OR229" s="260"/>
      <c r="OS229" s="260"/>
      <c r="OT229" s="260"/>
      <c r="OU229" s="260"/>
      <c r="OV229" s="260"/>
      <c r="OW229" s="260"/>
      <c r="OX229" s="260"/>
      <c r="OY229" s="260"/>
      <c r="OZ229" s="260"/>
      <c r="PA229" s="260"/>
      <c r="PB229" s="260"/>
      <c r="PC229" s="260"/>
      <c r="PD229" s="260"/>
      <c r="PE229" s="260"/>
      <c r="PF229" s="260"/>
      <c r="PG229" s="260"/>
      <c r="PH229" s="260"/>
      <c r="PI229" s="260"/>
      <c r="PJ229" s="260"/>
      <c r="PK229" s="260"/>
      <c r="PL229" s="260"/>
      <c r="PM229" s="260"/>
      <c r="PN229" s="260"/>
      <c r="PO229" s="260"/>
      <c r="PP229" s="260"/>
      <c r="PQ229" s="260"/>
      <c r="PR229" s="260"/>
      <c r="PS229" s="260"/>
      <c r="PT229" s="260"/>
      <c r="PU229" s="260"/>
      <c r="PV229" s="260"/>
      <c r="PW229" s="260"/>
      <c r="PX229" s="260"/>
      <c r="PY229" s="260"/>
      <c r="PZ229" s="260"/>
      <c r="QA229" s="260"/>
      <c r="QB229" s="260"/>
      <c r="QC229" s="260"/>
      <c r="QD229" s="260"/>
      <c r="QE229" s="260"/>
      <c r="QF229" s="260"/>
      <c r="QG229" s="260"/>
      <c r="QH229" s="260"/>
      <c r="QI229" s="260"/>
      <c r="QJ229" s="260"/>
      <c r="QK229" s="260"/>
      <c r="QL229" s="260"/>
    </row>
    <row r="230" spans="1:454">
      <c r="A230" s="105" t="str">
        <f>+A$229&amp;"a"</f>
        <v>152a</v>
      </c>
      <c r="B230" s="7"/>
      <c r="C230" s="58" t="s">
        <v>1868</v>
      </c>
      <c r="D230" s="107" t="s">
        <v>497</v>
      </c>
      <c r="E230" s="34"/>
      <c r="F230" s="1721" t="str">
        <f>+"WP22 IT Adj Line "&amp;'WP22 IT Adj'!A$7&amp;" Column "&amp;'WP22 IT Adj'!B$5</f>
        <v>WP22 IT Adj Line 1 Column B</v>
      </c>
      <c r="G230" s="1722">
        <f>+'WP22 IT Adj'!$B7</f>
        <v>-2921459.05</v>
      </c>
      <c r="H230" s="1723">
        <f>+'WP22 IT Adj'!$B7</f>
        <v>-2921459.05</v>
      </c>
      <c r="J230" s="260" t="s">
        <v>1876</v>
      </c>
      <c r="K230" s="260"/>
      <c r="L230" s="260"/>
      <c r="M230" s="1724"/>
      <c r="N230" s="1724"/>
    </row>
    <row r="231" spans="1:454">
      <c r="A231" s="105" t="str">
        <f>+A$229&amp;"b"</f>
        <v>152b</v>
      </c>
      <c r="B231" s="7"/>
      <c r="C231" s="58" t="s">
        <v>1869</v>
      </c>
      <c r="D231" s="107"/>
      <c r="E231" s="34"/>
      <c r="F231" s="1721" t="str">
        <f>+"WP22 IT Adj Line "&amp;'WP22 IT Adj'!A$7&amp;" Column "&amp;'WP22 IT Adj'!C$5</f>
        <v>WP22 IT Adj Line 1 Column C</v>
      </c>
      <c r="G231" s="1725">
        <f>+'WP22 IT Adj'!$C7</f>
        <v>16827666.449999999</v>
      </c>
      <c r="H231" s="1726">
        <f>+'WP22 IT Adj'!$C7</f>
        <v>16827666.449999999</v>
      </c>
      <c r="J231" s="260" t="s">
        <v>1876</v>
      </c>
      <c r="K231" s="260"/>
      <c r="L231" s="260"/>
      <c r="M231" s="1724"/>
      <c r="N231" s="1724"/>
    </row>
    <row r="232" spans="1:454">
      <c r="A232" s="105" t="str">
        <f>+A$229&amp;"c"</f>
        <v>152c</v>
      </c>
      <c r="B232" s="7"/>
      <c r="C232" s="58" t="s">
        <v>1877</v>
      </c>
      <c r="D232" s="107"/>
      <c r="E232" s="34"/>
      <c r="F232" s="1721" t="str">
        <f>"Sum of (Line "&amp;A229&amp;" to Line "&amp;A231&amp;")"</f>
        <v>Sum of (Line 152 to Line 152b)</v>
      </c>
      <c r="G232" s="1722">
        <f>SUM(G229:G231)</f>
        <v>9146674.3999999985</v>
      </c>
      <c r="H232" s="1727">
        <f>SUM(H229:H231)</f>
        <v>9146674.3999999985</v>
      </c>
      <c r="J232" s="260" t="s">
        <v>1878</v>
      </c>
      <c r="K232" s="260"/>
      <c r="L232" s="260"/>
      <c r="M232" s="1724"/>
      <c r="N232" s="1724"/>
    </row>
    <row r="233" spans="1:454" ht="15.6" customHeight="1">
      <c r="A233" s="105">
        <f>+A229+1</f>
        <v>153</v>
      </c>
      <c r="B233" s="7"/>
      <c r="C233" s="58" t="s">
        <v>160</v>
      </c>
      <c r="D233" s="9"/>
      <c r="E233" s="7"/>
      <c r="F233" s="134" t="str">
        <f>"(1 / (1 - Line "&amp;A225&amp;"))"</f>
        <v>(1 / (1 - Line 150))</v>
      </c>
      <c r="G233" s="1346">
        <f>IF(G225=0,0,1/(1-G225))</f>
        <v>1.6254180602006685</v>
      </c>
      <c r="H233" s="1661">
        <f>IF(H225=0,0,1/(1-H225))</f>
        <v>1.6254180602006685</v>
      </c>
      <c r="J233" s="260"/>
      <c r="K233" s="260"/>
      <c r="L233" s="260"/>
      <c r="M233" s="260"/>
      <c r="N233" s="260"/>
      <c r="O233" s="260"/>
      <c r="P233" s="260"/>
      <c r="Q233" s="260"/>
      <c r="R233" s="260"/>
      <c r="S233" s="260"/>
      <c r="T233" s="260"/>
      <c r="U233" s="260"/>
      <c r="V233" s="260"/>
      <c r="W233" s="260"/>
      <c r="X233" s="260"/>
      <c r="Y233" s="260"/>
      <c r="Z233" s="260"/>
      <c r="AA233" s="260"/>
      <c r="AB233" s="260"/>
      <c r="AC233" s="260"/>
      <c r="AD233" s="260"/>
      <c r="AE233" s="260"/>
      <c r="AF233" s="260"/>
      <c r="AG233" s="260"/>
      <c r="AH233" s="260"/>
      <c r="AI233" s="260"/>
      <c r="AJ233" s="260"/>
      <c r="AK233" s="260"/>
      <c r="AL233" s="260"/>
      <c r="AM233" s="260"/>
      <c r="AN233" s="260"/>
      <c r="AO233" s="260"/>
      <c r="AP233" s="260"/>
      <c r="AQ233" s="260"/>
      <c r="AR233" s="260"/>
      <c r="AS233" s="260"/>
      <c r="AT233" s="260"/>
      <c r="AU233" s="260"/>
      <c r="AV233" s="260"/>
      <c r="AW233" s="260"/>
      <c r="AX233" s="260"/>
      <c r="AY233" s="260"/>
      <c r="AZ233" s="260"/>
      <c r="BA233" s="260"/>
      <c r="BB233" s="260"/>
      <c r="BC233" s="260"/>
      <c r="BD233" s="260"/>
      <c r="BE233" s="260"/>
      <c r="BF233" s="260"/>
      <c r="BG233" s="260"/>
      <c r="BH233" s="260"/>
      <c r="BI233" s="260"/>
      <c r="BJ233" s="260"/>
      <c r="BK233" s="260"/>
      <c r="BL233" s="260"/>
      <c r="BM233" s="260"/>
      <c r="BN233" s="260"/>
      <c r="BO233" s="260"/>
      <c r="BP233" s="260"/>
      <c r="BQ233" s="260"/>
      <c r="BR233" s="260"/>
      <c r="BS233" s="260"/>
      <c r="BT233" s="260"/>
      <c r="BU233" s="260"/>
      <c r="BV233" s="260"/>
      <c r="BW233" s="260"/>
      <c r="BX233" s="260"/>
      <c r="BY233" s="260"/>
      <c r="BZ233" s="260"/>
      <c r="CA233" s="260"/>
      <c r="CB233" s="260"/>
      <c r="CC233" s="260"/>
      <c r="CD233" s="260"/>
      <c r="CE233" s="260"/>
      <c r="CF233" s="260"/>
      <c r="CG233" s="260"/>
      <c r="CH233" s="260"/>
      <c r="CI233" s="260"/>
      <c r="CJ233" s="260"/>
      <c r="CK233" s="260"/>
      <c r="CL233" s="260"/>
      <c r="CM233" s="260"/>
      <c r="CN233" s="260"/>
      <c r="CO233" s="260"/>
      <c r="CP233" s="260"/>
      <c r="CQ233" s="260"/>
      <c r="CR233" s="260"/>
      <c r="CS233" s="260"/>
      <c r="CT233" s="260"/>
      <c r="CU233" s="260"/>
      <c r="CV233" s="260"/>
      <c r="CW233" s="260"/>
      <c r="CX233" s="260"/>
      <c r="CY233" s="260"/>
      <c r="CZ233" s="260"/>
      <c r="DA233" s="260"/>
      <c r="DB233" s="260"/>
      <c r="DC233" s="260"/>
      <c r="DD233" s="260"/>
      <c r="DE233" s="260"/>
      <c r="DF233" s="260"/>
      <c r="DG233" s="260"/>
      <c r="DH233" s="260"/>
      <c r="DI233" s="260"/>
      <c r="DJ233" s="260"/>
      <c r="DK233" s="260"/>
      <c r="DL233" s="260"/>
      <c r="DM233" s="260"/>
      <c r="DN233" s="260"/>
      <c r="DO233" s="260"/>
      <c r="DP233" s="260"/>
      <c r="DQ233" s="260"/>
      <c r="DR233" s="260"/>
      <c r="DS233" s="260"/>
      <c r="DT233" s="260"/>
      <c r="DU233" s="260"/>
      <c r="DV233" s="260"/>
      <c r="DW233" s="260"/>
      <c r="DX233" s="260"/>
      <c r="DY233" s="260"/>
      <c r="DZ233" s="260"/>
      <c r="EA233" s="260"/>
      <c r="EB233" s="260"/>
      <c r="EC233" s="260"/>
      <c r="ED233" s="260"/>
      <c r="EE233" s="260"/>
      <c r="EF233" s="260"/>
      <c r="EG233" s="260"/>
      <c r="EH233" s="260"/>
      <c r="EI233" s="260"/>
      <c r="EJ233" s="260"/>
      <c r="EK233" s="260"/>
      <c r="EL233" s="260"/>
      <c r="EM233" s="260"/>
      <c r="EN233" s="260"/>
      <c r="EO233" s="260"/>
      <c r="EP233" s="260"/>
      <c r="EQ233" s="260"/>
      <c r="ER233" s="260"/>
      <c r="ES233" s="260"/>
      <c r="ET233" s="260"/>
      <c r="EU233" s="260"/>
      <c r="EV233" s="260"/>
      <c r="EW233" s="260"/>
      <c r="EX233" s="260"/>
      <c r="EY233" s="260"/>
      <c r="EZ233" s="260"/>
      <c r="FA233" s="260"/>
      <c r="FB233" s="260"/>
      <c r="FC233" s="260"/>
      <c r="FD233" s="260"/>
      <c r="FE233" s="260"/>
      <c r="FF233" s="260"/>
      <c r="FG233" s="260"/>
      <c r="FH233" s="260"/>
      <c r="FI233" s="260"/>
      <c r="FJ233" s="260"/>
      <c r="FK233" s="260"/>
      <c r="FL233" s="260"/>
      <c r="FM233" s="260"/>
      <c r="FN233" s="260"/>
      <c r="FO233" s="260"/>
      <c r="FP233" s="260"/>
      <c r="FQ233" s="260"/>
      <c r="FR233" s="260"/>
      <c r="FS233" s="260"/>
      <c r="FT233" s="260"/>
      <c r="FU233" s="260"/>
      <c r="FV233" s="260"/>
      <c r="FW233" s="260"/>
      <c r="FX233" s="260"/>
      <c r="FY233" s="260"/>
      <c r="FZ233" s="260"/>
      <c r="GA233" s="260"/>
      <c r="GB233" s="260"/>
      <c r="GC233" s="260"/>
      <c r="GD233" s="260"/>
      <c r="GE233" s="260"/>
      <c r="GF233" s="260"/>
      <c r="GG233" s="260"/>
      <c r="GH233" s="260"/>
      <c r="GI233" s="260"/>
      <c r="GJ233" s="260"/>
      <c r="GK233" s="260"/>
      <c r="GL233" s="260"/>
      <c r="GM233" s="260"/>
      <c r="GN233" s="260"/>
      <c r="GO233" s="260"/>
      <c r="GP233" s="260"/>
      <c r="GQ233" s="260"/>
      <c r="GR233" s="260"/>
      <c r="GS233" s="260"/>
      <c r="GT233" s="260"/>
      <c r="GU233" s="260"/>
      <c r="GV233" s="260"/>
      <c r="GW233" s="260"/>
      <c r="GX233" s="260"/>
      <c r="GY233" s="260"/>
      <c r="GZ233" s="260"/>
      <c r="HA233" s="260"/>
      <c r="HB233" s="260"/>
      <c r="HC233" s="260"/>
      <c r="HD233" s="260"/>
      <c r="HE233" s="260"/>
      <c r="HF233" s="260"/>
      <c r="HG233" s="260"/>
      <c r="HH233" s="260"/>
      <c r="HI233" s="260"/>
      <c r="HJ233" s="260"/>
      <c r="HK233" s="260"/>
      <c r="HL233" s="260"/>
      <c r="HM233" s="260"/>
      <c r="HN233" s="260"/>
      <c r="HO233" s="260"/>
      <c r="HP233" s="260"/>
      <c r="HQ233" s="260"/>
      <c r="HR233" s="260"/>
      <c r="HS233" s="260"/>
      <c r="HT233" s="260"/>
      <c r="HU233" s="260"/>
      <c r="HV233" s="260"/>
      <c r="HW233" s="260"/>
      <c r="HX233" s="260"/>
      <c r="HY233" s="260"/>
      <c r="HZ233" s="260"/>
      <c r="IA233" s="260"/>
      <c r="IB233" s="260"/>
      <c r="IC233" s="260"/>
      <c r="ID233" s="260"/>
      <c r="IE233" s="260"/>
      <c r="IF233" s="260"/>
      <c r="IG233" s="260"/>
      <c r="IH233" s="260"/>
      <c r="II233" s="260"/>
      <c r="IJ233" s="260"/>
      <c r="IK233" s="260"/>
      <c r="IL233" s="260"/>
      <c r="IM233" s="260"/>
      <c r="IN233" s="260"/>
      <c r="IO233" s="260"/>
      <c r="IP233" s="260"/>
      <c r="IQ233" s="260"/>
      <c r="IR233" s="260"/>
      <c r="IS233" s="260"/>
      <c r="IT233" s="260"/>
      <c r="IU233" s="260"/>
      <c r="IV233" s="260"/>
      <c r="IW233" s="260"/>
      <c r="IX233" s="260"/>
      <c r="IY233" s="260"/>
      <c r="IZ233" s="260"/>
      <c r="JA233" s="260"/>
      <c r="JB233" s="260"/>
      <c r="JC233" s="260"/>
      <c r="JD233" s="260"/>
      <c r="JE233" s="260"/>
      <c r="JF233" s="260"/>
      <c r="JG233" s="260"/>
      <c r="JH233" s="260"/>
      <c r="JI233" s="260"/>
      <c r="JJ233" s="260"/>
      <c r="JK233" s="260"/>
      <c r="JL233" s="260"/>
      <c r="JM233" s="260"/>
      <c r="JN233" s="260"/>
      <c r="JO233" s="260"/>
      <c r="JP233" s="260"/>
      <c r="JQ233" s="260"/>
      <c r="JR233" s="260"/>
      <c r="JS233" s="260"/>
      <c r="JT233" s="260"/>
      <c r="JU233" s="260"/>
      <c r="JV233" s="260"/>
      <c r="JW233" s="260"/>
      <c r="JX233" s="260"/>
      <c r="JY233" s="260"/>
      <c r="JZ233" s="260"/>
      <c r="KA233" s="260"/>
      <c r="KB233" s="260"/>
      <c r="KC233" s="260"/>
      <c r="KD233" s="260"/>
      <c r="KE233" s="260"/>
      <c r="KF233" s="260"/>
      <c r="KG233" s="260"/>
      <c r="KH233" s="260"/>
      <c r="KI233" s="260"/>
      <c r="KJ233" s="260"/>
      <c r="KK233" s="260"/>
      <c r="KL233" s="260"/>
      <c r="KM233" s="260"/>
      <c r="KN233" s="260"/>
      <c r="KO233" s="260"/>
      <c r="KP233" s="260"/>
      <c r="KQ233" s="260"/>
      <c r="KR233" s="260"/>
      <c r="KS233" s="260"/>
      <c r="KT233" s="260"/>
      <c r="KU233" s="260"/>
      <c r="KV233" s="260"/>
      <c r="KW233" s="260"/>
      <c r="KX233" s="260"/>
      <c r="KY233" s="260"/>
      <c r="KZ233" s="260"/>
      <c r="LA233" s="260"/>
      <c r="LB233" s="260"/>
      <c r="LC233" s="260"/>
      <c r="LD233" s="260"/>
      <c r="LE233" s="260"/>
      <c r="LF233" s="260"/>
      <c r="LG233" s="260"/>
      <c r="LH233" s="260"/>
      <c r="LI233" s="260"/>
      <c r="LJ233" s="260"/>
      <c r="LK233" s="260"/>
      <c r="LL233" s="260"/>
      <c r="LM233" s="260"/>
      <c r="LN233" s="260"/>
      <c r="LO233" s="260"/>
      <c r="LP233" s="260"/>
      <c r="LQ233" s="260"/>
      <c r="LR233" s="260"/>
      <c r="LS233" s="260"/>
      <c r="LT233" s="260"/>
      <c r="LU233" s="260"/>
      <c r="LV233" s="260"/>
      <c r="LW233" s="260"/>
      <c r="LX233" s="260"/>
      <c r="LY233" s="260"/>
      <c r="LZ233" s="260"/>
      <c r="MA233" s="260"/>
      <c r="MB233" s="260"/>
      <c r="MC233" s="260"/>
      <c r="MD233" s="260"/>
      <c r="ME233" s="260"/>
      <c r="MF233" s="260"/>
      <c r="MG233" s="260"/>
      <c r="MH233" s="260"/>
      <c r="MI233" s="260"/>
      <c r="MJ233" s="260"/>
      <c r="MK233" s="260"/>
      <c r="ML233" s="260"/>
      <c r="MM233" s="260"/>
      <c r="MN233" s="260"/>
      <c r="MO233" s="260"/>
      <c r="MP233" s="260"/>
      <c r="MQ233" s="260"/>
      <c r="MR233" s="260"/>
      <c r="MS233" s="260"/>
      <c r="MT233" s="260"/>
      <c r="MU233" s="260"/>
      <c r="MV233" s="260"/>
      <c r="MW233" s="260"/>
      <c r="MX233" s="260"/>
      <c r="MY233" s="260"/>
      <c r="MZ233" s="260"/>
      <c r="NA233" s="260"/>
      <c r="NB233" s="260"/>
      <c r="NC233" s="260"/>
      <c r="ND233" s="260"/>
      <c r="NE233" s="260"/>
      <c r="NF233" s="260"/>
      <c r="NG233" s="260"/>
      <c r="NH233" s="260"/>
      <c r="NI233" s="260"/>
      <c r="NJ233" s="260"/>
      <c r="NK233" s="260"/>
      <c r="NL233" s="260"/>
      <c r="NM233" s="260"/>
      <c r="NN233" s="260"/>
      <c r="NO233" s="260"/>
      <c r="NP233" s="260"/>
      <c r="NQ233" s="260"/>
      <c r="NR233" s="260"/>
      <c r="NS233" s="260"/>
      <c r="NT233" s="260"/>
      <c r="NU233" s="260"/>
      <c r="NV233" s="260"/>
      <c r="NW233" s="260"/>
      <c r="NX233" s="260"/>
      <c r="NY233" s="260"/>
      <c r="NZ233" s="260"/>
      <c r="OA233" s="260"/>
      <c r="OB233" s="260"/>
      <c r="OC233" s="260"/>
      <c r="OD233" s="260"/>
      <c r="OE233" s="260"/>
      <c r="OF233" s="260"/>
      <c r="OG233" s="260"/>
      <c r="OH233" s="260"/>
      <c r="OI233" s="260"/>
      <c r="OJ233" s="260"/>
      <c r="OK233" s="260"/>
      <c r="OL233" s="260"/>
      <c r="OM233" s="260"/>
      <c r="ON233" s="260"/>
      <c r="OO233" s="260"/>
      <c r="OP233" s="260"/>
      <c r="OQ233" s="260"/>
      <c r="OR233" s="260"/>
      <c r="OS233" s="260"/>
      <c r="OT233" s="260"/>
      <c r="OU233" s="260"/>
      <c r="OV233" s="260"/>
      <c r="OW233" s="260"/>
      <c r="OX233" s="260"/>
      <c r="OY233" s="260"/>
      <c r="OZ233" s="260"/>
      <c r="PA233" s="260"/>
      <c r="PB233" s="260"/>
      <c r="PC233" s="260"/>
      <c r="PD233" s="260"/>
      <c r="PE233" s="260"/>
      <c r="PF233" s="260"/>
      <c r="PG233" s="260"/>
      <c r="PH233" s="260"/>
      <c r="PI233" s="260"/>
      <c r="PJ233" s="260"/>
      <c r="PK233" s="260"/>
      <c r="PL233" s="260"/>
      <c r="PM233" s="260"/>
      <c r="PN233" s="260"/>
      <c r="PO233" s="260"/>
      <c r="PP233" s="260"/>
      <c r="PQ233" s="260"/>
      <c r="PR233" s="260"/>
      <c r="PS233" s="260"/>
      <c r="PT233" s="260"/>
      <c r="PU233" s="260"/>
      <c r="PV233" s="260"/>
      <c r="PW233" s="260"/>
      <c r="PX233" s="260"/>
      <c r="PY233" s="260"/>
      <c r="PZ233" s="260"/>
      <c r="QA233" s="260"/>
      <c r="QB233" s="260"/>
      <c r="QC233" s="260"/>
      <c r="QD233" s="260"/>
      <c r="QE233" s="260"/>
      <c r="QF233" s="260"/>
      <c r="QG233" s="260"/>
      <c r="QH233" s="260"/>
      <c r="QI233" s="260"/>
      <c r="QJ233" s="260"/>
      <c r="QK233" s="260"/>
      <c r="QL233" s="260"/>
    </row>
    <row r="234" spans="1:454" ht="15.6" customHeight="1">
      <c r="A234" s="105">
        <f>+A233+1</f>
        <v>154</v>
      </c>
      <c r="B234" s="7"/>
      <c r="C234" s="52" t="s">
        <v>88</v>
      </c>
      <c r="D234" s="12"/>
      <c r="E234" s="26"/>
      <c r="F234" s="137" t="str">
        <f>"(Line "&amp;A$35&amp;")"</f>
        <v>(Line 18)</v>
      </c>
      <c r="G234" s="90">
        <f>+G35</f>
        <v>0.18417846586322134</v>
      </c>
      <c r="H234" s="1078">
        <f>+H35</f>
        <v>0.20063605654126818</v>
      </c>
      <c r="J234" s="260"/>
      <c r="K234" s="260"/>
      <c r="L234" s="260"/>
    </row>
    <row r="235" spans="1:454" ht="16.8">
      <c r="A235" s="105">
        <f>+A234+1</f>
        <v>155</v>
      </c>
      <c r="B235" s="7"/>
      <c r="C235" s="1942" t="s">
        <v>1879</v>
      </c>
      <c r="D235" s="1943"/>
      <c r="E235" s="34"/>
      <c r="F235" s="1728" t="str">
        <f>"(Line "&amp;A232&amp;" * Line "&amp;A233&amp;" * Line "&amp;A234&amp;")"</f>
        <v>(Line 152c * Line 153 * Line 154)</v>
      </c>
      <c r="G235" s="1729">
        <f>+G232*G233*G234</f>
        <v>2738212.5182234328</v>
      </c>
      <c r="H235" s="1773">
        <f>+H232*H233*H234</f>
        <v>2982890.3126833551</v>
      </c>
      <c r="J235" s="260" t="s">
        <v>1880</v>
      </c>
      <c r="K235" s="260"/>
      <c r="L235" s="260"/>
    </row>
    <row r="236" spans="1:454" ht="13.95" customHeight="1">
      <c r="A236" s="105"/>
      <c r="B236" s="7"/>
      <c r="C236" s="25"/>
      <c r="D236" s="9"/>
      <c r="E236" s="32"/>
      <c r="F236" s="147"/>
      <c r="G236" s="1347"/>
      <c r="H236" s="1348"/>
      <c r="J236" s="260"/>
      <c r="K236" s="260"/>
      <c r="L236" s="260"/>
    </row>
    <row r="237" spans="1:454" ht="15.6" customHeight="1">
      <c r="A237" s="105">
        <f>+A235+1</f>
        <v>156</v>
      </c>
      <c r="B237" s="66" t="s">
        <v>108</v>
      </c>
      <c r="C237" s="10"/>
      <c r="D237" s="1921" t="s">
        <v>515</v>
      </c>
      <c r="E237" s="1921"/>
      <c r="F237" s="1923" t="str">
        <f>"[Line "&amp;A226&amp;" * Line "&amp;A217&amp;" * (1 - (Line "&amp;A212&amp;" / Line "&amp;A215&amp;"))]"</f>
        <v>[Line 151 * Line 146 * (1 - (Line 142 / Line 145))]</v>
      </c>
      <c r="G237" s="71">
        <f>IF(G215=0,0,+G226*(1-G212/G215)*G217)</f>
        <v>68618271.486298516</v>
      </c>
      <c r="H237" s="1067">
        <f>IF(H215=0,0,+H226*(1-H212/H215)*H217)</f>
        <v>69227531.388247713</v>
      </c>
      <c r="J237" s="260"/>
      <c r="K237" s="260"/>
      <c r="L237" s="260"/>
    </row>
    <row r="238" spans="1:454">
      <c r="A238" s="105"/>
      <c r="B238" s="7"/>
      <c r="C238" s="8"/>
      <c r="D238" s="1922"/>
      <c r="E238" s="1922"/>
      <c r="F238" s="1924"/>
      <c r="G238" s="659"/>
      <c r="H238" s="1112"/>
      <c r="J238" s="260"/>
      <c r="K238" s="260"/>
      <c r="L238" s="260"/>
    </row>
    <row r="239" spans="1:454" ht="15.6" customHeight="1" thickBot="1">
      <c r="A239" s="105">
        <f>+A237+1</f>
        <v>157</v>
      </c>
      <c r="B239" s="17" t="s">
        <v>50</v>
      </c>
      <c r="C239" s="17"/>
      <c r="D239" s="16"/>
      <c r="E239" s="28"/>
      <c r="F239" s="138" t="str">
        <f>"(Line "&amp;A235&amp;" + Line "&amp;A237&amp;")"</f>
        <v>(Line 155 + Line 156)</v>
      </c>
      <c r="G239" s="98">
        <f>+G237+G235</f>
        <v>71356484.004521951</v>
      </c>
      <c r="H239" s="1095">
        <f>+H237+H235</f>
        <v>72210421.700931072</v>
      </c>
      <c r="J239" s="260"/>
      <c r="K239" s="260"/>
      <c r="L239" s="260"/>
    </row>
    <row r="240" spans="1:454" ht="13.95" customHeight="1" thickTop="1">
      <c r="A240" s="105"/>
      <c r="B240" s="7"/>
      <c r="C240" s="59"/>
      <c r="D240" s="6"/>
      <c r="E240" s="27"/>
      <c r="F240" s="139"/>
      <c r="G240" s="624"/>
      <c r="H240" s="1073"/>
      <c r="J240" s="260"/>
      <c r="K240" s="260"/>
      <c r="L240" s="260"/>
    </row>
    <row r="241" spans="1:12" s="255" customFormat="1" ht="15.6" customHeight="1">
      <c r="A241" s="1053" t="s">
        <v>491</v>
      </c>
      <c r="B241" s="242"/>
      <c r="C241" s="243"/>
      <c r="D241" s="243"/>
      <c r="E241" s="244"/>
      <c r="F241" s="245"/>
      <c r="G241" s="650"/>
      <c r="H241" s="1096"/>
      <c r="J241" s="256"/>
      <c r="K241" s="256"/>
      <c r="L241" s="256"/>
    </row>
    <row r="242" spans="1:12" ht="13.95" customHeight="1">
      <c r="A242" s="108"/>
      <c r="B242" s="10"/>
      <c r="C242" s="10"/>
      <c r="D242" s="10"/>
      <c r="E242" s="27"/>
      <c r="F242" s="133"/>
      <c r="G242" s="648"/>
      <c r="H242" s="1085"/>
      <c r="J242" s="260"/>
      <c r="K242" s="260"/>
      <c r="L242" s="260"/>
    </row>
    <row r="243" spans="1:12" ht="15.6" customHeight="1">
      <c r="A243" s="108"/>
      <c r="B243" s="66" t="s">
        <v>51</v>
      </c>
      <c r="C243" s="10"/>
      <c r="D243" s="10"/>
      <c r="E243" s="27"/>
      <c r="F243" s="133"/>
      <c r="G243" s="648"/>
      <c r="H243" s="1085"/>
      <c r="J243" s="260"/>
      <c r="K243" s="260"/>
      <c r="L243" s="260"/>
    </row>
    <row r="244" spans="1:12" ht="15.6" customHeight="1">
      <c r="A244" s="111">
        <f>+A239+1</f>
        <v>158</v>
      </c>
      <c r="B244" s="15"/>
      <c r="C244" s="1931" t="str">
        <f>+B63</f>
        <v>TOTAL Net Property, Plant &amp; Equipment - Transmission</v>
      </c>
      <c r="D244" s="1931"/>
      <c r="E244" s="34"/>
      <c r="F244" s="129" t="str">
        <f>"(Line "&amp;A63&amp;")"</f>
        <v>(Line 35)</v>
      </c>
      <c r="G244" s="648">
        <f>+G63</f>
        <v>1787274565.3116651</v>
      </c>
      <c r="H244" s="1085">
        <f>+H63</f>
        <v>2012121675.7860842</v>
      </c>
      <c r="J244" s="260"/>
      <c r="K244" s="260"/>
      <c r="L244" s="260"/>
    </row>
    <row r="245" spans="1:12" ht="15.6" customHeight="1">
      <c r="A245" s="74">
        <f>+A244+1</f>
        <v>159</v>
      </c>
      <c r="B245" s="15"/>
      <c r="C245" s="15" t="s">
        <v>104</v>
      </c>
      <c r="D245" s="15"/>
      <c r="E245" s="34"/>
      <c r="F245" s="137" t="str">
        <f>"(Line "&amp;A118&amp;")"</f>
        <v>(Line 73)</v>
      </c>
      <c r="G245" s="648">
        <f>+G118</f>
        <v>65723953.466829903</v>
      </c>
      <c r="H245" s="1085">
        <f>+H118</f>
        <v>109829048.20835954</v>
      </c>
      <c r="J245" s="260"/>
      <c r="K245" s="260"/>
      <c r="L245" s="260"/>
    </row>
    <row r="246" spans="1:12" ht="15.6" customHeight="1">
      <c r="A246" s="74">
        <f>+A245+1</f>
        <v>160</v>
      </c>
      <c r="B246" s="32"/>
      <c r="C246" s="285" t="s">
        <v>107</v>
      </c>
      <c r="D246" s="286"/>
      <c r="E246" s="460"/>
      <c r="F246" s="129" t="str">
        <f>"(Line "&amp;A120&amp;")"</f>
        <v>(Line 74)</v>
      </c>
      <c r="G246" s="660">
        <f>+G120</f>
        <v>1852998518.7784951</v>
      </c>
      <c r="H246" s="1113">
        <f>+H120</f>
        <v>2121950723.9944437</v>
      </c>
      <c r="J246" s="260"/>
      <c r="K246" s="260"/>
      <c r="L246" s="260"/>
    </row>
    <row r="247" spans="1:12" ht="13.95" customHeight="1">
      <c r="A247" s="74"/>
      <c r="B247" s="32"/>
      <c r="C247" s="58"/>
      <c r="D247" s="9"/>
      <c r="E247" s="107"/>
      <c r="F247" s="132"/>
      <c r="G247" s="648"/>
      <c r="H247" s="1085"/>
      <c r="J247" s="260"/>
      <c r="K247" s="260"/>
      <c r="L247" s="260"/>
    </row>
    <row r="248" spans="1:12" ht="15.6" customHeight="1">
      <c r="A248" s="74">
        <f>+A246+1</f>
        <v>161</v>
      </c>
      <c r="B248" s="9"/>
      <c r="C248" s="58" t="s">
        <v>126</v>
      </c>
      <c r="D248" s="9"/>
      <c r="E248" s="34"/>
      <c r="F248" s="129" t="str">
        <f>"(Line "&amp;A156&amp;")"</f>
        <v>(Line 102)</v>
      </c>
      <c r="G248" s="648">
        <f>+G156</f>
        <v>57688114.757164702</v>
      </c>
      <c r="H248" s="1085">
        <f>+H156</f>
        <v>57941855.569883123</v>
      </c>
      <c r="J248" s="260"/>
      <c r="K248" s="260"/>
      <c r="L248" s="260"/>
    </row>
    <row r="249" spans="1:12" ht="15.6" customHeight="1">
      <c r="A249" s="74">
        <f t="shared" ref="A249:A255" si="9">+A248+1</f>
        <v>162</v>
      </c>
      <c r="B249" s="9"/>
      <c r="C249" s="56" t="s">
        <v>95</v>
      </c>
      <c r="D249" s="9"/>
      <c r="E249" s="34"/>
      <c r="F249" s="129" t="str">
        <f>"(Line "&amp;A170&amp;")"</f>
        <v>(Line 112)</v>
      </c>
      <c r="G249" s="648">
        <f>+G170</f>
        <v>51809756.769065529</v>
      </c>
      <c r="H249" s="1085">
        <f>+H170</f>
        <v>51809756.769065529</v>
      </c>
      <c r="J249" s="260"/>
      <c r="K249" s="260"/>
      <c r="L249" s="260"/>
    </row>
    <row r="250" spans="1:12" ht="15.6" customHeight="1">
      <c r="A250" s="74">
        <f t="shared" si="9"/>
        <v>163</v>
      </c>
      <c r="B250" s="32"/>
      <c r="C250" s="58" t="s">
        <v>52</v>
      </c>
      <c r="D250" s="9"/>
      <c r="E250" s="107"/>
      <c r="F250" s="134" t="str">
        <f>"(Line "&amp;A185&amp;")"</f>
        <v>(Line 124)</v>
      </c>
      <c r="G250" s="648">
        <f>+G185</f>
        <v>18528082.099596832</v>
      </c>
      <c r="H250" s="1085">
        <f>+H185</f>
        <v>19724059.385102592</v>
      </c>
      <c r="J250" s="260"/>
      <c r="K250" s="260"/>
      <c r="L250" s="260"/>
    </row>
    <row r="251" spans="1:12" ht="15.6" customHeight="1">
      <c r="A251" s="74">
        <f t="shared" si="9"/>
        <v>164</v>
      </c>
      <c r="B251" s="32"/>
      <c r="C251" s="58" t="s">
        <v>764</v>
      </c>
      <c r="D251" s="9"/>
      <c r="E251" s="107"/>
      <c r="F251" s="134" t="str">
        <f>"(Line "&amp;A193&amp;")"</f>
        <v>(Line 129)</v>
      </c>
      <c r="G251" s="644">
        <f>G193</f>
        <v>0</v>
      </c>
      <c r="H251" s="1062">
        <f>H193</f>
        <v>0</v>
      </c>
      <c r="I251" s="955"/>
      <c r="J251" s="260"/>
      <c r="K251" s="260"/>
      <c r="L251" s="260"/>
    </row>
    <row r="252" spans="1:12" ht="15.6" customHeight="1">
      <c r="A252" s="74">
        <f t="shared" si="9"/>
        <v>165</v>
      </c>
      <c r="B252" s="32"/>
      <c r="C252" s="251" t="s">
        <v>118</v>
      </c>
      <c r="D252" s="9"/>
      <c r="E252" s="107"/>
      <c r="F252" s="134" t="str">
        <f>"(Line "&amp;A217&amp;")"</f>
        <v>(Line 146)</v>
      </c>
      <c r="G252" s="648">
        <f>+G217</f>
        <v>156766778.91580802</v>
      </c>
      <c r="H252" s="1085">
        <f>+H217</f>
        <v>162053334.94079268</v>
      </c>
      <c r="J252" s="260"/>
      <c r="K252" s="260"/>
      <c r="L252" s="260"/>
    </row>
    <row r="253" spans="1:12" ht="15.6" customHeight="1">
      <c r="A253" s="74">
        <f t="shared" si="9"/>
        <v>166</v>
      </c>
      <c r="B253" s="32"/>
      <c r="C253" s="251" t="s">
        <v>119</v>
      </c>
      <c r="D253" s="9"/>
      <c r="E253" s="107"/>
      <c r="F253" s="134" t="str">
        <f>"(Line "&amp;A239&amp;")"</f>
        <v>(Line 157)</v>
      </c>
      <c r="G253" s="648">
        <f>+G239</f>
        <v>71356484.004521951</v>
      </c>
      <c r="H253" s="1085">
        <f>+H239</f>
        <v>72210421.700931072</v>
      </c>
      <c r="J253" s="260"/>
      <c r="K253" s="260"/>
      <c r="L253" s="260"/>
    </row>
    <row r="254" spans="1:12" ht="15.6" customHeight="1">
      <c r="A254" s="74">
        <f t="shared" si="9"/>
        <v>167</v>
      </c>
      <c r="B254" s="32"/>
      <c r="C254" s="251" t="s">
        <v>290</v>
      </c>
      <c r="D254" s="9"/>
      <c r="E254" s="34" t="str">
        <f>"(Note "&amp;A$325&amp;")"</f>
        <v>(Note T)</v>
      </c>
      <c r="F254" s="134"/>
      <c r="G254" s="208">
        <v>0</v>
      </c>
      <c r="H254" s="1076">
        <v>0</v>
      </c>
      <c r="I254" s="260"/>
      <c r="J254" s="1739" t="s">
        <v>1893</v>
      </c>
      <c r="K254" s="260"/>
      <c r="L254" s="260"/>
    </row>
    <row r="255" spans="1:12" ht="15.6" customHeight="1">
      <c r="A255" s="74">
        <f t="shared" si="9"/>
        <v>168</v>
      </c>
      <c r="B255" s="32"/>
      <c r="C255" s="251" t="s">
        <v>291</v>
      </c>
      <c r="D255" s="9"/>
      <c r="E255" s="34" t="str">
        <f>"(Note "&amp;A$326&amp;")"</f>
        <v>(Note U)</v>
      </c>
      <c r="F255" s="134"/>
      <c r="G255" s="208">
        <v>0</v>
      </c>
      <c r="H255" s="1076">
        <v>0</v>
      </c>
      <c r="I255" s="260"/>
      <c r="J255" s="1739" t="s">
        <v>1893</v>
      </c>
      <c r="K255" s="260"/>
      <c r="L255" s="260"/>
    </row>
    <row r="256" spans="1:12" ht="13.95" customHeight="1" thickBot="1">
      <c r="A256" s="74"/>
      <c r="B256" s="32"/>
      <c r="C256" s="251"/>
      <c r="D256" s="9"/>
      <c r="E256" s="107"/>
      <c r="F256" s="141"/>
      <c r="G256" s="648"/>
      <c r="H256" s="1085"/>
      <c r="J256" s="260"/>
      <c r="K256" s="260"/>
      <c r="L256" s="260"/>
    </row>
    <row r="257" spans="1:12" ht="15.6" customHeight="1" thickBot="1">
      <c r="A257" s="570">
        <f>+A255+1</f>
        <v>169</v>
      </c>
      <c r="B257" s="571"/>
      <c r="C257" s="572" t="s">
        <v>121</v>
      </c>
      <c r="D257" s="573"/>
      <c r="E257" s="1150"/>
      <c r="F257" s="985" t="str">
        <f>"Sum of (Line "&amp;A248&amp;" to Line "&amp;A253&amp;") - Line "&amp;A254&amp;" - Line "&amp;A255</f>
        <v>Sum of (Line 161 to Line 166) - Line 167 - Line 168</v>
      </c>
      <c r="G257" s="662">
        <f>SUM(G248:G253)-G254-G255</f>
        <v>356149216.54615706</v>
      </c>
      <c r="H257" s="1114">
        <f>SUM(H248:H253)-H254-H255</f>
        <v>363739428.36577499</v>
      </c>
      <c r="I257" s="957"/>
      <c r="J257" s="260"/>
      <c r="K257" s="260"/>
      <c r="L257" s="260"/>
    </row>
    <row r="258" spans="1:12" ht="13.95" customHeight="1">
      <c r="A258" s="123"/>
      <c r="B258" s="7"/>
      <c r="C258" s="5"/>
      <c r="D258" s="49"/>
      <c r="E258" s="575"/>
      <c r="F258" s="1151"/>
      <c r="G258" s="661"/>
      <c r="H258" s="1115"/>
      <c r="J258" s="260"/>
      <c r="K258" s="260"/>
      <c r="L258" s="260"/>
    </row>
    <row r="259" spans="1:12" ht="15.6" customHeight="1">
      <c r="A259" s="123"/>
      <c r="B259" s="1946" t="s">
        <v>76</v>
      </c>
      <c r="C259" s="1946"/>
      <c r="D259" s="1946"/>
      <c r="E259" s="1946"/>
      <c r="F259" s="1956"/>
      <c r="G259" s="661"/>
      <c r="H259" s="1115"/>
      <c r="J259" s="260"/>
      <c r="K259" s="260"/>
      <c r="L259" s="260"/>
    </row>
    <row r="260" spans="1:12" ht="15.6" customHeight="1">
      <c r="A260" s="74">
        <f>+A257+1</f>
        <v>170</v>
      </c>
      <c r="B260" s="32"/>
      <c r="C260" s="58" t="str">
        <f>+C42</f>
        <v>Total Transmission Plant In Service</v>
      </c>
      <c r="D260" s="49"/>
      <c r="E260" s="575"/>
      <c r="F260" s="134" t="str">
        <f>"(Line "&amp;A42&amp;")"</f>
        <v>(Line 21)</v>
      </c>
      <c r="G260" s="644">
        <f>+G42</f>
        <v>2795546770.8200002</v>
      </c>
      <c r="H260" s="1062">
        <f>+H42</f>
        <v>3035686922.8108335</v>
      </c>
      <c r="J260" s="260"/>
      <c r="K260" s="260"/>
      <c r="L260" s="260"/>
    </row>
    <row r="261" spans="1:12" ht="15.6" customHeight="1">
      <c r="A261" s="74">
        <f>+A260+1</f>
        <v>171</v>
      </c>
      <c r="B261" s="32"/>
      <c r="C261" s="60" t="s">
        <v>77</v>
      </c>
      <c r="D261" s="574"/>
      <c r="E261" s="73" t="str">
        <f>"(Notes "&amp;A$307&amp;", "&amp;A$318&amp;", "&amp;A$324&amp;")"</f>
        <v>(Notes B, M, S)</v>
      </c>
      <c r="F261" s="135" t="str">
        <f>+"WP02 Support Line "&amp;'WP02 Support'!A173&amp;" Columns "&amp;'WP02 Support'!$D$5&amp;" &amp; "&amp;'WP02 Support'!F5</f>
        <v>WP02 Support Line 58 Columns C &amp; E</v>
      </c>
      <c r="G261" s="455">
        <f>'WP02 Support'!D173</f>
        <v>350615885.1284616</v>
      </c>
      <c r="H261" s="1098">
        <f>'WP02 Support'!F173</f>
        <v>365809546.90000004</v>
      </c>
      <c r="J261" s="260"/>
      <c r="K261" s="260"/>
      <c r="L261" s="260"/>
    </row>
    <row r="262" spans="1:12" ht="15.6" customHeight="1">
      <c r="A262" s="74">
        <f>+A261+1</f>
        <v>172</v>
      </c>
      <c r="B262" s="32"/>
      <c r="C262" s="58" t="s">
        <v>78</v>
      </c>
      <c r="D262" s="49"/>
      <c r="E262" s="575"/>
      <c r="F262" s="134" t="str">
        <f>"(Line "&amp;A260&amp;" - Line "&amp;A261&amp;")"</f>
        <v>(Line 170 - Line 171)</v>
      </c>
      <c r="G262" s="644">
        <f>+G260-G261</f>
        <v>2444930885.6915388</v>
      </c>
      <c r="H262" s="1062">
        <f>+H260-H261</f>
        <v>2669877375.9108334</v>
      </c>
      <c r="J262" s="260"/>
      <c r="K262" s="260"/>
      <c r="L262" s="260"/>
    </row>
    <row r="263" spans="1:12" s="260" customFormat="1" ht="15.6" customHeight="1">
      <c r="A263" s="74">
        <f>+A262+1</f>
        <v>173</v>
      </c>
      <c r="B263" s="32"/>
      <c r="C263" s="58" t="s">
        <v>79</v>
      </c>
      <c r="D263" s="49"/>
      <c r="E263" s="575"/>
      <c r="F263" s="134" t="str">
        <f>"(Line "&amp;A262&amp;" / Line "&amp;A260&amp;")"</f>
        <v>(Line 172 / Line 170)</v>
      </c>
      <c r="G263" s="1349">
        <f>IF(G260 =0, 0,+G262/G260)</f>
        <v>0.87458056907213988</v>
      </c>
      <c r="H263" s="1772">
        <f>IF(H260 =0, 0,+H262/H260)</f>
        <v>0.87949694543557011</v>
      </c>
    </row>
    <row r="264" spans="1:12" ht="15.6" customHeight="1">
      <c r="A264" s="74">
        <f>+A263+1</f>
        <v>174</v>
      </c>
      <c r="B264" s="32"/>
      <c r="C264" s="60" t="s">
        <v>121</v>
      </c>
      <c r="D264" s="574"/>
      <c r="E264" s="1152"/>
      <c r="F264" s="135" t="str">
        <f>"(Line "&amp;A257&amp;")"</f>
        <v>(Line 169)</v>
      </c>
      <c r="G264" s="455">
        <f>+G257</f>
        <v>356149216.54615706</v>
      </c>
      <c r="H264" s="1098">
        <f>+H257</f>
        <v>363739428.36577499</v>
      </c>
      <c r="J264" s="260"/>
      <c r="K264" s="260"/>
      <c r="L264" s="260"/>
    </row>
    <row r="265" spans="1:12" ht="15.6" customHeight="1">
      <c r="A265" s="74">
        <f>+A264+1</f>
        <v>175</v>
      </c>
      <c r="B265" s="32"/>
      <c r="C265" s="5" t="s">
        <v>80</v>
      </c>
      <c r="D265" s="49"/>
      <c r="E265" s="575"/>
      <c r="F265" s="134" t="str">
        <f>"(Line "&amp;A263&amp;" * Line "&amp;A264&amp;")"</f>
        <v>(Line 173 * Line 174)</v>
      </c>
      <c r="G265" s="646">
        <f>+G264*G263</f>
        <v>311481184.48153484</v>
      </c>
      <c r="H265" s="1081">
        <f>+H264*H263</f>
        <v>319907716.18217945</v>
      </c>
      <c r="J265" s="260"/>
      <c r="K265" s="260"/>
      <c r="L265" s="260"/>
    </row>
    <row r="266" spans="1:12" ht="13.95" customHeight="1">
      <c r="A266" s="112"/>
      <c r="B266" s="7"/>
      <c r="C266" s="58"/>
      <c r="D266" s="9"/>
      <c r="E266" s="53"/>
      <c r="F266" s="132"/>
      <c r="G266" s="657"/>
      <c r="H266" s="1097"/>
      <c r="J266" s="260"/>
      <c r="K266" s="260"/>
      <c r="L266" s="260"/>
    </row>
    <row r="267" spans="1:12" ht="15.6" customHeight="1">
      <c r="A267" s="1054"/>
      <c r="B267" s="1930" t="s">
        <v>152</v>
      </c>
      <c r="C267" s="1930"/>
      <c r="D267" s="1930"/>
      <c r="E267" s="53"/>
      <c r="F267" s="132"/>
      <c r="G267" s="652"/>
      <c r="H267" s="1089"/>
      <c r="J267" s="260"/>
      <c r="K267" s="260"/>
      <c r="L267" s="260"/>
    </row>
    <row r="268" spans="1:12" ht="15.6" customHeight="1">
      <c r="A268" s="1054"/>
      <c r="B268" s="39"/>
      <c r="C268" s="5" t="s">
        <v>770</v>
      </c>
      <c r="D268" s="9"/>
      <c r="E268" s="53"/>
      <c r="F268" s="132"/>
      <c r="G268" s="652"/>
      <c r="H268" s="1089"/>
      <c r="J268" s="260"/>
      <c r="K268" s="260"/>
      <c r="L268" s="260"/>
    </row>
    <row r="269" spans="1:12" ht="15.6" customHeight="1">
      <c r="A269" s="111">
        <f>+A265+1</f>
        <v>176</v>
      </c>
      <c r="B269" s="39"/>
      <c r="C269" s="889" t="s">
        <v>135</v>
      </c>
      <c r="D269" s="9"/>
      <c r="E269" s="53"/>
      <c r="F269" s="130" t="str">
        <f>+"WP17 Rev Line "&amp;'WP17 Rev'!A$10&amp;" Column "&amp;'WP17 Rev'!D5</f>
        <v>WP17 Rev Line 2 Column C</v>
      </c>
      <c r="G269" s="644">
        <f>+'WP17 Rev'!D10</f>
        <v>976405.76</v>
      </c>
      <c r="H269" s="1062">
        <f>+'WP17 Rev'!D10</f>
        <v>976405.76</v>
      </c>
      <c r="J269" s="260"/>
      <c r="K269" s="260"/>
      <c r="L269" s="260"/>
    </row>
    <row r="270" spans="1:12" ht="15.6" customHeight="1">
      <c r="A270" s="111">
        <f>+A269+1</f>
        <v>177</v>
      </c>
      <c r="B270" s="39"/>
      <c r="C270" s="889" t="s">
        <v>169</v>
      </c>
      <c r="D270" s="9"/>
      <c r="E270" s="53"/>
      <c r="F270" s="130" t="str">
        <f>+"WP17 Rev Line "&amp;'WP17 Rev'!A$10&amp;" Column "&amp;'WP17 Rev'!F5</f>
        <v>WP17 Rev Line 2 Column E</v>
      </c>
      <c r="G270" s="644">
        <f>+'WP17 Rev'!F10</f>
        <v>235219.45999999996</v>
      </c>
      <c r="H270" s="1062">
        <f>+'WP17 Rev'!F10</f>
        <v>235219.45999999996</v>
      </c>
      <c r="J270" s="260"/>
      <c r="K270" s="260"/>
      <c r="L270" s="260"/>
    </row>
    <row r="271" spans="1:12" ht="15.6" customHeight="1">
      <c r="A271" s="111">
        <f t="shared" ref="A271:A273" si="10">+A270+1</f>
        <v>178</v>
      </c>
      <c r="B271" s="39"/>
      <c r="C271" s="889" t="str">
        <f>+B$24</f>
        <v>Wages &amp; Salary Allocator</v>
      </c>
      <c r="D271" s="9"/>
      <c r="E271" s="53"/>
      <c r="F271" s="130" t="str">
        <f>"(Line "&amp;A$24&amp;")"</f>
        <v>(Line 11)</v>
      </c>
      <c r="G271" s="250">
        <f>+G$24</f>
        <v>7.3273229645201082E-2</v>
      </c>
      <c r="H271" s="1068">
        <f>H$24</f>
        <v>7.3273229645201082E-2</v>
      </c>
      <c r="J271" s="260"/>
      <c r="K271" s="260"/>
      <c r="L271" s="260"/>
    </row>
    <row r="272" spans="1:12" ht="15.6" customHeight="1">
      <c r="A272" s="111">
        <f t="shared" si="10"/>
        <v>179</v>
      </c>
      <c r="B272" s="39"/>
      <c r="C272" s="888" t="str">
        <f>+"Total Transmission Allocated "&amp;C270</f>
        <v>Total Transmission Allocated General Plant</v>
      </c>
      <c r="D272" s="9"/>
      <c r="E272" s="53"/>
      <c r="F272" s="135" t="str">
        <f>"(Line "&amp;A270&amp;" * Line "&amp;A271&amp;")"</f>
        <v>(Line 177 * Line 178)</v>
      </c>
      <c r="G272" s="879">
        <f>+G270*G271</f>
        <v>17235.289509600188</v>
      </c>
      <c r="H272" s="1074">
        <f>+H270*H271</f>
        <v>17235.289509600188</v>
      </c>
      <c r="J272" s="260"/>
      <c r="K272" s="260"/>
      <c r="L272" s="260"/>
    </row>
    <row r="273" spans="1:12" ht="15.6" customHeight="1">
      <c r="A273" s="111">
        <f t="shared" si="10"/>
        <v>180</v>
      </c>
      <c r="B273" s="39"/>
      <c r="C273" s="1928" t="s">
        <v>771</v>
      </c>
      <c r="D273" s="1928"/>
      <c r="E273" s="53"/>
      <c r="F273" s="134" t="str">
        <f>"(Line "&amp;A269&amp;" + Line "&amp;A272&amp;")"</f>
        <v>(Line 176 + Line 179)</v>
      </c>
      <c r="G273" s="99">
        <f>+G269+G272</f>
        <v>993641.04950960015</v>
      </c>
      <c r="H273" s="1057">
        <f>+H269+H272</f>
        <v>993641.04950960015</v>
      </c>
      <c r="J273" s="260"/>
      <c r="K273" s="260"/>
      <c r="L273" s="260"/>
    </row>
    <row r="274" spans="1:12" ht="13.95" customHeight="1">
      <c r="A274" s="117"/>
      <c r="B274" s="7"/>
      <c r="C274" s="58"/>
      <c r="D274" s="9"/>
      <c r="F274" s="132"/>
      <c r="G274" s="652"/>
      <c r="H274" s="1089"/>
      <c r="J274" s="260"/>
      <c r="K274" s="260"/>
      <c r="L274" s="260"/>
    </row>
    <row r="275" spans="1:12" ht="15.6" customHeight="1">
      <c r="A275" s="112"/>
      <c r="B275" s="25"/>
      <c r="C275" s="5" t="s">
        <v>772</v>
      </c>
      <c r="D275" s="9"/>
      <c r="E275" s="53"/>
      <c r="F275" s="141"/>
      <c r="G275" s="71"/>
      <c r="H275" s="1097"/>
      <c r="J275" s="260"/>
      <c r="K275" s="260"/>
      <c r="L275" s="260"/>
    </row>
    <row r="276" spans="1:12" ht="15.6" customHeight="1">
      <c r="A276" s="111">
        <f>+A273+1</f>
        <v>181</v>
      </c>
      <c r="B276" s="56"/>
      <c r="C276" s="1928" t="s">
        <v>802</v>
      </c>
      <c r="D276" s="1928"/>
      <c r="E276" s="107"/>
      <c r="F276" s="130" t="str">
        <f>+"WP17 Rev Line "&amp;'WP17 Rev'!A$63&amp;" Column "&amp;'WP17 Rev'!D5</f>
        <v>WP17 Rev Line 7 Column C</v>
      </c>
      <c r="G276" s="99">
        <f>+'WP17 Rev'!$D63</f>
        <v>6315928.9558514487</v>
      </c>
      <c r="H276" s="1057">
        <f>+'WP17 Rev'!$D63</f>
        <v>6315928.9558514487</v>
      </c>
      <c r="J276" s="260"/>
      <c r="K276" s="260"/>
      <c r="L276" s="260"/>
    </row>
    <row r="277" spans="1:12" ht="15.6" customHeight="1">
      <c r="A277" s="74">
        <f t="shared" ref="A277:A285" si="11">+A276+1</f>
        <v>182</v>
      </c>
      <c r="B277" s="56"/>
      <c r="C277" s="1928" t="s">
        <v>804</v>
      </c>
      <c r="D277" s="1928"/>
      <c r="E277" s="107"/>
      <c r="F277" s="130" t="str">
        <f>+"WP17 Rev Line "&amp;'WP17 Rev'!A$63&amp;" Column "&amp;'WP17 Rev'!E5</f>
        <v>WP17 Rev Line 7 Column D</v>
      </c>
      <c r="G277" s="653">
        <f>+'WP17 Rev'!$E63</f>
        <v>67238687.344148561</v>
      </c>
      <c r="H277" s="1058">
        <f>+'WP17 Rev'!$E63</f>
        <v>67238687.344148561</v>
      </c>
      <c r="J277" s="260"/>
      <c r="K277" s="260"/>
      <c r="L277" s="260"/>
    </row>
    <row r="278" spans="1:12" ht="15.6" customHeight="1">
      <c r="A278" s="74">
        <f t="shared" si="11"/>
        <v>183</v>
      </c>
      <c r="B278" s="39"/>
      <c r="C278" s="889" t="s">
        <v>803</v>
      </c>
      <c r="D278" s="9"/>
      <c r="E278" s="34"/>
      <c r="F278" s="134" t="str">
        <f>"(Line "&amp;A276&amp;" + Line "&amp;A277&amp;")"</f>
        <v>(Line 181 + Line 182)</v>
      </c>
      <c r="G278" s="644">
        <f>SUM(G276:G277)</f>
        <v>73554616.300000012</v>
      </c>
      <c r="H278" s="1062">
        <f>SUM(H276:H277)</f>
        <v>73554616.300000012</v>
      </c>
      <c r="J278" s="260"/>
      <c r="K278" s="260"/>
      <c r="L278" s="260"/>
    </row>
    <row r="279" spans="1:12" ht="15.6" customHeight="1">
      <c r="A279" s="74">
        <f t="shared" si="11"/>
        <v>184</v>
      </c>
      <c r="B279" s="114"/>
      <c r="C279" s="889" t="s">
        <v>169</v>
      </c>
      <c r="D279" s="9"/>
      <c r="E279" s="34"/>
      <c r="F279" s="130" t="str">
        <f>+"WP17 Rev Line "&amp;'WP17 Rev'!A$63&amp;" Column "&amp;'WP17 Rev'!F5</f>
        <v>WP17 Rev Line 7 Column E</v>
      </c>
      <c r="G279" s="644">
        <f>+'WP17 Rev'!F63</f>
        <v>0</v>
      </c>
      <c r="H279" s="1062">
        <f>+'WP17 Rev'!F63</f>
        <v>0</v>
      </c>
      <c r="J279" s="260"/>
      <c r="K279" s="260"/>
      <c r="L279" s="260"/>
    </row>
    <row r="280" spans="1:12" s="260" customFormat="1" ht="15.6" customHeight="1">
      <c r="A280" s="111">
        <f t="shared" si="11"/>
        <v>185</v>
      </c>
      <c r="B280" s="49"/>
      <c r="C280" s="889" t="str">
        <f>+B$24</f>
        <v>Wages &amp; Salary Allocator</v>
      </c>
      <c r="D280" s="9"/>
      <c r="E280" s="50"/>
      <c r="F280" s="130" t="str">
        <f>"(Line "&amp;A$24&amp;")"</f>
        <v>(Line 11)</v>
      </c>
      <c r="G280" s="250">
        <f>+G$24</f>
        <v>7.3273229645201082E-2</v>
      </c>
      <c r="H280" s="1068">
        <f>H$24</f>
        <v>7.3273229645201082E-2</v>
      </c>
    </row>
    <row r="281" spans="1:12" ht="15.6" customHeight="1">
      <c r="A281" s="74">
        <f t="shared" si="11"/>
        <v>186</v>
      </c>
      <c r="B281" s="114"/>
      <c r="C281" s="1926" t="str">
        <f>+"Total Transmission Allocated "&amp;C279</f>
        <v>Total Transmission Allocated General Plant</v>
      </c>
      <c r="D281" s="1926"/>
      <c r="E281" s="73"/>
      <c r="F281" s="135" t="str">
        <f>"(Line "&amp;A279&amp;" * "&amp;A280&amp;")"</f>
        <v>(Line 184 * 185)</v>
      </c>
      <c r="G281" s="879">
        <f>+G279*G280</f>
        <v>0</v>
      </c>
      <c r="H281" s="1074">
        <f>+H279*H280</f>
        <v>0</v>
      </c>
      <c r="J281" s="260"/>
      <c r="K281" s="260"/>
      <c r="L281" s="260"/>
    </row>
    <row r="282" spans="1:12" ht="15.6" customHeight="1">
      <c r="A282" s="74">
        <f t="shared" si="11"/>
        <v>187</v>
      </c>
      <c r="B282" s="15"/>
      <c r="C282" s="56" t="s">
        <v>450</v>
      </c>
      <c r="D282" s="9"/>
      <c r="E282" s="34"/>
      <c r="F282" s="134" t="str">
        <f>"(Line "&amp;A278&amp;" + "&amp;A281&amp;")"</f>
        <v>(Line 183 + 186)</v>
      </c>
      <c r="G282" s="99">
        <f>+G278+G281</f>
        <v>73554616.300000012</v>
      </c>
      <c r="H282" s="1057">
        <f>+H278+H281</f>
        <v>73554616.300000012</v>
      </c>
      <c r="J282" s="260"/>
      <c r="K282" s="260"/>
      <c r="L282" s="260"/>
    </row>
    <row r="283" spans="1:12" ht="15.6" customHeight="1">
      <c r="A283" s="74">
        <f t="shared" si="11"/>
        <v>188</v>
      </c>
      <c r="B283" s="15"/>
      <c r="C283" s="1952" t="str">
        <f>+"Less "&amp;C277</f>
        <v>Less Transmission Network &amp; LTF Service Revenues</v>
      </c>
      <c r="D283" s="1952"/>
      <c r="E283" s="34"/>
      <c r="F283" s="130" t="str">
        <f>"(Line "&amp;A$277&amp;")"</f>
        <v>(Line 182)</v>
      </c>
      <c r="G283" s="1153">
        <f>+G277</f>
        <v>67238687.344148561</v>
      </c>
      <c r="H283" s="1154">
        <f>+H277</f>
        <v>67238687.344148561</v>
      </c>
      <c r="J283" s="260"/>
      <c r="K283" s="260"/>
      <c r="L283" s="260"/>
    </row>
    <row r="284" spans="1:12" ht="15.6" customHeight="1">
      <c r="A284" s="74">
        <f t="shared" si="11"/>
        <v>189</v>
      </c>
      <c r="B284" s="15"/>
      <c r="C284" s="1952" t="s">
        <v>693</v>
      </c>
      <c r="D284" s="1952"/>
      <c r="E284" s="34" t="str">
        <f>"(Note "&amp;A$331&amp;")"</f>
        <v>(Note Z)</v>
      </c>
      <c r="F284" s="130" t="str">
        <f>+"WP17 Rev Line "&amp;'WP17 Rev'!A$53&amp;" Column "&amp;'WP17 Rev'!D5</f>
        <v>WP17 Rev Line 6.39 Column C</v>
      </c>
      <c r="G284" s="1153">
        <f>+'WP17 Rev'!$D53</f>
        <v>0</v>
      </c>
      <c r="H284" s="1154">
        <f>+'WP17 Rev'!$D53</f>
        <v>0</v>
      </c>
      <c r="I284" s="986"/>
      <c r="J284" s="260"/>
      <c r="K284" s="260"/>
      <c r="L284" s="260"/>
    </row>
    <row r="285" spans="1:12" ht="15.6" customHeight="1">
      <c r="A285" s="74">
        <f t="shared" si="11"/>
        <v>190</v>
      </c>
      <c r="B285" s="15"/>
      <c r="C285" s="1953" t="s">
        <v>692</v>
      </c>
      <c r="D285" s="1953"/>
      <c r="E285" s="73" t="str">
        <f>"(Note "&amp;A$332&amp;")"</f>
        <v>(Note AA)</v>
      </c>
      <c r="F285" s="258" t="str">
        <f>+"WP17 Rev Line "&amp;'WP17 Rev'!A$54&amp;" Column "&amp;'WP17 Rev'!D5</f>
        <v>WP17 Rev Line 6.4 Column C</v>
      </c>
      <c r="G285" s="715">
        <f>+'WP17 Rev'!D$54</f>
        <v>0</v>
      </c>
      <c r="H285" s="1155">
        <f>+'WP17 Rev'!E$54</f>
        <v>0</v>
      </c>
      <c r="I285" s="986"/>
      <c r="J285" s="260"/>
      <c r="K285" s="260"/>
      <c r="L285" s="260"/>
    </row>
    <row r="286" spans="1:12" ht="15.6" customHeight="1">
      <c r="A286" s="74">
        <f>+A285+1</f>
        <v>191</v>
      </c>
      <c r="B286" s="15"/>
      <c r="C286" s="1927" t="str">
        <f>+"Revenue Credits - "&amp;C276</f>
        <v>Revenue Credits - Transmission Service Other Revenue Credits</v>
      </c>
      <c r="D286" s="1927"/>
      <c r="E286" s="34"/>
      <c r="F286" s="141" t="str">
        <f>"(Line "&amp;A282&amp;" - Line "&amp;A283&amp;" - Line "&amp;A284&amp;" - Line "&amp;A285&amp;")"</f>
        <v>(Line 187 - Line 188 - Line 189 - Line 190)</v>
      </c>
      <c r="G286" s="99">
        <f>+G282-G283-G284-G285</f>
        <v>6315928.9558514506</v>
      </c>
      <c r="H286" s="1057">
        <f>+H282-H283-H284-H285</f>
        <v>6315928.9558514506</v>
      </c>
      <c r="J286" s="260"/>
      <c r="K286" s="260"/>
      <c r="L286" s="260"/>
    </row>
    <row r="287" spans="1:12" ht="15.6" customHeight="1">
      <c r="A287" s="74">
        <f>+A286+1</f>
        <v>192</v>
      </c>
      <c r="B287" s="10"/>
      <c r="C287" s="56" t="s">
        <v>151</v>
      </c>
      <c r="D287" s="9"/>
      <c r="E287" s="34" t="str">
        <f>"(Note "&amp;A$319&amp;")"</f>
        <v>(Note N)</v>
      </c>
      <c r="F287" s="141"/>
      <c r="G287" s="208">
        <v>0</v>
      </c>
      <c r="H287" s="1076">
        <v>0</v>
      </c>
      <c r="J287" s="1739" t="s">
        <v>1894</v>
      </c>
      <c r="K287" s="260"/>
      <c r="L287" s="260"/>
    </row>
    <row r="288" spans="1:12" ht="13.95" customHeight="1" thickBot="1">
      <c r="A288" s="105"/>
      <c r="B288" s="7"/>
      <c r="C288" s="15"/>
      <c r="D288" s="15"/>
      <c r="E288" s="34"/>
      <c r="F288" s="141"/>
      <c r="G288" s="70"/>
      <c r="H288" s="1063"/>
      <c r="J288" s="260"/>
      <c r="K288" s="260"/>
      <c r="L288" s="260"/>
    </row>
    <row r="289" spans="1:180" s="1" customFormat="1" ht="15.6" customHeight="1" thickBot="1">
      <c r="A289" s="570">
        <f>+A287+1</f>
        <v>193</v>
      </c>
      <c r="B289" s="148"/>
      <c r="C289" s="978" t="s">
        <v>125</v>
      </c>
      <c r="D289" s="577"/>
      <c r="E289" s="979"/>
      <c r="F289" s="1543" t="str">
        <f>"(Line "&amp;A265&amp;" - Line "&amp;A273&amp;" - Line "&amp;A286&amp;" + Line "&amp;A287&amp;")"</f>
        <v>(Line 175 - Line 180 - Line 191 + Line 192)</v>
      </c>
      <c r="G289" s="662">
        <f>+G265-G273-G286+G287</f>
        <v>304171614.47617382</v>
      </c>
      <c r="H289" s="1114">
        <f>+H265-H273-H286+H287</f>
        <v>312598146.17681843</v>
      </c>
      <c r="J289" s="260"/>
      <c r="K289" s="260"/>
      <c r="L289" s="35"/>
    </row>
    <row r="290" spans="1:180" ht="13.95" customHeight="1">
      <c r="A290" s="112"/>
      <c r="B290" s="7"/>
      <c r="C290" s="15"/>
      <c r="D290" s="15"/>
      <c r="E290" s="34"/>
      <c r="F290" s="141"/>
      <c r="G290" s="663"/>
      <c r="H290" s="1097"/>
      <c r="I290" s="1"/>
      <c r="J290" s="260"/>
      <c r="K290" s="260"/>
      <c r="L290" s="260"/>
    </row>
    <row r="291" spans="1:180" ht="15.6" customHeight="1">
      <c r="A291" s="74">
        <f>+A289+1</f>
        <v>194</v>
      </c>
      <c r="B291" s="32"/>
      <c r="C291" s="15" t="s">
        <v>1113</v>
      </c>
      <c r="D291" s="15" t="s">
        <v>836</v>
      </c>
      <c r="E291" s="1156"/>
      <c r="F291" s="136" t="str">
        <f>+"WP01 True-up Line "&amp;'WP01 True-Up'!A68&amp;" (EOY) Column "&amp;'WP01 True-Up'!F6</f>
        <v>WP01 True-up Line 29 (EOY) Column E</v>
      </c>
      <c r="G291" s="644"/>
      <c r="H291" s="1057">
        <f>+'WP01 True-Up'!F68</f>
        <v>-12627750.158085544</v>
      </c>
      <c r="I291" s="1"/>
      <c r="J291" s="35"/>
      <c r="K291" s="35"/>
      <c r="L291" s="260"/>
    </row>
    <row r="292" spans="1:180" ht="13.95" customHeight="1" thickBot="1">
      <c r="A292" s="74"/>
      <c r="B292" s="32"/>
      <c r="C292" s="15"/>
      <c r="D292" s="15"/>
      <c r="E292" s="107"/>
      <c r="F292" s="136"/>
      <c r="G292" s="664"/>
      <c r="H292" s="1116"/>
      <c r="I292" s="1"/>
      <c r="J292" s="35"/>
      <c r="K292" s="35"/>
      <c r="L292" s="260"/>
    </row>
    <row r="293" spans="1:180" ht="15.6" customHeight="1" thickBot="1">
      <c r="A293" s="570">
        <f>+A291+1</f>
        <v>195</v>
      </c>
      <c r="B293" s="148"/>
      <c r="C293" s="576" t="s">
        <v>23</v>
      </c>
      <c r="D293" s="577"/>
      <c r="E293" s="578"/>
      <c r="F293" s="289" t="str">
        <f>"(Line "&amp;A289&amp;" + Line "&amp;A291&amp;")"</f>
        <v>(Line 193 + Line 194)</v>
      </c>
      <c r="G293" s="662"/>
      <c r="H293" s="1114">
        <f>+H289+H291</f>
        <v>299970396.01873291</v>
      </c>
      <c r="I293" s="1"/>
      <c r="J293" s="895"/>
      <c r="K293" s="35"/>
      <c r="L293" s="260"/>
    </row>
    <row r="294" spans="1:180" s="10" customFormat="1" ht="13.95" customHeight="1">
      <c r="A294" s="74"/>
      <c r="B294" s="7"/>
      <c r="C294" s="15"/>
      <c r="D294" s="15"/>
      <c r="E294" s="27"/>
      <c r="F294" s="132"/>
      <c r="G294" s="665"/>
      <c r="H294" s="1067"/>
      <c r="I294" s="259"/>
      <c r="J294" s="883"/>
      <c r="K294" s="260"/>
      <c r="L294" s="260"/>
      <c r="M294" s="259"/>
      <c r="N294" s="259"/>
      <c r="O294" s="259"/>
      <c r="P294" s="259"/>
      <c r="Q294" s="259"/>
      <c r="R294" s="259"/>
      <c r="S294" s="259"/>
      <c r="T294" s="259"/>
      <c r="U294" s="259"/>
      <c r="V294" s="259"/>
      <c r="W294" s="259"/>
      <c r="X294" s="259"/>
      <c r="Y294" s="259"/>
      <c r="Z294" s="259"/>
      <c r="AA294" s="259"/>
      <c r="AB294" s="259"/>
      <c r="AC294" s="259"/>
      <c r="AD294" s="259"/>
      <c r="AE294" s="259"/>
      <c r="AF294" s="259"/>
      <c r="AG294" s="259"/>
      <c r="AH294" s="259"/>
      <c r="AI294" s="259"/>
      <c r="AJ294" s="259"/>
      <c r="AK294" s="259"/>
      <c r="AL294" s="259"/>
      <c r="AM294" s="259"/>
      <c r="AN294" s="259"/>
      <c r="AO294" s="259"/>
      <c r="AP294" s="259"/>
      <c r="AQ294" s="259"/>
      <c r="AR294" s="259"/>
      <c r="AS294" s="259"/>
      <c r="AT294" s="259"/>
      <c r="AU294" s="259"/>
      <c r="AV294" s="259"/>
      <c r="AW294" s="259"/>
      <c r="AX294" s="259"/>
      <c r="AY294" s="259"/>
      <c r="AZ294" s="259"/>
      <c r="BA294" s="259"/>
      <c r="BB294" s="259"/>
      <c r="BC294" s="259"/>
      <c r="BD294" s="259"/>
      <c r="BE294" s="259"/>
      <c r="BF294" s="259"/>
      <c r="BG294" s="259"/>
      <c r="BH294" s="259"/>
      <c r="BI294" s="259"/>
      <c r="BJ294" s="259"/>
      <c r="BK294" s="259"/>
      <c r="BL294" s="259"/>
      <c r="BM294" s="259"/>
      <c r="BN294" s="259"/>
      <c r="BO294" s="259"/>
      <c r="BP294" s="259"/>
      <c r="BQ294" s="259"/>
      <c r="BR294" s="259"/>
      <c r="BS294" s="259"/>
      <c r="BT294" s="259"/>
      <c r="BU294" s="259"/>
      <c r="BV294" s="259"/>
      <c r="BW294" s="259"/>
      <c r="BX294" s="259"/>
      <c r="BY294" s="259"/>
      <c r="BZ294" s="259"/>
      <c r="CA294" s="259"/>
      <c r="CB294" s="259"/>
      <c r="CC294" s="259"/>
      <c r="CD294" s="259"/>
      <c r="CE294" s="259"/>
      <c r="CF294" s="259"/>
      <c r="CG294" s="259"/>
      <c r="CH294" s="259"/>
      <c r="CI294" s="259"/>
      <c r="CJ294" s="259"/>
      <c r="CK294" s="259"/>
      <c r="CL294" s="259"/>
      <c r="CM294" s="259"/>
      <c r="CN294" s="259"/>
      <c r="CO294" s="259"/>
      <c r="CP294" s="259"/>
      <c r="CQ294" s="259"/>
      <c r="CR294" s="259"/>
      <c r="CS294" s="259"/>
      <c r="CT294" s="259"/>
      <c r="CU294" s="259"/>
      <c r="CV294" s="259"/>
      <c r="CW294" s="259"/>
      <c r="CX294" s="259"/>
      <c r="CY294" s="259"/>
      <c r="CZ294" s="259"/>
      <c r="DA294" s="259"/>
      <c r="DB294" s="259"/>
      <c r="DC294" s="259"/>
      <c r="DD294" s="259"/>
      <c r="DE294" s="259"/>
      <c r="DF294" s="259"/>
      <c r="DG294" s="259"/>
      <c r="DH294" s="259"/>
      <c r="DI294" s="259"/>
      <c r="DJ294" s="259"/>
      <c r="DK294" s="259"/>
      <c r="DL294" s="259"/>
      <c r="DM294" s="259"/>
      <c r="DN294" s="259"/>
      <c r="DO294" s="259"/>
      <c r="DP294" s="259"/>
      <c r="DQ294" s="259"/>
      <c r="DR294" s="259"/>
      <c r="DS294" s="259"/>
      <c r="DT294" s="259"/>
      <c r="DU294" s="259"/>
      <c r="DV294" s="259"/>
      <c r="DW294" s="259"/>
      <c r="DX294" s="259"/>
      <c r="DY294" s="259"/>
      <c r="DZ294" s="259"/>
      <c r="EA294" s="259"/>
      <c r="EB294" s="259"/>
      <c r="EC294" s="259"/>
      <c r="ED294" s="259"/>
      <c r="EE294" s="259"/>
      <c r="EF294" s="259"/>
      <c r="EG294" s="259"/>
      <c r="EH294" s="259"/>
      <c r="EI294" s="259"/>
      <c r="EJ294" s="259"/>
      <c r="EK294" s="259"/>
      <c r="EL294" s="259"/>
      <c r="EM294" s="259"/>
      <c r="EN294" s="259"/>
      <c r="EO294" s="259"/>
      <c r="EP294" s="259"/>
      <c r="EQ294" s="259"/>
      <c r="ER294" s="259"/>
      <c r="ES294" s="259"/>
      <c r="ET294" s="259"/>
      <c r="EU294" s="259"/>
      <c r="EV294" s="259"/>
      <c r="EW294" s="259"/>
      <c r="EX294" s="259"/>
      <c r="EY294" s="259"/>
      <c r="EZ294" s="259"/>
      <c r="FA294" s="259"/>
      <c r="FB294" s="259"/>
      <c r="FC294" s="259"/>
      <c r="FD294" s="259"/>
      <c r="FE294" s="259"/>
      <c r="FF294" s="259"/>
      <c r="FG294" s="259"/>
      <c r="FH294" s="259"/>
      <c r="FI294" s="259"/>
      <c r="FJ294" s="259"/>
      <c r="FK294" s="259"/>
      <c r="FL294" s="259"/>
      <c r="FM294" s="259"/>
      <c r="FN294" s="259"/>
      <c r="FO294" s="259"/>
      <c r="FP294" s="259"/>
      <c r="FQ294" s="259"/>
      <c r="FR294" s="259"/>
      <c r="FS294" s="259"/>
      <c r="FT294" s="259"/>
      <c r="FU294" s="259"/>
      <c r="FV294" s="259"/>
      <c r="FW294" s="259"/>
      <c r="FX294" s="259"/>
    </row>
    <row r="295" spans="1:180" s="10" customFormat="1" ht="15.6" customHeight="1">
      <c r="A295" s="74">
        <f>+A293+1</f>
        <v>196</v>
      </c>
      <c r="B295" s="15"/>
      <c r="C295" s="1931" t="s">
        <v>815</v>
      </c>
      <c r="D295" s="1931"/>
      <c r="E295" s="34"/>
      <c r="F295" s="141"/>
      <c r="G295" s="1157"/>
      <c r="H295" s="1067"/>
      <c r="I295" s="259"/>
      <c r="J295" s="883"/>
      <c r="K295" s="260"/>
      <c r="L295" s="260"/>
      <c r="M295" s="259"/>
      <c r="N295" s="259"/>
      <c r="O295" s="259"/>
      <c r="P295" s="259"/>
      <c r="Q295" s="259"/>
      <c r="R295" s="259"/>
      <c r="S295" s="259"/>
      <c r="T295" s="259"/>
      <c r="U295" s="259"/>
      <c r="V295" s="259"/>
      <c r="W295" s="259"/>
      <c r="X295" s="259"/>
      <c r="Y295" s="259"/>
      <c r="Z295" s="259"/>
      <c r="AA295" s="259"/>
      <c r="AB295" s="259"/>
      <c r="AC295" s="259"/>
      <c r="AD295" s="259"/>
      <c r="AE295" s="259"/>
      <c r="AF295" s="259"/>
      <c r="AG295" s="259"/>
      <c r="AH295" s="259"/>
      <c r="AI295" s="259"/>
      <c r="AJ295" s="259"/>
      <c r="AK295" s="259"/>
      <c r="AL295" s="259"/>
      <c r="AM295" s="259"/>
      <c r="AN295" s="259"/>
      <c r="AO295" s="259"/>
      <c r="AP295" s="259"/>
      <c r="AQ295" s="259"/>
      <c r="AR295" s="259"/>
      <c r="AS295" s="259"/>
      <c r="AT295" s="259"/>
      <c r="AU295" s="259"/>
      <c r="AV295" s="259"/>
      <c r="AW295" s="259"/>
      <c r="AX295" s="259"/>
      <c r="AY295" s="259"/>
      <c r="AZ295" s="259"/>
      <c r="BA295" s="259"/>
      <c r="BB295" s="259"/>
      <c r="BC295" s="259"/>
      <c r="BD295" s="259"/>
      <c r="BE295" s="259"/>
      <c r="BF295" s="259"/>
      <c r="BG295" s="259"/>
      <c r="BH295" s="259"/>
      <c r="BI295" s="259"/>
      <c r="BJ295" s="259"/>
      <c r="BK295" s="259"/>
      <c r="BL295" s="259"/>
      <c r="BM295" s="259"/>
      <c r="BN295" s="259"/>
      <c r="BO295" s="259"/>
      <c r="BP295" s="259"/>
      <c r="BQ295" s="259"/>
      <c r="BR295" s="259"/>
      <c r="BS295" s="259"/>
      <c r="BT295" s="259"/>
      <c r="BU295" s="259"/>
      <c r="BV295" s="259"/>
      <c r="BW295" s="259"/>
      <c r="BX295" s="259"/>
      <c r="BY295" s="259"/>
      <c r="BZ295" s="259"/>
      <c r="CA295" s="259"/>
      <c r="CB295" s="259"/>
      <c r="CC295" s="259"/>
      <c r="CD295" s="259"/>
      <c r="CE295" s="259"/>
      <c r="CF295" s="259"/>
      <c r="CG295" s="259"/>
      <c r="CH295" s="259"/>
      <c r="CI295" s="259"/>
      <c r="CJ295" s="259"/>
      <c r="CK295" s="259"/>
      <c r="CL295" s="259"/>
      <c r="CM295" s="259"/>
      <c r="CN295" s="259"/>
      <c r="CO295" s="259"/>
      <c r="CP295" s="259"/>
      <c r="CQ295" s="259"/>
      <c r="CR295" s="259"/>
      <c r="CS295" s="259"/>
      <c r="CT295" s="259"/>
      <c r="CU295" s="259"/>
      <c r="CV295" s="259"/>
      <c r="CW295" s="259"/>
      <c r="CX295" s="259"/>
      <c r="CY295" s="259"/>
      <c r="CZ295" s="259"/>
      <c r="DA295" s="259"/>
      <c r="DB295" s="259"/>
      <c r="DC295" s="259"/>
      <c r="DD295" s="259"/>
      <c r="DE295" s="259"/>
      <c r="DF295" s="259"/>
      <c r="DG295" s="259"/>
      <c r="DH295" s="259"/>
      <c r="DI295" s="259"/>
      <c r="DJ295" s="259"/>
      <c r="DK295" s="259"/>
      <c r="DL295" s="259"/>
      <c r="DM295" s="259"/>
      <c r="DN295" s="259"/>
      <c r="DO295" s="259"/>
      <c r="DP295" s="259"/>
      <c r="DQ295" s="259"/>
      <c r="DR295" s="259"/>
      <c r="DS295" s="259"/>
      <c r="DT295" s="259"/>
      <c r="DU295" s="259"/>
      <c r="DV295" s="259"/>
      <c r="DW295" s="259"/>
      <c r="DX295" s="259"/>
      <c r="DY295" s="259"/>
      <c r="DZ295" s="259"/>
      <c r="EA295" s="259"/>
      <c r="EB295" s="259"/>
      <c r="EC295" s="259"/>
      <c r="ED295" s="259"/>
      <c r="EE295" s="259"/>
      <c r="EF295" s="259"/>
      <c r="EG295" s="259"/>
      <c r="EH295" s="259"/>
      <c r="EI295" s="259"/>
      <c r="EJ295" s="259"/>
      <c r="EK295" s="259"/>
      <c r="EL295" s="259"/>
      <c r="EM295" s="259"/>
      <c r="EN295" s="259"/>
      <c r="EO295" s="259"/>
      <c r="EP295" s="259"/>
      <c r="EQ295" s="259"/>
      <c r="ER295" s="259"/>
      <c r="ES295" s="259"/>
      <c r="ET295" s="259"/>
      <c r="EU295" s="259"/>
      <c r="EV295" s="259"/>
      <c r="EW295" s="259"/>
      <c r="EX295" s="259"/>
      <c r="EY295" s="259"/>
      <c r="EZ295" s="259"/>
      <c r="FA295" s="259"/>
      <c r="FB295" s="259"/>
      <c r="FC295" s="259"/>
      <c r="FD295" s="259"/>
      <c r="FE295" s="259"/>
      <c r="FF295" s="259"/>
      <c r="FG295" s="259"/>
      <c r="FH295" s="259"/>
      <c r="FI295" s="259"/>
      <c r="FJ295" s="259"/>
      <c r="FK295" s="259"/>
      <c r="FL295" s="259"/>
      <c r="FM295" s="259"/>
      <c r="FN295" s="259"/>
      <c r="FO295" s="259"/>
      <c r="FP295" s="259"/>
      <c r="FQ295" s="259"/>
      <c r="FR295" s="259"/>
      <c r="FS295" s="259"/>
      <c r="FT295" s="259"/>
      <c r="FU295" s="259"/>
      <c r="FV295" s="259"/>
      <c r="FW295" s="259"/>
      <c r="FX295" s="259"/>
    </row>
    <row r="296" spans="1:180" s="10" customFormat="1" ht="15.6" customHeight="1">
      <c r="A296" s="1351">
        <f>+A295+1</f>
        <v>197</v>
      </c>
      <c r="B296" s="32"/>
      <c r="C296" s="889" t="s">
        <v>676</v>
      </c>
      <c r="D296" s="15"/>
      <c r="E296" s="34" t="str">
        <f>"(Note "&amp;A$338&amp;")"</f>
        <v>(Note GG)</v>
      </c>
      <c r="F296" s="141"/>
      <c r="G296" s="99"/>
      <c r="H296" s="1076">
        <v>0</v>
      </c>
      <c r="I296" s="259"/>
      <c r="J296" s="1739" t="s">
        <v>1895</v>
      </c>
      <c r="K296" s="260"/>
      <c r="L296" s="260"/>
      <c r="M296" s="259"/>
      <c r="N296" s="259"/>
      <c r="O296" s="259"/>
      <c r="P296" s="259"/>
      <c r="Q296" s="259"/>
      <c r="R296" s="259"/>
      <c r="S296" s="259"/>
      <c r="T296" s="259"/>
      <c r="U296" s="259"/>
      <c r="V296" s="259"/>
      <c r="W296" s="259"/>
      <c r="X296" s="259"/>
      <c r="Y296" s="259"/>
      <c r="Z296" s="259"/>
      <c r="AA296" s="259"/>
      <c r="AB296" s="259"/>
      <c r="AC296" s="259"/>
      <c r="AD296" s="259"/>
      <c r="AE296" s="259"/>
      <c r="AF296" s="259"/>
      <c r="AG296" s="259"/>
      <c r="AH296" s="259"/>
      <c r="AI296" s="259"/>
      <c r="AJ296" s="259"/>
      <c r="AK296" s="259"/>
      <c r="AL296" s="259"/>
      <c r="AM296" s="259"/>
      <c r="AN296" s="259"/>
      <c r="AO296" s="259"/>
      <c r="AP296" s="259"/>
      <c r="AQ296" s="259"/>
      <c r="AR296" s="259"/>
      <c r="AS296" s="259"/>
      <c r="AT296" s="259"/>
      <c r="AU296" s="259"/>
      <c r="AV296" s="259"/>
      <c r="AW296" s="259"/>
      <c r="AX296" s="259"/>
      <c r="AY296" s="259"/>
      <c r="AZ296" s="259"/>
      <c r="BA296" s="259"/>
      <c r="BB296" s="259"/>
      <c r="BC296" s="259"/>
      <c r="BD296" s="259"/>
      <c r="BE296" s="259"/>
      <c r="BF296" s="259"/>
      <c r="BG296" s="259"/>
      <c r="BH296" s="259"/>
      <c r="BI296" s="259"/>
      <c r="BJ296" s="259"/>
      <c r="BK296" s="259"/>
      <c r="BL296" s="259"/>
      <c r="BM296" s="259"/>
      <c r="BN296" s="259"/>
      <c r="BO296" s="259"/>
      <c r="BP296" s="259"/>
      <c r="BQ296" s="259"/>
      <c r="BR296" s="259"/>
      <c r="BS296" s="259"/>
      <c r="BT296" s="259"/>
      <c r="BU296" s="259"/>
      <c r="BV296" s="259"/>
      <c r="BW296" s="259"/>
      <c r="BX296" s="259"/>
      <c r="BY296" s="259"/>
      <c r="BZ296" s="259"/>
      <c r="CA296" s="259"/>
      <c r="CB296" s="259"/>
      <c r="CC296" s="259"/>
      <c r="CD296" s="259"/>
      <c r="CE296" s="259"/>
      <c r="CF296" s="259"/>
      <c r="CG296" s="259"/>
      <c r="CH296" s="259"/>
      <c r="CI296" s="259"/>
      <c r="CJ296" s="259"/>
      <c r="CK296" s="259"/>
      <c r="CL296" s="259"/>
      <c r="CM296" s="259"/>
      <c r="CN296" s="259"/>
      <c r="CO296" s="259"/>
      <c r="CP296" s="259"/>
      <c r="CQ296" s="259"/>
      <c r="CR296" s="259"/>
      <c r="CS296" s="259"/>
      <c r="CT296" s="259"/>
      <c r="CU296" s="259"/>
      <c r="CV296" s="259"/>
      <c r="CW296" s="259"/>
      <c r="CX296" s="259"/>
      <c r="CY296" s="259"/>
      <c r="CZ296" s="259"/>
      <c r="DA296" s="259"/>
      <c r="DB296" s="259"/>
      <c r="DC296" s="259"/>
      <c r="DD296" s="259"/>
      <c r="DE296" s="259"/>
      <c r="DF296" s="259"/>
      <c r="DG296" s="259"/>
      <c r="DH296" s="259"/>
      <c r="DI296" s="259"/>
      <c r="DJ296" s="259"/>
      <c r="DK296" s="259"/>
      <c r="DL296" s="259"/>
      <c r="DM296" s="259"/>
      <c r="DN296" s="259"/>
      <c r="DO296" s="259"/>
      <c r="DP296" s="259"/>
      <c r="DQ296" s="259"/>
      <c r="DR296" s="259"/>
      <c r="DS296" s="259"/>
      <c r="DT296" s="259"/>
      <c r="DU296" s="259"/>
      <c r="DV296" s="259"/>
      <c r="DW296" s="259"/>
      <c r="DX296" s="259"/>
      <c r="DY296" s="259"/>
      <c r="DZ296" s="259"/>
      <c r="EA296" s="259"/>
      <c r="EB296" s="259"/>
      <c r="EC296" s="259"/>
      <c r="ED296" s="259"/>
      <c r="EE296" s="259"/>
      <c r="EF296" s="259"/>
      <c r="EG296" s="259"/>
      <c r="EH296" s="259"/>
      <c r="EI296" s="259"/>
      <c r="EJ296" s="259"/>
      <c r="EK296" s="259"/>
      <c r="EL296" s="259"/>
      <c r="EM296" s="259"/>
      <c r="EN296" s="259"/>
      <c r="EO296" s="259"/>
      <c r="EP296" s="259"/>
      <c r="EQ296" s="259"/>
      <c r="ER296" s="259"/>
      <c r="ES296" s="259"/>
      <c r="ET296" s="259"/>
      <c r="EU296" s="259"/>
      <c r="EV296" s="259"/>
      <c r="EW296" s="259"/>
      <c r="EX296" s="259"/>
      <c r="EY296" s="259"/>
      <c r="EZ296" s="259"/>
      <c r="FA296" s="259"/>
      <c r="FB296" s="259"/>
      <c r="FC296" s="259"/>
      <c r="FD296" s="259"/>
      <c r="FE296" s="259"/>
      <c r="FF296" s="259"/>
      <c r="FG296" s="259"/>
      <c r="FH296" s="259"/>
      <c r="FI296" s="259"/>
      <c r="FJ296" s="259"/>
      <c r="FK296" s="259"/>
      <c r="FL296" s="259"/>
      <c r="FM296" s="259"/>
      <c r="FN296" s="259"/>
      <c r="FO296" s="259"/>
      <c r="FP296" s="259"/>
      <c r="FQ296" s="259"/>
      <c r="FR296" s="259"/>
      <c r="FS296" s="259"/>
      <c r="FT296" s="259"/>
      <c r="FU296" s="259"/>
      <c r="FV296" s="259"/>
      <c r="FW296" s="259"/>
      <c r="FX296" s="259"/>
    </row>
    <row r="297" spans="1:180" s="10" customFormat="1" ht="15.6" customHeight="1">
      <c r="A297" s="1351">
        <f t="shared" ref="A297:A298" si="12">+A296+1</f>
        <v>198</v>
      </c>
      <c r="B297" s="32"/>
      <c r="C297" s="1158" t="s">
        <v>821</v>
      </c>
      <c r="D297" s="457"/>
      <c r="E297" s="73" t="str">
        <f>"(Note "&amp;A$338&amp;")"</f>
        <v>(Note GG)</v>
      </c>
      <c r="F297" s="143"/>
      <c r="G297" s="653"/>
      <c r="H297" s="1084">
        <v>0</v>
      </c>
      <c r="I297" s="259"/>
      <c r="J297" s="1739" t="s">
        <v>1895</v>
      </c>
      <c r="K297" s="260"/>
      <c r="L297" s="260"/>
      <c r="M297" s="259"/>
      <c r="N297" s="259"/>
      <c r="O297" s="259"/>
      <c r="P297" s="259"/>
      <c r="Q297" s="259"/>
      <c r="R297" s="259"/>
      <c r="S297" s="259"/>
      <c r="T297" s="259"/>
      <c r="U297" s="259"/>
      <c r="V297" s="259"/>
      <c r="W297" s="259"/>
      <c r="X297" s="259"/>
      <c r="Y297" s="259"/>
      <c r="Z297" s="259"/>
      <c r="AA297" s="259"/>
      <c r="AB297" s="259"/>
      <c r="AC297" s="259"/>
      <c r="AD297" s="259"/>
      <c r="AE297" s="259"/>
      <c r="AF297" s="259"/>
      <c r="AG297" s="259"/>
      <c r="AH297" s="259"/>
      <c r="AI297" s="259"/>
      <c r="AJ297" s="259"/>
      <c r="AK297" s="259"/>
      <c r="AL297" s="259"/>
      <c r="AM297" s="259"/>
      <c r="AN297" s="259"/>
      <c r="AO297" s="259"/>
      <c r="AP297" s="259"/>
      <c r="AQ297" s="259"/>
      <c r="AR297" s="259"/>
      <c r="AS297" s="259"/>
      <c r="AT297" s="259"/>
      <c r="AU297" s="259"/>
      <c r="AV297" s="259"/>
      <c r="AW297" s="259"/>
      <c r="AX297" s="259"/>
      <c r="AY297" s="259"/>
      <c r="AZ297" s="259"/>
      <c r="BA297" s="259"/>
      <c r="BB297" s="259"/>
      <c r="BC297" s="259"/>
      <c r="BD297" s="259"/>
      <c r="BE297" s="259"/>
      <c r="BF297" s="259"/>
      <c r="BG297" s="259"/>
      <c r="BH297" s="259"/>
      <c r="BI297" s="259"/>
      <c r="BJ297" s="259"/>
      <c r="BK297" s="259"/>
      <c r="BL297" s="259"/>
      <c r="BM297" s="259"/>
      <c r="BN297" s="259"/>
      <c r="BO297" s="259"/>
      <c r="BP297" s="259"/>
      <c r="BQ297" s="259"/>
      <c r="BR297" s="259"/>
      <c r="BS297" s="259"/>
      <c r="BT297" s="259"/>
      <c r="BU297" s="259"/>
      <c r="BV297" s="259"/>
      <c r="BW297" s="259"/>
      <c r="BX297" s="259"/>
      <c r="BY297" s="259"/>
      <c r="BZ297" s="259"/>
      <c r="CA297" s="259"/>
      <c r="CB297" s="259"/>
      <c r="CC297" s="259"/>
      <c r="CD297" s="259"/>
      <c r="CE297" s="259"/>
      <c r="CF297" s="259"/>
      <c r="CG297" s="259"/>
      <c r="CH297" s="259"/>
      <c r="CI297" s="259"/>
      <c r="CJ297" s="259"/>
      <c r="CK297" s="259"/>
      <c r="CL297" s="259"/>
      <c r="CM297" s="259"/>
      <c r="CN297" s="259"/>
      <c r="CO297" s="259"/>
      <c r="CP297" s="259"/>
      <c r="CQ297" s="259"/>
      <c r="CR297" s="259"/>
      <c r="CS297" s="259"/>
      <c r="CT297" s="259"/>
      <c r="CU297" s="259"/>
      <c r="CV297" s="259"/>
      <c r="CW297" s="259"/>
      <c r="CX297" s="259"/>
      <c r="CY297" s="259"/>
      <c r="CZ297" s="259"/>
      <c r="DA297" s="259"/>
      <c r="DB297" s="259"/>
      <c r="DC297" s="259"/>
      <c r="DD297" s="259"/>
      <c r="DE297" s="259"/>
      <c r="DF297" s="259"/>
      <c r="DG297" s="259"/>
      <c r="DH297" s="259"/>
      <c r="DI297" s="259"/>
      <c r="DJ297" s="259"/>
      <c r="DK297" s="259"/>
      <c r="DL297" s="259"/>
      <c r="DM297" s="259"/>
      <c r="DN297" s="259"/>
      <c r="DO297" s="259"/>
      <c r="DP297" s="259"/>
      <c r="DQ297" s="259"/>
      <c r="DR297" s="259"/>
      <c r="DS297" s="259"/>
      <c r="DT297" s="259"/>
      <c r="DU297" s="259"/>
      <c r="DV297" s="259"/>
      <c r="DW297" s="259"/>
      <c r="DX297" s="259"/>
      <c r="DY297" s="259"/>
      <c r="DZ297" s="259"/>
      <c r="EA297" s="259"/>
      <c r="EB297" s="259"/>
      <c r="EC297" s="259"/>
      <c r="ED297" s="259"/>
      <c r="EE297" s="259"/>
      <c r="EF297" s="259"/>
      <c r="EG297" s="259"/>
      <c r="EH297" s="259"/>
      <c r="EI297" s="259"/>
      <c r="EJ297" s="259"/>
      <c r="EK297" s="259"/>
      <c r="EL297" s="259"/>
      <c r="EM297" s="259"/>
      <c r="EN297" s="259"/>
      <c r="EO297" s="259"/>
      <c r="EP297" s="259"/>
      <c r="EQ297" s="259"/>
      <c r="ER297" s="259"/>
      <c r="ES297" s="259"/>
      <c r="ET297" s="259"/>
      <c r="EU297" s="259"/>
      <c r="EV297" s="259"/>
      <c r="EW297" s="259"/>
      <c r="EX297" s="259"/>
      <c r="EY297" s="259"/>
      <c r="EZ297" s="259"/>
      <c r="FA297" s="259"/>
      <c r="FB297" s="259"/>
      <c r="FC297" s="259"/>
      <c r="FD297" s="259"/>
      <c r="FE297" s="259"/>
      <c r="FF297" s="259"/>
      <c r="FG297" s="259"/>
      <c r="FH297" s="259"/>
      <c r="FI297" s="259"/>
      <c r="FJ297" s="259"/>
      <c r="FK297" s="259"/>
      <c r="FL297" s="259"/>
      <c r="FM297" s="259"/>
      <c r="FN297" s="259"/>
      <c r="FO297" s="259"/>
      <c r="FP297" s="259"/>
      <c r="FQ297" s="259"/>
      <c r="FR297" s="259"/>
      <c r="FS297" s="259"/>
      <c r="FT297" s="259"/>
      <c r="FU297" s="259"/>
      <c r="FV297" s="259"/>
      <c r="FW297" s="259"/>
      <c r="FX297" s="259"/>
    </row>
    <row r="298" spans="1:180" s="10" customFormat="1" ht="15.6" customHeight="1">
      <c r="A298" s="1351">
        <f t="shared" si="12"/>
        <v>199</v>
      </c>
      <c r="B298" s="32"/>
      <c r="C298" s="15" t="s">
        <v>774</v>
      </c>
      <c r="D298" s="15"/>
      <c r="E298" s="34"/>
      <c r="F298" s="141" t="str">
        <f>"(Line "&amp;A293&amp;" + Line "&amp;A296&amp;" + Line "&amp;A297&amp;")"</f>
        <v>(Line 195 + Line 197 + Line 198)</v>
      </c>
      <c r="G298" s="1157"/>
      <c r="H298" s="1067">
        <f>+H293+H296+H297</f>
        <v>299970396.01873291</v>
      </c>
      <c r="I298" s="259"/>
      <c r="J298" s="883"/>
      <c r="K298" s="260"/>
      <c r="L298" s="260"/>
      <c r="M298" s="259"/>
      <c r="N298" s="259"/>
      <c r="O298" s="259"/>
      <c r="P298" s="259"/>
      <c r="Q298" s="259"/>
      <c r="R298" s="259"/>
      <c r="S298" s="259"/>
      <c r="T298" s="259"/>
      <c r="U298" s="259"/>
      <c r="V298" s="259"/>
      <c r="W298" s="259"/>
      <c r="X298" s="259"/>
      <c r="Y298" s="259"/>
      <c r="Z298" s="259"/>
      <c r="AA298" s="259"/>
      <c r="AB298" s="259"/>
      <c r="AC298" s="259"/>
      <c r="AD298" s="259"/>
      <c r="AE298" s="259"/>
      <c r="AF298" s="259"/>
      <c r="AG298" s="259"/>
      <c r="AH298" s="259"/>
      <c r="AI298" s="259"/>
      <c r="AJ298" s="259"/>
      <c r="AK298" s="259"/>
      <c r="AL298" s="259"/>
      <c r="AM298" s="259"/>
      <c r="AN298" s="259"/>
      <c r="AO298" s="259"/>
      <c r="AP298" s="259"/>
      <c r="AQ298" s="259"/>
      <c r="AR298" s="259"/>
      <c r="AS298" s="259"/>
      <c r="AT298" s="259"/>
      <c r="AU298" s="259"/>
      <c r="AV298" s="259"/>
      <c r="AW298" s="259"/>
      <c r="AX298" s="259"/>
      <c r="AY298" s="259"/>
      <c r="AZ298" s="259"/>
      <c r="BA298" s="259"/>
      <c r="BB298" s="259"/>
      <c r="BC298" s="259"/>
      <c r="BD298" s="259"/>
      <c r="BE298" s="259"/>
      <c r="BF298" s="259"/>
      <c r="BG298" s="259"/>
      <c r="BH298" s="259"/>
      <c r="BI298" s="259"/>
      <c r="BJ298" s="259"/>
      <c r="BK298" s="259"/>
      <c r="BL298" s="259"/>
      <c r="BM298" s="259"/>
      <c r="BN298" s="259"/>
      <c r="BO298" s="259"/>
      <c r="BP298" s="259"/>
      <c r="BQ298" s="259"/>
      <c r="BR298" s="259"/>
      <c r="BS298" s="259"/>
      <c r="BT298" s="259"/>
      <c r="BU298" s="259"/>
      <c r="BV298" s="259"/>
      <c r="BW298" s="259"/>
      <c r="BX298" s="259"/>
      <c r="BY298" s="259"/>
      <c r="BZ298" s="259"/>
      <c r="CA298" s="259"/>
      <c r="CB298" s="259"/>
      <c r="CC298" s="259"/>
      <c r="CD298" s="259"/>
      <c r="CE298" s="259"/>
      <c r="CF298" s="259"/>
      <c r="CG298" s="259"/>
      <c r="CH298" s="259"/>
      <c r="CI298" s="259"/>
      <c r="CJ298" s="259"/>
      <c r="CK298" s="259"/>
      <c r="CL298" s="259"/>
      <c r="CM298" s="259"/>
      <c r="CN298" s="259"/>
      <c r="CO298" s="259"/>
      <c r="CP298" s="259"/>
      <c r="CQ298" s="259"/>
      <c r="CR298" s="259"/>
      <c r="CS298" s="259"/>
      <c r="CT298" s="259"/>
      <c r="CU298" s="259"/>
      <c r="CV298" s="259"/>
      <c r="CW298" s="259"/>
      <c r="CX298" s="259"/>
      <c r="CY298" s="259"/>
      <c r="CZ298" s="259"/>
      <c r="DA298" s="259"/>
      <c r="DB298" s="259"/>
      <c r="DC298" s="259"/>
      <c r="DD298" s="259"/>
      <c r="DE298" s="259"/>
      <c r="DF298" s="259"/>
      <c r="DG298" s="259"/>
      <c r="DH298" s="259"/>
      <c r="DI298" s="259"/>
      <c r="DJ298" s="259"/>
      <c r="DK298" s="259"/>
      <c r="DL298" s="259"/>
      <c r="DM298" s="259"/>
      <c r="DN298" s="259"/>
      <c r="DO298" s="259"/>
      <c r="DP298" s="259"/>
      <c r="DQ298" s="259"/>
      <c r="DR298" s="259"/>
      <c r="DS298" s="259"/>
      <c r="DT298" s="259"/>
      <c r="DU298" s="259"/>
      <c r="DV298" s="259"/>
      <c r="DW298" s="259"/>
      <c r="DX298" s="259"/>
      <c r="DY298" s="259"/>
      <c r="DZ298" s="259"/>
      <c r="EA298" s="259"/>
      <c r="EB298" s="259"/>
      <c r="EC298" s="259"/>
      <c r="ED298" s="259"/>
      <c r="EE298" s="259"/>
      <c r="EF298" s="259"/>
      <c r="EG298" s="259"/>
      <c r="EH298" s="259"/>
      <c r="EI298" s="259"/>
      <c r="EJ298" s="259"/>
      <c r="EK298" s="259"/>
      <c r="EL298" s="259"/>
      <c r="EM298" s="259"/>
      <c r="EN298" s="259"/>
      <c r="EO298" s="259"/>
      <c r="EP298" s="259"/>
      <c r="EQ298" s="259"/>
      <c r="ER298" s="259"/>
      <c r="ES298" s="259"/>
      <c r="ET298" s="259"/>
      <c r="EU298" s="259"/>
      <c r="EV298" s="259"/>
      <c r="EW298" s="259"/>
      <c r="EX298" s="259"/>
      <c r="EY298" s="259"/>
      <c r="EZ298" s="259"/>
      <c r="FA298" s="259"/>
      <c r="FB298" s="259"/>
      <c r="FC298" s="259"/>
      <c r="FD298" s="259"/>
      <c r="FE298" s="259"/>
      <c r="FF298" s="259"/>
      <c r="FG298" s="259"/>
      <c r="FH298" s="259"/>
      <c r="FI298" s="259"/>
      <c r="FJ298" s="259"/>
      <c r="FK298" s="259"/>
      <c r="FL298" s="259"/>
      <c r="FM298" s="259"/>
      <c r="FN298" s="259"/>
      <c r="FO298" s="259"/>
      <c r="FP298" s="259"/>
      <c r="FQ298" s="259"/>
      <c r="FR298" s="259"/>
      <c r="FS298" s="259"/>
      <c r="FT298" s="259"/>
      <c r="FU298" s="259"/>
      <c r="FV298" s="259"/>
      <c r="FW298" s="259"/>
      <c r="FX298" s="259"/>
    </row>
    <row r="299" spans="1:180" s="10" customFormat="1" ht="13.95" customHeight="1">
      <c r="A299" s="74"/>
      <c r="B299" s="7"/>
      <c r="C299" s="15"/>
      <c r="D299" s="15"/>
      <c r="E299" s="27"/>
      <c r="F299" s="132"/>
      <c r="G299" s="665"/>
      <c r="H299" s="1067"/>
      <c r="I299" s="259"/>
      <c r="J299" s="883"/>
      <c r="K299" s="260"/>
      <c r="L299" s="260"/>
      <c r="M299" s="259"/>
      <c r="N299" s="259"/>
      <c r="O299" s="259"/>
      <c r="P299" s="259"/>
      <c r="Q299" s="259"/>
      <c r="R299" s="259"/>
      <c r="S299" s="259"/>
      <c r="T299" s="259"/>
      <c r="U299" s="259"/>
      <c r="V299" s="259"/>
      <c r="W299" s="259"/>
      <c r="X299" s="259"/>
      <c r="Y299" s="259"/>
      <c r="Z299" s="259"/>
      <c r="AA299" s="259"/>
      <c r="AB299" s="259"/>
      <c r="AC299" s="259"/>
      <c r="AD299" s="259"/>
      <c r="AE299" s="259"/>
      <c r="AF299" s="259"/>
      <c r="AG299" s="259"/>
      <c r="AH299" s="259"/>
      <c r="AI299" s="259"/>
      <c r="AJ299" s="259"/>
      <c r="AK299" s="259"/>
      <c r="AL299" s="259"/>
      <c r="AM299" s="259"/>
      <c r="AN299" s="259"/>
      <c r="AO299" s="259"/>
      <c r="AP299" s="259"/>
      <c r="AQ299" s="259"/>
      <c r="AR299" s="259"/>
      <c r="AS299" s="259"/>
      <c r="AT299" s="259"/>
      <c r="AU299" s="259"/>
      <c r="AV299" s="259"/>
      <c r="AW299" s="259"/>
      <c r="AX299" s="259"/>
      <c r="AY299" s="259"/>
      <c r="AZ299" s="259"/>
      <c r="BA299" s="259"/>
      <c r="BB299" s="259"/>
      <c r="BC299" s="259"/>
      <c r="BD299" s="259"/>
      <c r="BE299" s="259"/>
      <c r="BF299" s="259"/>
      <c r="BG299" s="259"/>
      <c r="BH299" s="259"/>
      <c r="BI299" s="259"/>
      <c r="BJ299" s="259"/>
      <c r="BK299" s="259"/>
      <c r="BL299" s="259"/>
      <c r="BM299" s="259"/>
      <c r="BN299" s="259"/>
      <c r="BO299" s="259"/>
      <c r="BP299" s="259"/>
      <c r="BQ299" s="259"/>
      <c r="BR299" s="259"/>
      <c r="BS299" s="259"/>
      <c r="BT299" s="259"/>
      <c r="BU299" s="259"/>
      <c r="BV299" s="259"/>
      <c r="BW299" s="259"/>
      <c r="BX299" s="259"/>
      <c r="BY299" s="259"/>
      <c r="BZ299" s="259"/>
      <c r="CA299" s="259"/>
      <c r="CB299" s="259"/>
      <c r="CC299" s="259"/>
      <c r="CD299" s="259"/>
      <c r="CE299" s="259"/>
      <c r="CF299" s="259"/>
      <c r="CG299" s="259"/>
      <c r="CH299" s="259"/>
      <c r="CI299" s="259"/>
      <c r="CJ299" s="259"/>
      <c r="CK299" s="259"/>
      <c r="CL299" s="259"/>
      <c r="CM299" s="259"/>
      <c r="CN299" s="259"/>
      <c r="CO299" s="259"/>
      <c r="CP299" s="259"/>
      <c r="CQ299" s="259"/>
      <c r="CR299" s="259"/>
      <c r="CS299" s="259"/>
      <c r="CT299" s="259"/>
      <c r="CU299" s="259"/>
      <c r="CV299" s="259"/>
      <c r="CW299" s="259"/>
      <c r="CX299" s="259"/>
      <c r="CY299" s="259"/>
      <c r="CZ299" s="259"/>
      <c r="DA299" s="259"/>
      <c r="DB299" s="259"/>
      <c r="DC299" s="259"/>
      <c r="DD299" s="259"/>
      <c r="DE299" s="259"/>
      <c r="DF299" s="259"/>
      <c r="DG299" s="259"/>
      <c r="DH299" s="259"/>
      <c r="DI299" s="259"/>
      <c r="DJ299" s="259"/>
      <c r="DK299" s="259"/>
      <c r="DL299" s="259"/>
      <c r="DM299" s="259"/>
      <c r="DN299" s="259"/>
      <c r="DO299" s="259"/>
      <c r="DP299" s="259"/>
      <c r="DQ299" s="259"/>
      <c r="DR299" s="259"/>
      <c r="DS299" s="259"/>
      <c r="DT299" s="259"/>
      <c r="DU299" s="259"/>
      <c r="DV299" s="259"/>
      <c r="DW299" s="259"/>
      <c r="DX299" s="259"/>
      <c r="DY299" s="259"/>
      <c r="DZ299" s="259"/>
      <c r="EA299" s="259"/>
      <c r="EB299" s="259"/>
      <c r="EC299" s="259"/>
      <c r="ED299" s="259"/>
      <c r="EE299" s="259"/>
      <c r="EF299" s="259"/>
      <c r="EG299" s="259"/>
      <c r="EH299" s="259"/>
      <c r="EI299" s="259"/>
      <c r="EJ299" s="259"/>
      <c r="EK299" s="259"/>
      <c r="EL299" s="259"/>
      <c r="EM299" s="259"/>
      <c r="EN299" s="259"/>
      <c r="EO299" s="259"/>
      <c r="EP299" s="259"/>
      <c r="EQ299" s="259"/>
      <c r="ER299" s="259"/>
      <c r="ES299" s="259"/>
      <c r="ET299" s="259"/>
      <c r="EU299" s="259"/>
      <c r="EV299" s="259"/>
      <c r="EW299" s="259"/>
      <c r="EX299" s="259"/>
      <c r="EY299" s="259"/>
      <c r="EZ299" s="259"/>
      <c r="FA299" s="259"/>
      <c r="FB299" s="259"/>
      <c r="FC299" s="259"/>
      <c r="FD299" s="259"/>
      <c r="FE299" s="259"/>
      <c r="FF299" s="259"/>
      <c r="FG299" s="259"/>
      <c r="FH299" s="259"/>
      <c r="FI299" s="259"/>
      <c r="FJ299" s="259"/>
      <c r="FK299" s="259"/>
      <c r="FL299" s="259"/>
      <c r="FM299" s="259"/>
      <c r="FN299" s="259"/>
      <c r="FO299" s="259"/>
      <c r="FP299" s="259"/>
      <c r="FQ299" s="259"/>
      <c r="FR299" s="259"/>
      <c r="FS299" s="259"/>
      <c r="FT299" s="259"/>
      <c r="FU299" s="259"/>
      <c r="FV299" s="259"/>
      <c r="FW299" s="259"/>
      <c r="FX299" s="259"/>
    </row>
    <row r="300" spans="1:180" ht="15.6" customHeight="1">
      <c r="A300" s="74"/>
      <c r="B300" s="39" t="s">
        <v>22</v>
      </c>
      <c r="C300" s="15"/>
      <c r="D300" s="15"/>
      <c r="E300" s="27"/>
      <c r="F300" s="132"/>
      <c r="G300" s="665"/>
      <c r="H300" s="1067"/>
      <c r="J300" s="260"/>
      <c r="K300" s="260"/>
      <c r="L300" s="260"/>
    </row>
    <row r="301" spans="1:180" ht="15.6" customHeight="1">
      <c r="A301" s="74">
        <f>+A298+1</f>
        <v>200</v>
      </c>
      <c r="B301" s="32"/>
      <c r="C301" s="56" t="s">
        <v>289</v>
      </c>
      <c r="D301" s="75" t="s">
        <v>65</v>
      </c>
      <c r="E301" s="34" t="str">
        <f>"(Note "&amp;A$317&amp;")"</f>
        <v>(Note L)</v>
      </c>
      <c r="F301" s="130" t="str">
        <f>+"WP19 Load Line "&amp;'WP19 Load'!A57&amp;" Column "&amp;'WP19 Load'!O5</f>
        <v xml:space="preserve">WP19 Load Line 24 Column N </v>
      </c>
      <c r="G301" s="665"/>
      <c r="H301" s="1083">
        <f>+'WP19 Load'!O57*1000</f>
        <v>11049315.25</v>
      </c>
      <c r="J301" s="260"/>
      <c r="K301" s="260"/>
      <c r="L301" s="260"/>
    </row>
    <row r="302" spans="1:180" ht="15.6" customHeight="1">
      <c r="A302" s="111">
        <f>+A301+1</f>
        <v>201</v>
      </c>
      <c r="B302" s="9"/>
      <c r="C302" s="8" t="s">
        <v>22</v>
      </c>
      <c r="D302" s="579"/>
      <c r="E302" s="189"/>
      <c r="F302" s="129" t="str">
        <f>"(Line "&amp;A298&amp;" / Line "&amp;A301&amp;")"</f>
        <v>(Line 199 / Line 200)</v>
      </c>
      <c r="G302" s="473"/>
      <c r="H302" s="1350">
        <f>IF(H301=0,0,H298/H301)</f>
        <v>27.148324509858917</v>
      </c>
      <c r="J302" s="260"/>
      <c r="K302" s="260"/>
      <c r="L302" s="260"/>
    </row>
    <row r="303" spans="1:180" ht="15.6" customHeight="1" thickBot="1">
      <c r="A303" s="149">
        <f>+A302+1</f>
        <v>202</v>
      </c>
      <c r="B303" s="150"/>
      <c r="C303" s="151" t="s">
        <v>165</v>
      </c>
      <c r="D303" s="152"/>
      <c r="E303" s="190"/>
      <c r="F303" s="472" t="str">
        <f>"(Line "&amp;A302&amp;" / 12)"</f>
        <v>(Line 201 / 12)</v>
      </c>
      <c r="G303" s="474"/>
      <c r="H303" s="1117">
        <f>H302/12</f>
        <v>2.2623603758215762</v>
      </c>
      <c r="J303" s="260"/>
      <c r="K303" s="260"/>
      <c r="L303" s="260"/>
    </row>
    <row r="304" spans="1:180" ht="13.95" customHeight="1">
      <c r="A304" s="34"/>
      <c r="B304" s="32"/>
      <c r="C304" s="8"/>
      <c r="D304" s="6"/>
      <c r="E304" s="31"/>
      <c r="F304" s="47"/>
      <c r="G304" s="465"/>
      <c r="H304" s="465"/>
      <c r="J304" s="260"/>
      <c r="K304" s="260"/>
      <c r="L304" s="260"/>
    </row>
    <row r="305" spans="1:12" ht="15.75" customHeight="1">
      <c r="A305" s="1920" t="s">
        <v>124</v>
      </c>
      <c r="B305" s="1920"/>
      <c r="C305" s="6"/>
      <c r="D305" s="6"/>
      <c r="E305" s="31"/>
      <c r="F305" s="61"/>
      <c r="H305" s="45"/>
      <c r="J305" s="260"/>
      <c r="K305" s="260"/>
      <c r="L305" s="260"/>
    </row>
    <row r="306" spans="1:12" ht="15.75" customHeight="1">
      <c r="A306" s="162" t="s">
        <v>67</v>
      </c>
      <c r="B306" s="259"/>
      <c r="C306" s="1912" t="s">
        <v>1320</v>
      </c>
      <c r="D306" s="1912"/>
      <c r="E306" s="1912"/>
      <c r="F306" s="1912"/>
      <c r="G306" s="1912"/>
      <c r="H306" s="1912"/>
      <c r="J306" s="260"/>
      <c r="K306" s="260"/>
      <c r="L306" s="260"/>
    </row>
    <row r="307" spans="1:12" ht="61.95" customHeight="1">
      <c r="A307" s="162" t="s">
        <v>114</v>
      </c>
      <c r="B307" s="259"/>
      <c r="C307" s="1913" t="s">
        <v>1093</v>
      </c>
      <c r="D307" s="1913"/>
      <c r="E307" s="1913"/>
      <c r="F307" s="1913"/>
      <c r="G307" s="1913"/>
      <c r="H307" s="1913"/>
      <c r="K307" s="260"/>
      <c r="L307" s="260"/>
    </row>
    <row r="308" spans="1:12">
      <c r="A308" s="162" t="s">
        <v>55</v>
      </c>
      <c r="B308" s="937"/>
      <c r="C308" s="1913" t="s">
        <v>734</v>
      </c>
      <c r="D308" s="1913"/>
      <c r="E308" s="1913"/>
      <c r="F308" s="1913"/>
      <c r="G308" s="1913"/>
      <c r="H308" s="1913"/>
      <c r="J308" s="260"/>
      <c r="K308" s="260"/>
      <c r="L308" s="260"/>
    </row>
    <row r="309" spans="1:12" ht="31.2" customHeight="1">
      <c r="A309" s="162" t="s">
        <v>68</v>
      </c>
      <c r="B309" s="259"/>
      <c r="C309" s="1910" t="s">
        <v>820</v>
      </c>
      <c r="D309" s="1910"/>
      <c r="E309" s="1910"/>
      <c r="F309" s="1910"/>
      <c r="G309" s="1910"/>
      <c r="H309" s="1910"/>
      <c r="K309" s="260"/>
      <c r="L309" s="260"/>
    </row>
    <row r="310" spans="1:12">
      <c r="A310" s="162" t="s">
        <v>66</v>
      </c>
      <c r="B310" s="259"/>
      <c r="C310" s="1948" t="s">
        <v>1319</v>
      </c>
      <c r="D310" s="1948"/>
      <c r="E310" s="1948"/>
      <c r="F310" s="1948"/>
      <c r="G310" s="1948"/>
      <c r="H310" s="1948"/>
      <c r="J310" s="260"/>
      <c r="K310" s="260"/>
      <c r="L310" s="260"/>
    </row>
    <row r="311" spans="1:12" ht="31.95" customHeight="1">
      <c r="A311" s="162" t="s">
        <v>154</v>
      </c>
      <c r="B311" s="259"/>
      <c r="C311" s="1910" t="s">
        <v>1094</v>
      </c>
      <c r="D311" s="1910"/>
      <c r="E311" s="1910"/>
      <c r="F311" s="1910"/>
      <c r="G311" s="1910"/>
      <c r="H311" s="1910"/>
      <c r="J311" s="260"/>
      <c r="K311" s="260"/>
      <c r="L311" s="260"/>
    </row>
    <row r="312" spans="1:12" ht="32.4" customHeight="1">
      <c r="A312" s="162" t="s">
        <v>69</v>
      </c>
      <c r="B312" s="259"/>
      <c r="C312" s="1915" t="s">
        <v>558</v>
      </c>
      <c r="D312" s="1915"/>
      <c r="E312" s="1915"/>
      <c r="F312" s="1915"/>
      <c r="G312" s="1915"/>
      <c r="H312" s="1915"/>
      <c r="K312" s="260"/>
      <c r="L312" s="260"/>
    </row>
    <row r="313" spans="1:12" ht="16.2" customHeight="1">
      <c r="A313" s="162" t="s">
        <v>166</v>
      </c>
      <c r="B313" s="259"/>
      <c r="C313" s="1538" t="s">
        <v>1321</v>
      </c>
      <c r="D313" s="1539"/>
      <c r="E313" s="1540"/>
      <c r="F313" s="1540"/>
      <c r="G313" s="1540"/>
      <c r="H313" s="1540"/>
      <c r="J313" s="260"/>
      <c r="K313" s="260"/>
      <c r="L313" s="260"/>
    </row>
    <row r="314" spans="1:12" ht="125.4" customHeight="1">
      <c r="A314" s="162" t="s">
        <v>59</v>
      </c>
      <c r="B314" s="259"/>
      <c r="C314" s="1915" t="s">
        <v>1881</v>
      </c>
      <c r="D314" s="1915"/>
      <c r="E314" s="1915"/>
      <c r="F314" s="1915"/>
      <c r="G314" s="1915"/>
      <c r="H314" s="1915"/>
      <c r="J314" s="1631" t="s">
        <v>1882</v>
      </c>
      <c r="K314" s="260"/>
      <c r="L314" s="260"/>
    </row>
    <row r="315" spans="1:12" ht="63.6" customHeight="1">
      <c r="A315" s="162" t="s">
        <v>60</v>
      </c>
      <c r="B315" s="259"/>
      <c r="C315" s="1915" t="s">
        <v>1762</v>
      </c>
      <c r="D315" s="1915"/>
      <c r="E315" s="1915"/>
      <c r="F315" s="1915"/>
      <c r="G315" s="1915"/>
      <c r="H315" s="1915"/>
      <c r="J315" s="1659" t="s">
        <v>1843</v>
      </c>
      <c r="K315" s="260"/>
      <c r="L315" s="260"/>
    </row>
    <row r="316" spans="1:12" ht="31.2" customHeight="1">
      <c r="A316" s="162" t="s">
        <v>71</v>
      </c>
      <c r="B316" s="259"/>
      <c r="C316" s="1910" t="s">
        <v>806</v>
      </c>
      <c r="D316" s="1910"/>
      <c r="E316" s="1910"/>
      <c r="F316" s="1910"/>
      <c r="G316" s="1910"/>
      <c r="H316" s="1910"/>
      <c r="I316" s="1544"/>
      <c r="J316" s="260"/>
      <c r="K316" s="260"/>
      <c r="L316" s="260"/>
    </row>
    <row r="317" spans="1:12" ht="32.4" customHeight="1">
      <c r="A317" s="162" t="s">
        <v>98</v>
      </c>
      <c r="B317" s="259"/>
      <c r="C317" s="1910" t="s">
        <v>819</v>
      </c>
      <c r="D317" s="1910"/>
      <c r="E317" s="1910"/>
      <c r="F317" s="1910"/>
      <c r="G317" s="1910"/>
      <c r="H317" s="1910"/>
      <c r="J317" s="260"/>
      <c r="K317" s="260"/>
      <c r="L317" s="260"/>
    </row>
    <row r="318" spans="1:12" ht="125.1" customHeight="1">
      <c r="A318" s="238" t="s">
        <v>99</v>
      </c>
      <c r="B318" s="259"/>
      <c r="C318" s="1913" t="s">
        <v>1095</v>
      </c>
      <c r="D318" s="1913"/>
      <c r="E318" s="1913"/>
      <c r="F318" s="1913"/>
      <c r="G318" s="1913"/>
      <c r="H318" s="1913"/>
      <c r="J318" s="260"/>
      <c r="K318" s="260"/>
      <c r="L318" s="260"/>
    </row>
    <row r="319" spans="1:12" ht="47.4" customHeight="1">
      <c r="A319" s="162" t="s">
        <v>155</v>
      </c>
      <c r="B319" s="259"/>
      <c r="C319" s="1917" t="s">
        <v>869</v>
      </c>
      <c r="D319" s="1917"/>
      <c r="E319" s="1917"/>
      <c r="F319" s="1917"/>
      <c r="G319" s="1917"/>
      <c r="H319" s="1917"/>
      <c r="J319" s="260"/>
      <c r="K319" s="260"/>
      <c r="L319" s="260"/>
    </row>
    <row r="320" spans="1:12" ht="46.2" customHeight="1">
      <c r="A320" s="162" t="s">
        <v>221</v>
      </c>
      <c r="B320" s="259"/>
      <c r="C320" s="1910" t="s">
        <v>750</v>
      </c>
      <c r="D320" s="1910"/>
      <c r="E320" s="1910"/>
      <c r="F320" s="1910"/>
      <c r="G320" s="1910"/>
      <c r="H320" s="1910"/>
      <c r="K320" s="260"/>
      <c r="L320" s="260"/>
    </row>
    <row r="321" spans="1:12" ht="77.400000000000006" customHeight="1">
      <c r="A321" s="162" t="s">
        <v>222</v>
      </c>
      <c r="B321" s="259"/>
      <c r="C321" s="1917" t="s">
        <v>1763</v>
      </c>
      <c r="D321" s="1917"/>
      <c r="E321" s="1917"/>
      <c r="F321" s="1917"/>
      <c r="G321" s="1917"/>
      <c r="H321" s="1917"/>
      <c r="J321" s="1631" t="s">
        <v>1810</v>
      </c>
      <c r="K321" s="1631"/>
      <c r="L321" s="260"/>
    </row>
    <row r="322" spans="1:12" ht="31.2" customHeight="1">
      <c r="A322" s="162" t="s">
        <v>223</v>
      </c>
      <c r="B322" s="259"/>
      <c r="C322" s="1910" t="s">
        <v>870</v>
      </c>
      <c r="D322" s="1910"/>
      <c r="E322" s="1910"/>
      <c r="F322" s="1910"/>
      <c r="G322" s="1910"/>
      <c r="H322" s="1910"/>
      <c r="K322" s="260"/>
      <c r="L322" s="260"/>
    </row>
    <row r="323" spans="1:12" ht="15" customHeight="1">
      <c r="A323" s="238" t="s">
        <v>224</v>
      </c>
      <c r="B323" s="259"/>
      <c r="C323" s="1916" t="s">
        <v>871</v>
      </c>
      <c r="D323" s="1916"/>
      <c r="E323" s="1916"/>
      <c r="F323" s="1916"/>
      <c r="G323" s="1916"/>
      <c r="H323" s="1916"/>
      <c r="J323" s="260"/>
      <c r="K323" s="260"/>
      <c r="L323" s="260"/>
    </row>
    <row r="324" spans="1:12" ht="33" customHeight="1">
      <c r="A324" s="238" t="s">
        <v>225</v>
      </c>
      <c r="B324" s="259"/>
      <c r="C324" s="1910" t="s">
        <v>537</v>
      </c>
      <c r="D324" s="1910"/>
      <c r="E324" s="1910"/>
      <c r="F324" s="1910"/>
      <c r="G324" s="1910"/>
      <c r="H324" s="1910"/>
      <c r="K324" s="260"/>
      <c r="L324" s="260"/>
    </row>
    <row r="325" spans="1:12" ht="31.2" customHeight="1">
      <c r="A325" s="238" t="s">
        <v>226</v>
      </c>
      <c r="B325" s="259"/>
      <c r="C325" s="1910" t="s">
        <v>1073</v>
      </c>
      <c r="D325" s="1910"/>
      <c r="E325" s="1910"/>
      <c r="F325" s="1910"/>
      <c r="G325" s="1910"/>
      <c r="H325" s="1910"/>
      <c r="J325" s="260"/>
      <c r="K325" s="260"/>
      <c r="L325" s="260"/>
    </row>
    <row r="326" spans="1:12" ht="31.95" customHeight="1">
      <c r="A326" s="238" t="s">
        <v>227</v>
      </c>
      <c r="B326" s="259"/>
      <c r="C326" s="1910" t="s">
        <v>1074</v>
      </c>
      <c r="D326" s="1910"/>
      <c r="E326" s="1910"/>
      <c r="F326" s="1910"/>
      <c r="G326" s="1910"/>
      <c r="H326" s="1910"/>
      <c r="J326" s="260"/>
      <c r="K326" s="260"/>
      <c r="L326" s="260"/>
    </row>
    <row r="327" spans="1:12" ht="31.2" customHeight="1">
      <c r="A327" s="238" t="s">
        <v>228</v>
      </c>
      <c r="B327" s="259"/>
      <c r="C327" s="1910" t="s">
        <v>1118</v>
      </c>
      <c r="D327" s="1910"/>
      <c r="E327" s="1910"/>
      <c r="F327" s="1910"/>
      <c r="G327" s="1910"/>
      <c r="H327" s="1910"/>
      <c r="J327" s="260"/>
      <c r="K327" s="260"/>
      <c r="L327" s="260"/>
    </row>
    <row r="328" spans="1:12">
      <c r="A328" s="238" t="s">
        <v>288</v>
      </c>
      <c r="B328" s="259"/>
      <c r="C328" s="1910" t="s">
        <v>658</v>
      </c>
      <c r="D328" s="1910"/>
      <c r="E328" s="1910"/>
      <c r="F328" s="1910"/>
      <c r="G328" s="1910"/>
      <c r="H328" s="1910"/>
    </row>
    <row r="329" spans="1:12" ht="48" customHeight="1">
      <c r="A329" s="238" t="s">
        <v>284</v>
      </c>
      <c r="B329" s="260"/>
      <c r="C329" s="1910" t="s">
        <v>1096</v>
      </c>
      <c r="D329" s="1910"/>
      <c r="E329" s="1910"/>
      <c r="F329" s="1910"/>
      <c r="G329" s="1910"/>
      <c r="H329" s="1910"/>
    </row>
    <row r="330" spans="1:12">
      <c r="A330" s="238" t="s">
        <v>285</v>
      </c>
      <c r="B330" s="260"/>
      <c r="C330" s="1910" t="s">
        <v>749</v>
      </c>
      <c r="D330" s="1910"/>
      <c r="E330" s="1910"/>
      <c r="F330" s="1910"/>
      <c r="G330" s="1910"/>
      <c r="H330" s="1910"/>
    </row>
    <row r="331" spans="1:12">
      <c r="A331" s="238" t="s">
        <v>286</v>
      </c>
      <c r="B331" s="260"/>
      <c r="C331" s="1910" t="s">
        <v>807</v>
      </c>
      <c r="D331" s="1910"/>
      <c r="E331" s="1910"/>
      <c r="F331" s="1910"/>
      <c r="G331" s="1910"/>
      <c r="H331" s="1910"/>
    </row>
    <row r="332" spans="1:12">
      <c r="A332" s="238" t="s">
        <v>287</v>
      </c>
      <c r="B332" s="260"/>
      <c r="C332" s="1910" t="s">
        <v>808</v>
      </c>
      <c r="D332" s="1910"/>
      <c r="E332" s="1910"/>
      <c r="F332" s="1910"/>
      <c r="G332" s="1910"/>
      <c r="H332" s="1910"/>
    </row>
    <row r="333" spans="1:12" ht="15" customHeight="1">
      <c r="A333" s="238" t="s">
        <v>310</v>
      </c>
      <c r="B333" s="260"/>
      <c r="C333" s="1910" t="s">
        <v>658</v>
      </c>
      <c r="D333" s="1910"/>
      <c r="E333" s="1910"/>
      <c r="F333" s="1910"/>
      <c r="G333" s="1910"/>
      <c r="H333" s="1910"/>
    </row>
    <row r="334" spans="1:12" ht="47.4" customHeight="1">
      <c r="A334" s="238" t="s">
        <v>311</v>
      </c>
      <c r="B334" s="260"/>
      <c r="C334" s="1910" t="s">
        <v>763</v>
      </c>
      <c r="D334" s="1910"/>
      <c r="E334" s="1910"/>
      <c r="F334" s="1910"/>
      <c r="G334" s="1910"/>
      <c r="H334" s="1910"/>
    </row>
    <row r="335" spans="1:12" ht="16.2" customHeight="1">
      <c r="A335" s="238" t="s">
        <v>312</v>
      </c>
      <c r="B335" s="260"/>
      <c r="C335" s="1910" t="s">
        <v>313</v>
      </c>
      <c r="D335" s="1910"/>
      <c r="E335" s="1910"/>
      <c r="F335" s="1910"/>
      <c r="G335" s="1910"/>
      <c r="H335" s="1910"/>
    </row>
    <row r="336" spans="1:12">
      <c r="A336" s="238" t="s">
        <v>538</v>
      </c>
      <c r="B336" s="259"/>
      <c r="C336" s="1910" t="s">
        <v>809</v>
      </c>
      <c r="D336" s="1910"/>
      <c r="E336" s="1910"/>
      <c r="F336" s="1910"/>
      <c r="G336" s="1910"/>
      <c r="H336" s="1910"/>
    </row>
    <row r="337" spans="1:10" ht="46.95" customHeight="1">
      <c r="A337" s="238" t="s">
        <v>542</v>
      </c>
      <c r="B337" s="260"/>
      <c r="C337" s="1910" t="s">
        <v>1117</v>
      </c>
      <c r="D337" s="1910"/>
      <c r="E337" s="1910"/>
      <c r="F337" s="1910"/>
      <c r="G337" s="1910"/>
      <c r="H337" s="1910"/>
      <c r="I337" s="695"/>
    </row>
    <row r="338" spans="1:10">
      <c r="A338" s="238" t="s">
        <v>543</v>
      </c>
      <c r="B338" s="260"/>
      <c r="C338" s="1910" t="s">
        <v>872</v>
      </c>
      <c r="D338" s="1910"/>
      <c r="E338" s="1910"/>
      <c r="F338" s="1910"/>
      <c r="G338" s="1910"/>
      <c r="H338" s="1910"/>
    </row>
    <row r="339" spans="1:10" ht="31.95" customHeight="1">
      <c r="A339" s="238" t="s">
        <v>544</v>
      </c>
      <c r="B339" s="259"/>
      <c r="C339" s="1913" t="s">
        <v>1075</v>
      </c>
      <c r="D339" s="1913"/>
      <c r="E339" s="1913"/>
      <c r="F339" s="1913"/>
      <c r="G339" s="1913"/>
      <c r="H339" s="1913"/>
    </row>
    <row r="340" spans="1:10" ht="31.2" customHeight="1">
      <c r="A340" s="238" t="s">
        <v>545</v>
      </c>
      <c r="B340" s="259"/>
      <c r="C340" s="1913" t="s">
        <v>1115</v>
      </c>
      <c r="D340" s="1913"/>
      <c r="E340" s="1913"/>
      <c r="F340" s="1913"/>
      <c r="G340" s="1913"/>
      <c r="H340" s="1913"/>
    </row>
    <row r="341" spans="1:10">
      <c r="A341" s="238" t="s">
        <v>546</v>
      </c>
      <c r="B341" s="260"/>
      <c r="C341" s="1910" t="s">
        <v>1076</v>
      </c>
      <c r="D341" s="1910"/>
      <c r="E341" s="1910"/>
      <c r="F341" s="1910"/>
      <c r="G341" s="1910"/>
      <c r="H341" s="1910"/>
    </row>
    <row r="342" spans="1:10">
      <c r="A342" s="238" t="s">
        <v>547</v>
      </c>
      <c r="B342" s="260"/>
      <c r="C342" s="1910" t="s">
        <v>1077</v>
      </c>
      <c r="D342" s="1910"/>
      <c r="E342" s="1910"/>
      <c r="F342" s="1910"/>
      <c r="G342" s="1910"/>
      <c r="H342" s="1910"/>
    </row>
    <row r="343" spans="1:10" s="260" customFormat="1" ht="70.2" customHeight="1">
      <c r="A343" s="238" t="s">
        <v>1756</v>
      </c>
      <c r="C343" s="1910" t="s">
        <v>1757</v>
      </c>
      <c r="D343" s="1911"/>
      <c r="E343" s="1911"/>
      <c r="F343" s="1911"/>
      <c r="G343" s="1911"/>
      <c r="H343" s="1911"/>
      <c r="J343" s="1631" t="s">
        <v>1811</v>
      </c>
    </row>
    <row r="344" spans="1:10">
      <c r="A344" s="238"/>
      <c r="B344" s="260"/>
      <c r="C344" s="1910"/>
      <c r="D344" s="1910"/>
      <c r="E344" s="1910"/>
      <c r="F344" s="1910"/>
      <c r="G344" s="1910"/>
      <c r="H344" s="1910"/>
    </row>
    <row r="345" spans="1:10" ht="15.6">
      <c r="A345" s="23" t="s">
        <v>54</v>
      </c>
      <c r="B345" s="22"/>
      <c r="C345" s="1914"/>
      <c r="D345" s="1914"/>
      <c r="E345" s="1914"/>
      <c r="F345" s="1914"/>
      <c r="G345" s="1914"/>
      <c r="H345" s="1914"/>
    </row>
  </sheetData>
  <mergeCells count="121">
    <mergeCell ref="C309:H309"/>
    <mergeCell ref="C310:H310"/>
    <mergeCell ref="C311:H311"/>
    <mergeCell ref="B221:C221"/>
    <mergeCell ref="C224:D224"/>
    <mergeCell ref="C190:D190"/>
    <mergeCell ref="C192:D192"/>
    <mergeCell ref="A195:C195"/>
    <mergeCell ref="B217:D217"/>
    <mergeCell ref="A219:C219"/>
    <mergeCell ref="C284:D284"/>
    <mergeCell ref="C285:D285"/>
    <mergeCell ref="C286:D286"/>
    <mergeCell ref="C295:D295"/>
    <mergeCell ref="C273:D273"/>
    <mergeCell ref="C276:D276"/>
    <mergeCell ref="C277:D277"/>
    <mergeCell ref="C281:D281"/>
    <mergeCell ref="C283:D283"/>
    <mergeCell ref="D208:E208"/>
    <mergeCell ref="D209:E209"/>
    <mergeCell ref="C244:D244"/>
    <mergeCell ref="B259:F259"/>
    <mergeCell ref="B267:D267"/>
    <mergeCell ref="C235:D235"/>
    <mergeCell ref="C137:D137"/>
    <mergeCell ref="B145:C145"/>
    <mergeCell ref="C146:D146"/>
    <mergeCell ref="C147:D147"/>
    <mergeCell ref="C150:D150"/>
    <mergeCell ref="C127:D127"/>
    <mergeCell ref="C128:E128"/>
    <mergeCell ref="B132:C132"/>
    <mergeCell ref="C134:D134"/>
    <mergeCell ref="C136:D136"/>
    <mergeCell ref="A172:C172"/>
    <mergeCell ref="C180:D180"/>
    <mergeCell ref="B185:C185"/>
    <mergeCell ref="A187:C187"/>
    <mergeCell ref="C189:D189"/>
    <mergeCell ref="C151:D151"/>
    <mergeCell ref="B156:C156"/>
    <mergeCell ref="B160:C160"/>
    <mergeCell ref="C168:D168"/>
    <mergeCell ref="B170:D170"/>
    <mergeCell ref="C111:D111"/>
    <mergeCell ref="C115:D115"/>
    <mergeCell ref="B118:C118"/>
    <mergeCell ref="B120:C120"/>
    <mergeCell ref="B89:C89"/>
    <mergeCell ref="C94:D94"/>
    <mergeCell ref="B96:C96"/>
    <mergeCell ref="B104:C104"/>
    <mergeCell ref="B106:C106"/>
    <mergeCell ref="B50:C50"/>
    <mergeCell ref="C57:D57"/>
    <mergeCell ref="A65:C65"/>
    <mergeCell ref="B39:C39"/>
    <mergeCell ref="B35:C35"/>
    <mergeCell ref="B32:C32"/>
    <mergeCell ref="B26:C26"/>
    <mergeCell ref="B10:C10"/>
    <mergeCell ref="B108:C108"/>
    <mergeCell ref="C315:H315"/>
    <mergeCell ref="A1:H1"/>
    <mergeCell ref="A3:H3"/>
    <mergeCell ref="C307:H307"/>
    <mergeCell ref="A305:B305"/>
    <mergeCell ref="D237:E238"/>
    <mergeCell ref="F237:F238"/>
    <mergeCell ref="C12:D12"/>
    <mergeCell ref="C28:D28"/>
    <mergeCell ref="C34:D34"/>
    <mergeCell ref="C41:D41"/>
    <mergeCell ref="C48:D48"/>
    <mergeCell ref="C53:D53"/>
    <mergeCell ref="C59:D59"/>
    <mergeCell ref="B61:D61"/>
    <mergeCell ref="B63:D63"/>
    <mergeCell ref="B52:C52"/>
    <mergeCell ref="B67:C67"/>
    <mergeCell ref="B75:D75"/>
    <mergeCell ref="B77:C77"/>
    <mergeCell ref="B79:E79"/>
    <mergeCell ref="B87:C87"/>
    <mergeCell ref="A8:C8"/>
    <mergeCell ref="A5:C5"/>
    <mergeCell ref="C332:H332"/>
    <mergeCell ref="C322:H322"/>
    <mergeCell ref="C323:H323"/>
    <mergeCell ref="C324:H324"/>
    <mergeCell ref="C325:H325"/>
    <mergeCell ref="C326:H326"/>
    <mergeCell ref="C327:H327"/>
    <mergeCell ref="C319:H319"/>
    <mergeCell ref="C320:H320"/>
    <mergeCell ref="C321:H321"/>
    <mergeCell ref="C343:H343"/>
    <mergeCell ref="C306:H306"/>
    <mergeCell ref="C308:H308"/>
    <mergeCell ref="C344:H344"/>
    <mergeCell ref="C345:H345"/>
    <mergeCell ref="C340:H340"/>
    <mergeCell ref="C342:H342"/>
    <mergeCell ref="C341:H341"/>
    <mergeCell ref="C337:H337"/>
    <mergeCell ref="C338:H338"/>
    <mergeCell ref="C339:H339"/>
    <mergeCell ref="C333:H333"/>
    <mergeCell ref="C334:H334"/>
    <mergeCell ref="C335:H335"/>
    <mergeCell ref="C316:H316"/>
    <mergeCell ref="C314:H314"/>
    <mergeCell ref="C312:H312"/>
    <mergeCell ref="C317:H317"/>
    <mergeCell ref="C318:H318"/>
    <mergeCell ref="C336:H336"/>
    <mergeCell ref="C328:H328"/>
    <mergeCell ref="C329:H329"/>
    <mergeCell ref="C330:H330"/>
    <mergeCell ref="C331:H331"/>
  </mergeCells>
  <printOptions horizontalCentered="1"/>
  <pageMargins left="0.65" right="0.65" top="0.7" bottom="0.7" header="0.3" footer="0.5"/>
  <pageSetup scale="52" fitToHeight="6" orientation="portrait" r:id="rId1"/>
  <headerFooter>
    <oddFooter>&amp;R&amp;14&amp;A</oddFooter>
  </headerFooter>
  <rowBreaks count="3" manualBreakCount="3">
    <brk id="87" max="7" man="1"/>
    <brk id="157" max="7" man="1"/>
    <brk id="239" max="7"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30"/>
  <sheetViews>
    <sheetView zoomScale="90" zoomScaleNormal="90" workbookViewId="0">
      <pane xSplit="3" ySplit="7" topLeftCell="D8" activePane="bottomRight" state="frozen"/>
      <selection activeCell="A21" sqref="A21"/>
      <selection pane="topRight" activeCell="A21" sqref="A21"/>
      <selection pane="bottomLeft" activeCell="A21" sqref="A21"/>
      <selection pane="bottomRight" activeCell="A21" sqref="A21"/>
    </sheetView>
  </sheetViews>
  <sheetFormatPr defaultColWidth="9.109375" defaultRowHeight="13.2"/>
  <cols>
    <col min="1" max="1" width="5.88671875" style="806" customWidth="1"/>
    <col min="2" max="2" width="7.6640625" style="799" bestFit="1" customWidth="1"/>
    <col min="3" max="3" width="29.44140625" style="799" bestFit="1" customWidth="1"/>
    <col min="4" max="16" width="12.6640625" style="799" customWidth="1"/>
    <col min="17" max="17" width="12.88671875" style="799" customWidth="1"/>
    <col min="18" max="19" width="6.88671875" style="799" customWidth="1"/>
    <col min="20" max="20" width="23.33203125" style="799" bestFit="1" customWidth="1"/>
    <col min="21" max="21" width="27.44140625" style="799" bestFit="1" customWidth="1"/>
    <col min="22" max="22" width="23.33203125" style="799" bestFit="1" customWidth="1"/>
    <col min="23" max="23" width="27.44140625" style="799" bestFit="1" customWidth="1"/>
    <col min="24" max="24" width="23.33203125" style="799" bestFit="1" customWidth="1"/>
    <col min="25" max="25" width="27.44140625" style="799" bestFit="1" customWidth="1"/>
    <col min="26" max="26" width="23.33203125" style="799" bestFit="1" customWidth="1"/>
    <col min="27" max="27" width="32.6640625" style="799" bestFit="1" customWidth="1"/>
    <col min="28" max="28" width="28.5546875" style="799" bestFit="1" customWidth="1"/>
    <col min="29" max="29" width="32.6640625" style="799" bestFit="1" customWidth="1"/>
    <col min="30" max="30" width="28.5546875" style="799" bestFit="1" customWidth="1"/>
    <col min="31" max="16384" width="9.109375" style="799"/>
  </cols>
  <sheetData>
    <row r="1" spans="1:20" s="42" customFormat="1">
      <c r="A1" s="1964" t="str">
        <f>+'MISO Cover'!C6</f>
        <v>Entergy Louisiana, LLC</v>
      </c>
      <c r="B1" s="1964"/>
      <c r="C1" s="1964"/>
      <c r="D1" s="1964"/>
      <c r="E1" s="1964"/>
      <c r="F1" s="1964"/>
      <c r="G1" s="1964"/>
      <c r="H1" s="1964"/>
      <c r="I1" s="1964"/>
      <c r="J1" s="1964"/>
      <c r="K1" s="1964"/>
      <c r="L1" s="1964"/>
      <c r="M1" s="1964"/>
      <c r="N1" s="1964"/>
      <c r="O1" s="1964"/>
      <c r="P1" s="1964"/>
      <c r="Q1" s="1964"/>
    </row>
    <row r="2" spans="1:20" s="42" customFormat="1">
      <c r="A2" s="1957" t="s">
        <v>864</v>
      </c>
      <c r="B2" s="1957"/>
      <c r="C2" s="1957"/>
      <c r="D2" s="1957"/>
      <c r="E2" s="1957"/>
      <c r="F2" s="1957"/>
      <c r="G2" s="1957"/>
      <c r="H2" s="1957"/>
      <c r="I2" s="1957"/>
      <c r="J2" s="1957"/>
      <c r="K2" s="1957"/>
      <c r="L2" s="1957"/>
      <c r="M2" s="1957"/>
      <c r="N2" s="1957"/>
      <c r="O2" s="1957"/>
      <c r="P2" s="1957"/>
      <c r="Q2" s="1957"/>
    </row>
    <row r="3" spans="1:20" s="42" customFormat="1">
      <c r="A3" s="1964" t="str">
        <f>+'MISO Cover'!K4</f>
        <v>For  the 12 Months Ended 12/31/2016</v>
      </c>
      <c r="B3" s="1964"/>
      <c r="C3" s="1964"/>
      <c r="D3" s="1964"/>
      <c r="E3" s="1964"/>
      <c r="F3" s="1964"/>
      <c r="G3" s="1964"/>
      <c r="H3" s="1964"/>
      <c r="I3" s="1964"/>
      <c r="J3" s="1964"/>
      <c r="K3" s="1964"/>
      <c r="L3" s="1964"/>
      <c r="M3" s="1964"/>
      <c r="N3" s="1964"/>
      <c r="O3" s="1964"/>
      <c r="P3" s="1964"/>
      <c r="Q3" s="1964"/>
    </row>
    <row r="4" spans="1:20" s="42" customFormat="1">
      <c r="A4" s="749"/>
      <c r="B4" s="749"/>
      <c r="C4" s="749"/>
      <c r="D4" s="749"/>
      <c r="E4" s="749"/>
      <c r="F4" s="749"/>
      <c r="G4" s="749"/>
      <c r="H4" s="749"/>
      <c r="I4" s="749"/>
      <c r="J4" s="749"/>
      <c r="K4" s="749"/>
      <c r="L4" s="749"/>
      <c r="M4" s="749"/>
      <c r="N4" s="749"/>
      <c r="O4" s="749"/>
      <c r="P4" s="749"/>
      <c r="Q4" s="749"/>
    </row>
    <row r="5" spans="1:20" s="749" customFormat="1">
      <c r="A5" s="749" t="s">
        <v>279</v>
      </c>
      <c r="B5" s="749" t="s">
        <v>67</v>
      </c>
      <c r="C5" s="749" t="s">
        <v>114</v>
      </c>
      <c r="D5" s="749" t="s">
        <v>55</v>
      </c>
      <c r="E5" s="749" t="s">
        <v>68</v>
      </c>
      <c r="F5" s="749" t="s">
        <v>66</v>
      </c>
      <c r="G5" s="749" t="s">
        <v>154</v>
      </c>
      <c r="H5" s="749" t="s">
        <v>69</v>
      </c>
      <c r="I5" s="749" t="s">
        <v>166</v>
      </c>
      <c r="J5" s="749" t="s">
        <v>59</v>
      </c>
      <c r="K5" s="749" t="s">
        <v>445</v>
      </c>
      <c r="L5" s="749" t="s">
        <v>71</v>
      </c>
      <c r="M5" s="749" t="s">
        <v>98</v>
      </c>
      <c r="N5" s="749" t="s">
        <v>99</v>
      </c>
      <c r="O5" s="749" t="s">
        <v>155</v>
      </c>
      <c r="P5" s="749" t="s">
        <v>221</v>
      </c>
      <c r="Q5" s="749" t="s">
        <v>222</v>
      </c>
    </row>
    <row r="6" spans="1:20" s="42" customFormat="1">
      <c r="A6" s="868">
        <v>1</v>
      </c>
      <c r="B6" s="184"/>
      <c r="C6" s="184"/>
      <c r="D6" s="184"/>
      <c r="E6" s="184"/>
      <c r="F6" s="184"/>
      <c r="G6" s="184"/>
      <c r="H6" s="184"/>
      <c r="I6" s="184"/>
      <c r="J6" s="184"/>
      <c r="K6" s="184"/>
      <c r="L6" s="184"/>
      <c r="M6" s="184"/>
      <c r="N6" s="184"/>
      <c r="O6" s="184"/>
      <c r="P6" s="184"/>
      <c r="Q6" s="2044" t="s">
        <v>620</v>
      </c>
    </row>
    <row r="7" spans="1:20">
      <c r="A7" s="869">
        <f>1+A6</f>
        <v>2</v>
      </c>
      <c r="B7" s="799" t="s">
        <v>171</v>
      </c>
      <c r="C7" s="799" t="s">
        <v>269</v>
      </c>
      <c r="D7" s="1484" t="s">
        <v>37</v>
      </c>
      <c r="E7" s="1484" t="s">
        <v>27</v>
      </c>
      <c r="F7" s="1484" t="s">
        <v>28</v>
      </c>
      <c r="G7" s="1484" t="s">
        <v>29</v>
      </c>
      <c r="H7" s="1484" t="s">
        <v>30</v>
      </c>
      <c r="I7" s="1484" t="s">
        <v>26</v>
      </c>
      <c r="J7" s="1484" t="s">
        <v>31</v>
      </c>
      <c r="K7" s="1484" t="s">
        <v>32</v>
      </c>
      <c r="L7" s="1484" t="s">
        <v>33</v>
      </c>
      <c r="M7" s="1484" t="s">
        <v>34</v>
      </c>
      <c r="N7" s="1484" t="s">
        <v>35</v>
      </c>
      <c r="O7" s="1484" t="s">
        <v>36</v>
      </c>
      <c r="P7" s="1484" t="s">
        <v>37</v>
      </c>
      <c r="Q7" s="2045"/>
    </row>
    <row r="8" spans="1:20">
      <c r="A8" s="870">
        <f>+A7+0.01</f>
        <v>2.0099999999999998</v>
      </c>
      <c r="B8" s="1570" t="s">
        <v>1641</v>
      </c>
      <c r="C8" s="178"/>
      <c r="D8" s="1317">
        <v>-1056792.3400013712</v>
      </c>
      <c r="E8" s="1317">
        <v>-1116781.8499999924</v>
      </c>
      <c r="F8" s="1317">
        <v>-335703.08999999618</v>
      </c>
      <c r="G8" s="1317">
        <v>1233566.9400000032</v>
      </c>
      <c r="H8" s="1317">
        <v>3022026.680000002</v>
      </c>
      <c r="I8" s="1317">
        <v>3915681.5899999966</v>
      </c>
      <c r="J8" s="1317">
        <v>4717326.109999991</v>
      </c>
      <c r="K8" s="1317">
        <v>4976823.799999998</v>
      </c>
      <c r="L8" s="1317">
        <v>6250846.8799999813</v>
      </c>
      <c r="M8" s="1317">
        <v>8908824.0599999726</v>
      </c>
      <c r="N8" s="1317">
        <v>10070117.629999949</v>
      </c>
      <c r="O8" s="1317">
        <v>10188722.939999955</v>
      </c>
      <c r="P8" s="1317">
        <v>1.8612780650073546E-8</v>
      </c>
      <c r="Q8" s="800">
        <f t="shared" ref="Q8:Q24" si="0">SUM(D8:P8)/13</f>
        <v>3905743.0269229612</v>
      </c>
      <c r="R8" s="801"/>
      <c r="T8" s="1796" t="s">
        <v>2069</v>
      </c>
    </row>
    <row r="9" spans="1:20">
      <c r="A9" s="870">
        <f>+A8+0.01</f>
        <v>2.0199999999999996</v>
      </c>
      <c r="B9" s="1621" t="s">
        <v>1639</v>
      </c>
      <c r="C9" s="178"/>
      <c r="D9" s="1317">
        <v>0</v>
      </c>
      <c r="E9" s="1317">
        <v>0</v>
      </c>
      <c r="F9" s="1317">
        <v>0</v>
      </c>
      <c r="G9" s="1317">
        <v>0</v>
      </c>
      <c r="H9" s="1317">
        <v>0</v>
      </c>
      <c r="I9" s="1317">
        <v>0</v>
      </c>
      <c r="J9" s="1317">
        <v>0</v>
      </c>
      <c r="K9" s="1317">
        <v>0</v>
      </c>
      <c r="L9" s="1317">
        <v>0</v>
      </c>
      <c r="M9" s="1317">
        <v>0</v>
      </c>
      <c r="N9" s="1317">
        <v>0</v>
      </c>
      <c r="O9" s="1317">
        <v>0</v>
      </c>
      <c r="P9" s="1317">
        <v>0</v>
      </c>
      <c r="Q9" s="800">
        <f t="shared" si="0"/>
        <v>0</v>
      </c>
      <c r="R9" s="801"/>
      <c r="T9" s="1797"/>
    </row>
    <row r="10" spans="1:20">
      <c r="A10" s="1474">
        <f>+A9+0.01</f>
        <v>2.0299999999999994</v>
      </c>
      <c r="B10" s="1570" t="s">
        <v>1642</v>
      </c>
      <c r="C10" s="178"/>
      <c r="D10" s="1317">
        <v>0</v>
      </c>
      <c r="E10" s="1317">
        <v>0</v>
      </c>
      <c r="F10" s="1317">
        <v>0</v>
      </c>
      <c r="G10" s="1317">
        <v>0</v>
      </c>
      <c r="H10" s="1317">
        <v>0</v>
      </c>
      <c r="I10" s="1317">
        <v>0</v>
      </c>
      <c r="J10" s="1317">
        <v>0</v>
      </c>
      <c r="K10" s="1317">
        <v>0</v>
      </c>
      <c r="L10" s="1317">
        <v>0</v>
      </c>
      <c r="M10" s="1317">
        <v>0</v>
      </c>
      <c r="N10" s="1317">
        <v>0</v>
      </c>
      <c r="O10" s="1317">
        <v>0</v>
      </c>
      <c r="P10" s="1317">
        <v>0</v>
      </c>
      <c r="Q10" s="800">
        <f t="shared" si="0"/>
        <v>0</v>
      </c>
      <c r="R10" s="801"/>
      <c r="T10" s="1797"/>
    </row>
    <row r="11" spans="1:20">
      <c r="A11" s="1474">
        <f t="shared" ref="A11:A22" si="1">+A10+0.01</f>
        <v>2.0399999999999991</v>
      </c>
      <c r="B11" s="1621" t="s">
        <v>1640</v>
      </c>
      <c r="C11" s="178"/>
      <c r="D11" s="1317">
        <v>0</v>
      </c>
      <c r="E11" s="1317">
        <v>0</v>
      </c>
      <c r="F11" s="1317">
        <v>0</v>
      </c>
      <c r="G11" s="1317">
        <v>0</v>
      </c>
      <c r="H11" s="1317">
        <v>0</v>
      </c>
      <c r="I11" s="1317">
        <v>0</v>
      </c>
      <c r="J11" s="1317">
        <v>0</v>
      </c>
      <c r="K11" s="1317">
        <v>0</v>
      </c>
      <c r="L11" s="1317">
        <v>0</v>
      </c>
      <c r="M11" s="1317">
        <v>0</v>
      </c>
      <c r="N11" s="1317">
        <v>0</v>
      </c>
      <c r="O11" s="1317">
        <v>0</v>
      </c>
      <c r="P11" s="1317">
        <v>0</v>
      </c>
      <c r="Q11" s="800">
        <f t="shared" si="0"/>
        <v>0</v>
      </c>
      <c r="R11" s="801"/>
      <c r="T11" s="1797"/>
    </row>
    <row r="12" spans="1:20">
      <c r="A12" s="1474">
        <f t="shared" si="1"/>
        <v>2.0499999999999989</v>
      </c>
      <c r="B12" s="1570" t="s">
        <v>1643</v>
      </c>
      <c r="C12" s="178"/>
      <c r="D12" s="1317">
        <v>0</v>
      </c>
      <c r="E12" s="1317">
        <v>0</v>
      </c>
      <c r="F12" s="1317">
        <v>0</v>
      </c>
      <c r="G12" s="1317">
        <v>-1233566.94</v>
      </c>
      <c r="H12" s="1317">
        <v>-3022026.68</v>
      </c>
      <c r="I12" s="1317">
        <v>-3915681.59</v>
      </c>
      <c r="J12" s="1317">
        <v>-4717326.1100000003</v>
      </c>
      <c r="K12" s="1317">
        <v>-4976823.8</v>
      </c>
      <c r="L12" s="1317">
        <v>-6250846.8799999999</v>
      </c>
      <c r="M12" s="1317">
        <v>-8908824.0600000005</v>
      </c>
      <c r="N12" s="1317">
        <v>-10070117.630000001</v>
      </c>
      <c r="O12" s="1317">
        <v>-10188722.939999999</v>
      </c>
      <c r="P12" s="1317">
        <v>0</v>
      </c>
      <c r="Q12" s="800">
        <f t="shared" si="0"/>
        <v>-4098764.3561538463</v>
      </c>
      <c r="R12" s="801"/>
      <c r="T12" s="1798" t="s">
        <v>2070</v>
      </c>
    </row>
    <row r="13" spans="1:20">
      <c r="A13" s="1474">
        <f t="shared" si="1"/>
        <v>2.0599999999999987</v>
      </c>
      <c r="B13" s="1570" t="s">
        <v>1644</v>
      </c>
      <c r="C13" s="178"/>
      <c r="D13" s="1317">
        <v>-290422616.26999998</v>
      </c>
      <c r="E13" s="1317">
        <v>-290481461.66000003</v>
      </c>
      <c r="F13" s="1317">
        <v>-290571252.48000002</v>
      </c>
      <c r="G13" s="1317">
        <v>-290665269.42000002</v>
      </c>
      <c r="H13" s="1317">
        <v>-290769269.08000004</v>
      </c>
      <c r="I13" s="1317">
        <v>-290870534.22000003</v>
      </c>
      <c r="J13" s="1317">
        <v>-290966980.18000001</v>
      </c>
      <c r="K13" s="1317">
        <v>-291066513.80000001</v>
      </c>
      <c r="L13" s="1317">
        <v>-291162263.31</v>
      </c>
      <c r="M13" s="1317">
        <v>-291245308.61000001</v>
      </c>
      <c r="N13" s="1317">
        <v>-291324427.62</v>
      </c>
      <c r="O13" s="1317">
        <v>-291406967.56</v>
      </c>
      <c r="P13" s="1317">
        <v>-291485344.79000002</v>
      </c>
      <c r="Q13" s="800">
        <f t="shared" si="0"/>
        <v>-290956785.30769235</v>
      </c>
      <c r="R13" s="801"/>
      <c r="T13" s="1798" t="s">
        <v>2070</v>
      </c>
    </row>
    <row r="14" spans="1:20">
      <c r="A14" s="1474">
        <f t="shared" si="1"/>
        <v>2.0699999999999985</v>
      </c>
      <c r="B14" s="1570" t="s">
        <v>1645</v>
      </c>
      <c r="C14" s="178"/>
      <c r="D14" s="1317">
        <v>-9359940.7400000077</v>
      </c>
      <c r="E14" s="1317">
        <v>-9251205.2500000056</v>
      </c>
      <c r="F14" s="1317">
        <v>-7710125.2400000058</v>
      </c>
      <c r="G14" s="1317">
        <v>-8880024.1900000088</v>
      </c>
      <c r="H14" s="1317">
        <v>-8827932.0000000037</v>
      </c>
      <c r="I14" s="1317">
        <v>-8875305.2900000028</v>
      </c>
      <c r="J14" s="1317">
        <v>-10610633.740000011</v>
      </c>
      <c r="K14" s="1317">
        <v>-10634843.190000007</v>
      </c>
      <c r="L14" s="1317">
        <v>-10580634.470000008</v>
      </c>
      <c r="M14" s="1317">
        <v>-10202333.320000006</v>
      </c>
      <c r="N14" s="1317">
        <v>-10184250.960000003</v>
      </c>
      <c r="O14" s="1317">
        <v>-10159678.960000008</v>
      </c>
      <c r="P14" s="1317">
        <v>-9773354.1600000095</v>
      </c>
      <c r="Q14" s="800">
        <f t="shared" si="0"/>
        <v>-9619250.885384623</v>
      </c>
      <c r="R14" s="801"/>
      <c r="T14" s="1798" t="s">
        <v>2070</v>
      </c>
    </row>
    <row r="15" spans="1:20">
      <c r="A15" s="1474">
        <f t="shared" si="1"/>
        <v>2.0799999999999983</v>
      </c>
      <c r="B15" s="1570" t="s">
        <v>1646</v>
      </c>
      <c r="C15" s="178"/>
      <c r="D15" s="1317">
        <v>-4541918.410000002</v>
      </c>
      <c r="E15" s="1317">
        <v>-4541918.4099999946</v>
      </c>
      <c r="F15" s="1317">
        <v>-4541750.4099999946</v>
      </c>
      <c r="G15" s="1317">
        <v>-3408024.5699999994</v>
      </c>
      <c r="H15" s="1317">
        <v>-3395548.6799999988</v>
      </c>
      <c r="I15" s="1317">
        <v>-3270548.2400000007</v>
      </c>
      <c r="J15" s="1317">
        <v>-5983024.2400000012</v>
      </c>
      <c r="K15" s="1317">
        <v>-5983003.4400000051</v>
      </c>
      <c r="L15" s="1317">
        <v>-6219670.1200000076</v>
      </c>
      <c r="M15" s="1317">
        <v>-6294692.1200000085</v>
      </c>
      <c r="N15" s="1317">
        <v>-5885425.4700000025</v>
      </c>
      <c r="O15" s="1317">
        <v>-5215425.8300000113</v>
      </c>
      <c r="P15" s="1317">
        <v>-5480425.8300000113</v>
      </c>
      <c r="Q15" s="800">
        <f t="shared" si="0"/>
        <v>-4981644.2900000028</v>
      </c>
      <c r="R15" s="801"/>
      <c r="T15" s="1798" t="s">
        <v>2070</v>
      </c>
    </row>
    <row r="16" spans="1:20">
      <c r="A16" s="1474">
        <f t="shared" si="1"/>
        <v>2.0899999999999981</v>
      </c>
      <c r="B16" s="1570" t="s">
        <v>1647</v>
      </c>
      <c r="C16" s="178"/>
      <c r="D16" s="1317">
        <v>-13314340.43</v>
      </c>
      <c r="E16" s="1317">
        <v>-13314340.43</v>
      </c>
      <c r="F16" s="1317">
        <v>-13314340.43</v>
      </c>
      <c r="G16" s="1317">
        <v>-13314340.43</v>
      </c>
      <c r="H16" s="1317">
        <v>-13314340.43</v>
      </c>
      <c r="I16" s="1317">
        <v>-13314340.43</v>
      </c>
      <c r="J16" s="1317">
        <v>-13314340.43</v>
      </c>
      <c r="K16" s="1317">
        <v>-13314340.43</v>
      </c>
      <c r="L16" s="1317">
        <v>-13314340.43</v>
      </c>
      <c r="M16" s="1317">
        <v>-13314340.43</v>
      </c>
      <c r="N16" s="1317">
        <v>-13314340.43</v>
      </c>
      <c r="O16" s="1317">
        <v>-13314340.43</v>
      </c>
      <c r="P16" s="1317">
        <v>-13910695.430000002</v>
      </c>
      <c r="Q16" s="800">
        <f t="shared" si="0"/>
        <v>-13360213.891538464</v>
      </c>
      <c r="R16" s="801"/>
      <c r="T16" s="1798" t="s">
        <v>2070</v>
      </c>
    </row>
    <row r="17" spans="1:20">
      <c r="A17" s="1474">
        <f t="shared" si="1"/>
        <v>2.0999999999999979</v>
      </c>
      <c r="B17" s="1570" t="s">
        <v>1648</v>
      </c>
      <c r="C17" s="178"/>
      <c r="D17" s="1317">
        <v>-337395999.59999996</v>
      </c>
      <c r="E17" s="1317">
        <v>-337611252.88999999</v>
      </c>
      <c r="F17" s="1317">
        <v>-337839556.11999995</v>
      </c>
      <c r="G17" s="1317">
        <v>-338627609.22000003</v>
      </c>
      <c r="H17" s="1317">
        <v>-338573892.67999995</v>
      </c>
      <c r="I17" s="1317">
        <v>-339667505.95000005</v>
      </c>
      <c r="J17" s="1317">
        <v>-339217581.67999989</v>
      </c>
      <c r="K17" s="1317">
        <v>-339655527.50999993</v>
      </c>
      <c r="L17" s="1317">
        <v>-340542711.90999997</v>
      </c>
      <c r="M17" s="1317">
        <v>-341225386.27999997</v>
      </c>
      <c r="N17" s="1317">
        <v>-341485181.21999997</v>
      </c>
      <c r="O17" s="1317">
        <v>-341175690.5399999</v>
      </c>
      <c r="P17" s="1317">
        <v>-323291000.18000007</v>
      </c>
      <c r="Q17" s="800">
        <f t="shared" si="0"/>
        <v>-338177607.36769223</v>
      </c>
      <c r="R17" s="801"/>
      <c r="T17" s="1798" t="s">
        <v>2070</v>
      </c>
    </row>
    <row r="18" spans="1:20">
      <c r="A18" s="1474">
        <f t="shared" si="1"/>
        <v>2.1099999999999977</v>
      </c>
      <c r="B18" s="1570" t="s">
        <v>1649</v>
      </c>
      <c r="C18" s="178"/>
      <c r="D18" s="1317">
        <v>-2401991.9000000185</v>
      </c>
      <c r="E18" s="1317">
        <v>-2508523.6699999915</v>
      </c>
      <c r="F18" s="1317">
        <v>-2449415.2599999951</v>
      </c>
      <c r="G18" s="1317">
        <v>-2418047.6099999985</v>
      </c>
      <c r="H18" s="1317">
        <v>-2482506.2300000009</v>
      </c>
      <c r="I18" s="1317">
        <v>-2491359.859999998</v>
      </c>
      <c r="J18" s="1317">
        <v>-2406216.0000000005</v>
      </c>
      <c r="K18" s="1317">
        <v>-2484559.0900000008</v>
      </c>
      <c r="L18" s="1317">
        <v>-2327885.7299999921</v>
      </c>
      <c r="M18" s="1317">
        <v>-2354002.3799999906</v>
      </c>
      <c r="N18" s="1317">
        <v>-2346719.8299999861</v>
      </c>
      <c r="O18" s="1317">
        <v>-2256293.8699999964</v>
      </c>
      <c r="P18" s="1317">
        <v>-2353998.4699999895</v>
      </c>
      <c r="Q18" s="800">
        <f t="shared" si="0"/>
        <v>-2406270.7615384585</v>
      </c>
      <c r="R18" s="801"/>
      <c r="T18" s="1798" t="s">
        <v>2070</v>
      </c>
    </row>
    <row r="19" spans="1:20">
      <c r="A19" s="1474">
        <f t="shared" si="1"/>
        <v>2.1199999999999974</v>
      </c>
      <c r="B19" s="1570" t="s">
        <v>1650</v>
      </c>
      <c r="C19" s="178"/>
      <c r="D19" s="1317">
        <v>-1282548.0299999984</v>
      </c>
      <c r="E19" s="1317">
        <v>-1214781.2300000004</v>
      </c>
      <c r="F19" s="1317">
        <v>-1136206.6500000004</v>
      </c>
      <c r="G19" s="1317">
        <v>-1009440.7600000016</v>
      </c>
      <c r="H19" s="1317">
        <v>-755750.83000000101</v>
      </c>
      <c r="I19" s="1317">
        <v>-794976.00000000186</v>
      </c>
      <c r="J19" s="1317">
        <v>-849304.90000000037</v>
      </c>
      <c r="K19" s="1317">
        <v>-784184.91000000108</v>
      </c>
      <c r="L19" s="1317">
        <v>-781986.4700000016</v>
      </c>
      <c r="M19" s="1317">
        <v>-647509.25000000186</v>
      </c>
      <c r="N19" s="1317">
        <v>-522360.94000000134</v>
      </c>
      <c r="O19" s="1317">
        <v>-396394.06000000052</v>
      </c>
      <c r="P19" s="1317">
        <v>-483016.47000000067</v>
      </c>
      <c r="Q19" s="800">
        <f t="shared" si="0"/>
        <v>-819881.57692307781</v>
      </c>
      <c r="R19" s="801"/>
    </row>
    <row r="20" spans="1:20">
      <c r="A20" s="1474">
        <f t="shared" si="1"/>
        <v>2.1299999999999972</v>
      </c>
      <c r="B20" s="1570" t="s">
        <v>1651</v>
      </c>
      <c r="C20" s="178"/>
      <c r="D20" s="1317">
        <v>0</v>
      </c>
      <c r="E20" s="1317">
        <v>0</v>
      </c>
      <c r="F20" s="1317">
        <v>0</v>
      </c>
      <c r="G20" s="1317">
        <v>0</v>
      </c>
      <c r="H20" s="1317">
        <v>0</v>
      </c>
      <c r="I20" s="1317">
        <v>0</v>
      </c>
      <c r="J20" s="1317">
        <v>0</v>
      </c>
      <c r="K20" s="1317">
        <v>0</v>
      </c>
      <c r="L20" s="1317">
        <v>0</v>
      </c>
      <c r="M20" s="1317">
        <v>0</v>
      </c>
      <c r="N20" s="1317">
        <v>0</v>
      </c>
      <c r="O20" s="1317">
        <v>0</v>
      </c>
      <c r="P20" s="1317">
        <v>0</v>
      </c>
      <c r="Q20" s="800">
        <f t="shared" si="0"/>
        <v>0</v>
      </c>
      <c r="R20" s="801"/>
    </row>
    <row r="21" spans="1:20">
      <c r="A21" s="1474">
        <f t="shared" si="1"/>
        <v>2.139999999999997</v>
      </c>
      <c r="B21" s="1570" t="s">
        <v>1652</v>
      </c>
      <c r="C21" s="178"/>
      <c r="D21" s="1317">
        <v>0</v>
      </c>
      <c r="E21" s="1317">
        <v>0</v>
      </c>
      <c r="F21" s="1317">
        <v>0</v>
      </c>
      <c r="G21" s="1317">
        <v>0</v>
      </c>
      <c r="H21" s="1317">
        <v>0</v>
      </c>
      <c r="I21" s="1317">
        <v>0</v>
      </c>
      <c r="J21" s="1317">
        <v>0</v>
      </c>
      <c r="K21" s="1317">
        <v>0</v>
      </c>
      <c r="L21" s="1317">
        <v>0</v>
      </c>
      <c r="M21" s="1317">
        <v>0</v>
      </c>
      <c r="N21" s="1317">
        <v>0</v>
      </c>
      <c r="O21" s="1317">
        <v>0</v>
      </c>
      <c r="P21" s="1317">
        <v>0</v>
      </c>
      <c r="Q21" s="800">
        <f t="shared" si="0"/>
        <v>0</v>
      </c>
      <c r="R21" s="801"/>
    </row>
    <row r="22" spans="1:20">
      <c r="A22" s="1475">
        <f t="shared" si="1"/>
        <v>2.1499999999999968</v>
      </c>
      <c r="B22" s="1316" t="s">
        <v>936</v>
      </c>
      <c r="C22" s="187"/>
      <c r="D22" s="1317">
        <v>0</v>
      </c>
      <c r="E22" s="1317">
        <v>0</v>
      </c>
      <c r="F22" s="1317">
        <v>0</v>
      </c>
      <c r="G22" s="1317">
        <v>0</v>
      </c>
      <c r="H22" s="1317">
        <v>0</v>
      </c>
      <c r="I22" s="1317">
        <v>0</v>
      </c>
      <c r="J22" s="1317">
        <v>0</v>
      </c>
      <c r="K22" s="1317">
        <v>0</v>
      </c>
      <c r="L22" s="1317">
        <v>0</v>
      </c>
      <c r="M22" s="1317">
        <v>0</v>
      </c>
      <c r="N22" s="1317">
        <v>0</v>
      </c>
      <c r="O22" s="1317">
        <v>0</v>
      </c>
      <c r="P22" s="1317">
        <v>0</v>
      </c>
      <c r="Q22" s="800">
        <f t="shared" si="0"/>
        <v>0</v>
      </c>
      <c r="R22" s="801"/>
    </row>
    <row r="23" spans="1:20">
      <c r="A23" s="1287" t="s">
        <v>926</v>
      </c>
      <c r="B23" s="1316" t="s">
        <v>936</v>
      </c>
      <c r="C23" s="187"/>
      <c r="D23" s="1317">
        <v>0</v>
      </c>
      <c r="E23" s="1317">
        <v>0</v>
      </c>
      <c r="F23" s="1317">
        <v>0</v>
      </c>
      <c r="G23" s="1317">
        <v>0</v>
      </c>
      <c r="H23" s="1317">
        <v>0</v>
      </c>
      <c r="I23" s="1317">
        <v>0</v>
      </c>
      <c r="J23" s="1317">
        <v>0</v>
      </c>
      <c r="K23" s="1317">
        <v>0</v>
      </c>
      <c r="L23" s="1317">
        <v>0</v>
      </c>
      <c r="M23" s="1317">
        <v>0</v>
      </c>
      <c r="N23" s="1317">
        <v>0</v>
      </c>
      <c r="O23" s="1317">
        <v>0</v>
      </c>
      <c r="P23" s="1317">
        <v>0</v>
      </c>
      <c r="Q23" s="800">
        <f t="shared" si="0"/>
        <v>0</v>
      </c>
      <c r="R23" s="801"/>
      <c r="T23" s="805"/>
    </row>
    <row r="24" spans="1:20">
      <c r="A24" s="1287" t="s">
        <v>929</v>
      </c>
      <c r="B24" s="1316" t="s">
        <v>936</v>
      </c>
      <c r="C24" s="187"/>
      <c r="D24" s="1318">
        <v>0</v>
      </c>
      <c r="E24" s="1318">
        <v>0</v>
      </c>
      <c r="F24" s="1318">
        <v>0</v>
      </c>
      <c r="G24" s="1318">
        <v>0</v>
      </c>
      <c r="H24" s="1318">
        <v>0</v>
      </c>
      <c r="I24" s="1318">
        <v>0</v>
      </c>
      <c r="J24" s="1318">
        <v>0</v>
      </c>
      <c r="K24" s="1318">
        <v>0</v>
      </c>
      <c r="L24" s="1318">
        <v>0</v>
      </c>
      <c r="M24" s="1318">
        <v>0</v>
      </c>
      <c r="N24" s="1318">
        <v>0</v>
      </c>
      <c r="O24" s="1318">
        <v>0</v>
      </c>
      <c r="P24" s="1318">
        <v>0</v>
      </c>
      <c r="Q24" s="1246">
        <f t="shared" si="0"/>
        <v>0</v>
      </c>
      <c r="R24" s="801"/>
      <c r="T24" s="805"/>
    </row>
    <row r="25" spans="1:20" s="805" customFormat="1">
      <c r="A25" s="869">
        <f>+A7+1</f>
        <v>3</v>
      </c>
      <c r="B25" s="802"/>
      <c r="C25" s="802" t="str">
        <f>+"Total   Sum (Ln "&amp;A7&amp;" Subparts)"</f>
        <v>Total   Sum (Ln 2 Subparts)</v>
      </c>
      <c r="D25" s="803">
        <f>SUM(D8:D24)</f>
        <v>-659776147.72000134</v>
      </c>
      <c r="E25" s="803">
        <f t="shared" ref="E25:P25" si="2">SUM(E8:E24)</f>
        <v>-660040265.38999999</v>
      </c>
      <c r="F25" s="803">
        <f t="shared" si="2"/>
        <v>-657898349.67999995</v>
      </c>
      <c r="G25" s="803">
        <f t="shared" si="2"/>
        <v>-658322756.20000005</v>
      </c>
      <c r="H25" s="803">
        <f t="shared" si="2"/>
        <v>-658119239.93000007</v>
      </c>
      <c r="I25" s="803">
        <f t="shared" si="2"/>
        <v>-659284569.99000013</v>
      </c>
      <c r="J25" s="803">
        <f t="shared" si="2"/>
        <v>-663348081.16999996</v>
      </c>
      <c r="K25" s="803">
        <f t="shared" si="2"/>
        <v>-663922972.36999989</v>
      </c>
      <c r="L25" s="803">
        <f t="shared" si="2"/>
        <v>-664929492.44000006</v>
      </c>
      <c r="M25" s="803">
        <f t="shared" si="2"/>
        <v>-665283572.38999999</v>
      </c>
      <c r="N25" s="803">
        <f t="shared" si="2"/>
        <v>-665062706.47000015</v>
      </c>
      <c r="O25" s="803">
        <f t="shared" si="2"/>
        <v>-663924791.24999988</v>
      </c>
      <c r="P25" s="803">
        <f t="shared" si="2"/>
        <v>-646777835.33000016</v>
      </c>
      <c r="Q25" s="803">
        <f>SUM(Q8:Q24)</f>
        <v>-660514675.41000021</v>
      </c>
      <c r="R25" s="804"/>
      <c r="T25" s="799"/>
    </row>
    <row r="26" spans="1:20" s="805" customFormat="1">
      <c r="A26" s="1133"/>
      <c r="D26" s="1019" t="s">
        <v>319</v>
      </c>
      <c r="P26" s="1019" t="s">
        <v>319</v>
      </c>
      <c r="T26" s="799"/>
    </row>
    <row r="27" spans="1:20">
      <c r="A27" s="806" t="s">
        <v>298</v>
      </c>
    </row>
    <row r="28" spans="1:20">
      <c r="A28" s="807" t="s">
        <v>167</v>
      </c>
      <c r="B28" s="1911" t="s">
        <v>951</v>
      </c>
      <c r="C28" s="1911"/>
      <c r="D28" s="1911"/>
      <c r="E28" s="1911"/>
      <c r="F28" s="1911"/>
      <c r="G28" s="1911"/>
      <c r="H28" s="1911"/>
      <c r="I28" s="1911"/>
      <c r="J28" s="1911"/>
      <c r="K28" s="1911"/>
      <c r="L28" s="1911"/>
      <c r="M28" s="1911"/>
      <c r="N28" s="1911"/>
      <c r="O28" s="1911"/>
      <c r="P28" s="1911"/>
      <c r="Q28" s="1911"/>
    </row>
    <row r="29" spans="1:20">
      <c r="A29" s="1019" t="s">
        <v>319</v>
      </c>
      <c r="B29" s="805" t="s">
        <v>673</v>
      </c>
      <c r="C29" s="805"/>
    </row>
    <row r="30" spans="1:20">
      <c r="A30" s="1019" t="s">
        <v>320</v>
      </c>
      <c r="B30" s="1965" t="s">
        <v>863</v>
      </c>
      <c r="C30" s="1965"/>
      <c r="D30" s="1965"/>
      <c r="E30" s="1965"/>
      <c r="F30" s="1965"/>
      <c r="G30" s="1965"/>
      <c r="H30" s="1965"/>
      <c r="I30" s="1965"/>
      <c r="J30" s="1965"/>
      <c r="K30" s="1965"/>
      <c r="L30" s="1965"/>
      <c r="M30" s="1965"/>
      <c r="N30" s="1965"/>
      <c r="O30" s="1965"/>
      <c r="P30" s="1965"/>
      <c r="Q30" s="1965"/>
    </row>
  </sheetData>
  <mergeCells count="6">
    <mergeCell ref="B30:Q30"/>
    <mergeCell ref="B28:Q28"/>
    <mergeCell ref="Q6:Q7"/>
    <mergeCell ref="A1:Q1"/>
    <mergeCell ref="A2:Q2"/>
    <mergeCell ref="A3:Q3"/>
  </mergeCells>
  <printOptions horizontalCentered="1"/>
  <pageMargins left="0.5" right="0.5" top="0.7" bottom="0.7" header="0.3" footer="0.5"/>
  <pageSetup scale="58" orientation="landscape" r:id="rId1"/>
  <headerFooter>
    <oddFooter>&amp;R&amp;A</oddFooter>
  </headerFooter>
  <ignoredErrors>
    <ignoredError sqref="A28:A30 D26:P2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A21" sqref="A21"/>
    </sheetView>
  </sheetViews>
  <sheetFormatPr defaultColWidth="8.88671875" defaultRowHeight="13.2"/>
  <cols>
    <col min="1" max="1" width="3.44140625" style="515" customWidth="1"/>
    <col min="2" max="2" width="7.33203125" style="515" customWidth="1"/>
    <col min="3" max="3" width="13.33203125" style="515" customWidth="1"/>
    <col min="4" max="5" width="15.6640625" style="515" customWidth="1"/>
    <col min="6" max="6" width="14.6640625" style="515" customWidth="1"/>
    <col min="7" max="7" width="13.6640625" style="515" customWidth="1"/>
    <col min="8" max="8" width="12.109375" style="515" customWidth="1"/>
    <col min="9" max="9" width="16" style="515" bestFit="1" customWidth="1"/>
    <col min="10" max="10" width="16" style="515" customWidth="1"/>
    <col min="11" max="11" width="14.88671875" style="515" customWidth="1"/>
    <col min="12" max="12" width="8.88671875" style="515"/>
    <col min="13" max="13" width="18.44140625" style="515" bestFit="1" customWidth="1"/>
    <col min="14" max="16384" width="8.88671875" style="515"/>
  </cols>
  <sheetData>
    <row r="1" spans="1:20" s="177" customFormat="1">
      <c r="A1" s="2047" t="str">
        <f>+'MISO Cover'!C6</f>
        <v>Entergy Louisiana, LLC</v>
      </c>
      <c r="B1" s="2043"/>
      <c r="C1" s="2043"/>
      <c r="D1" s="2043"/>
      <c r="E1" s="2043"/>
      <c r="F1" s="2043"/>
      <c r="G1" s="2043"/>
      <c r="H1" s="2043"/>
      <c r="I1" s="2043"/>
      <c r="J1" s="2043"/>
      <c r="K1" s="2043"/>
      <c r="L1" s="1567"/>
      <c r="M1" s="1567"/>
      <c r="N1" s="1567"/>
      <c r="O1" s="1567"/>
      <c r="P1" s="1567"/>
      <c r="Q1" s="1567"/>
      <c r="R1" s="1567"/>
      <c r="S1" s="1567"/>
      <c r="T1" s="1567"/>
    </row>
    <row r="2" spans="1:20" s="177" customFormat="1">
      <c r="A2" s="1980" t="s">
        <v>1850</v>
      </c>
      <c r="B2" s="1980"/>
      <c r="C2" s="1980"/>
      <c r="D2" s="1980"/>
      <c r="E2" s="1980"/>
      <c r="F2" s="1980"/>
      <c r="G2" s="1980"/>
      <c r="H2" s="1980"/>
      <c r="I2" s="1980"/>
      <c r="J2" s="1980"/>
      <c r="K2" s="1980"/>
      <c r="L2" s="1568"/>
      <c r="M2" s="1568"/>
      <c r="N2" s="1568"/>
      <c r="O2" s="1568"/>
      <c r="P2" s="1568"/>
      <c r="Q2" s="1568"/>
      <c r="R2" s="1568"/>
      <c r="S2" s="1568"/>
      <c r="T2" s="1568"/>
    </row>
    <row r="3" spans="1:20">
      <c r="A3" s="2047" t="str">
        <f>+'MISO Cover'!K4</f>
        <v>For  the 12 Months Ended 12/31/2016</v>
      </c>
      <c r="B3" s="2043"/>
      <c r="C3" s="2043"/>
      <c r="D3" s="2043"/>
      <c r="E3" s="2043"/>
      <c r="F3" s="2043"/>
      <c r="G3" s="2043"/>
      <c r="H3" s="2043"/>
      <c r="I3" s="2043"/>
      <c r="J3" s="2043"/>
      <c r="K3" s="2043"/>
      <c r="L3" s="1567"/>
      <c r="M3" s="1567"/>
      <c r="N3" s="1567"/>
      <c r="O3" s="1567"/>
      <c r="P3" s="1567"/>
      <c r="Q3" s="1567"/>
    </row>
    <row r="4" spans="1:20">
      <c r="A4" s="1702"/>
      <c r="B4" s="1702"/>
      <c r="C4" s="1702"/>
      <c r="D4" s="1702"/>
      <c r="E4" s="1702"/>
      <c r="F4" s="1702"/>
      <c r="G4" s="1702"/>
      <c r="H4" s="1702"/>
      <c r="I4" s="1702"/>
      <c r="J4" s="1702"/>
      <c r="K4" s="1702"/>
      <c r="L4" s="1567"/>
      <c r="M4" s="1567"/>
      <c r="N4" s="1567"/>
      <c r="O4" s="1567"/>
      <c r="P4" s="1567"/>
      <c r="Q4" s="1567"/>
    </row>
    <row r="5" spans="1:20" s="42" customFormat="1">
      <c r="A5" s="1701" t="s">
        <v>67</v>
      </c>
      <c r="B5" s="1701" t="s">
        <v>114</v>
      </c>
      <c r="C5" s="1701" t="s">
        <v>55</v>
      </c>
      <c r="D5" s="1701" t="s">
        <v>68</v>
      </c>
      <c r="E5" s="1701" t="s">
        <v>66</v>
      </c>
      <c r="F5" s="1701" t="s">
        <v>1851</v>
      </c>
      <c r="G5" s="1701" t="s">
        <v>69</v>
      </c>
      <c r="H5" s="1701" t="s">
        <v>166</v>
      </c>
      <c r="I5" s="1701" t="s">
        <v>59</v>
      </c>
      <c r="J5" s="1701" t="s">
        <v>60</v>
      </c>
      <c r="K5" s="1701" t="s">
        <v>1852</v>
      </c>
      <c r="L5" s="184"/>
      <c r="M5" s="184"/>
      <c r="N5" s="184"/>
      <c r="O5" s="184"/>
      <c r="P5" s="184"/>
      <c r="Q5" s="184"/>
    </row>
    <row r="6" spans="1:20" s="177" customFormat="1">
      <c r="A6" s="1709"/>
      <c r="B6" s="1709"/>
      <c r="F6" s="1710"/>
      <c r="G6" s="1709"/>
      <c r="H6" s="1711"/>
      <c r="I6" s="1711"/>
      <c r="J6" s="1711"/>
      <c r="K6" s="1711"/>
      <c r="L6" s="1711"/>
      <c r="M6" s="1711"/>
    </row>
    <row r="7" spans="1:20">
      <c r="A7" s="515">
        <v>1</v>
      </c>
      <c r="B7" s="515" t="s">
        <v>465</v>
      </c>
      <c r="C7" s="2048" t="s">
        <v>1853</v>
      </c>
      <c r="D7" s="2049"/>
      <c r="E7" s="2049"/>
      <c r="F7" s="2050"/>
      <c r="G7" s="2048" t="s">
        <v>1854</v>
      </c>
      <c r="H7" s="2049"/>
      <c r="I7" s="2049"/>
      <c r="J7" s="2049"/>
      <c r="K7" s="2050"/>
    </row>
    <row r="8" spans="1:20" ht="105.6">
      <c r="A8" s="515">
        <f>+A7+1</f>
        <v>2</v>
      </c>
      <c r="C8" s="1712" t="s">
        <v>1855</v>
      </c>
      <c r="D8" s="1712" t="s">
        <v>1856</v>
      </c>
      <c r="E8" s="1712" t="s">
        <v>1857</v>
      </c>
      <c r="F8" s="1712" t="s">
        <v>1858</v>
      </c>
      <c r="G8" s="1712" t="s">
        <v>1859</v>
      </c>
      <c r="H8" s="1712" t="s">
        <v>1860</v>
      </c>
      <c r="I8" s="1712" t="s">
        <v>1861</v>
      </c>
      <c r="J8" s="1712" t="s">
        <v>1862</v>
      </c>
      <c r="K8" s="1712" t="s">
        <v>1863</v>
      </c>
    </row>
    <row r="9" spans="1:20">
      <c r="A9" s="515">
        <f t="shared" ref="A9:A23" si="0">+A8+1</f>
        <v>3</v>
      </c>
      <c r="B9" s="1713"/>
      <c r="C9" s="1714" t="s">
        <v>167</v>
      </c>
      <c r="D9" s="1715"/>
      <c r="E9" s="1715"/>
      <c r="F9" s="1716"/>
      <c r="G9" s="1715"/>
      <c r="H9" s="1714" t="s">
        <v>319</v>
      </c>
      <c r="I9" s="1716"/>
      <c r="J9" s="1716"/>
    </row>
    <row r="10" spans="1:20">
      <c r="A10" s="177">
        <f t="shared" si="0"/>
        <v>4</v>
      </c>
      <c r="B10" s="1903" t="s">
        <v>37</v>
      </c>
      <c r="C10" s="204">
        <v>-493476342</v>
      </c>
      <c r="D10" s="204">
        <v>687305282.88</v>
      </c>
      <c r="E10" s="204">
        <v>51732646.57</v>
      </c>
      <c r="F10" s="520">
        <f t="shared" ref="F10" si="1">C10+D10+E10</f>
        <v>245561587.44999999</v>
      </c>
      <c r="G10" s="204">
        <v>-236897.00000000003</v>
      </c>
      <c r="H10" s="204">
        <v>-2313060.0299999984</v>
      </c>
      <c r="I10" s="204">
        <v>543693.39</v>
      </c>
      <c r="J10" s="204">
        <v>40922.600000000006</v>
      </c>
      <c r="K10" s="77">
        <f>G10+H10+I10+J10</f>
        <v>-1965341.0399999982</v>
      </c>
      <c r="L10" s="177"/>
      <c r="M10" s="2046"/>
      <c r="N10" s="2046"/>
      <c r="O10" s="2046"/>
      <c r="P10" s="2046"/>
      <c r="Q10" s="177"/>
    </row>
    <row r="11" spans="1:20">
      <c r="A11" s="177">
        <f t="shared" si="0"/>
        <v>5</v>
      </c>
      <c r="B11" s="1903" t="s">
        <v>27</v>
      </c>
      <c r="C11" s="204">
        <v>-473663066.99999994</v>
      </c>
      <c r="D11" s="204">
        <v>683602087.88</v>
      </c>
      <c r="E11" s="204">
        <v>51453911.57</v>
      </c>
      <c r="F11" s="520">
        <f t="shared" ref="F11:F22" si="2">C11+D11+E11</f>
        <v>261392932.45000005</v>
      </c>
      <c r="G11" s="204">
        <v>-236897.00000000003</v>
      </c>
      <c r="H11" s="204">
        <v>-2295450.7699999996</v>
      </c>
      <c r="I11" s="204">
        <v>531055.39</v>
      </c>
      <c r="J11" s="204">
        <v>40531.599999999999</v>
      </c>
      <c r="K11" s="77">
        <f t="shared" ref="K11:K22" si="3">G11+H11+I11+J11</f>
        <v>-1960760.7799999993</v>
      </c>
      <c r="L11" s="177"/>
      <c r="M11" s="177"/>
      <c r="N11" s="177"/>
      <c r="O11" s="177"/>
      <c r="P11" s="177"/>
      <c r="Q11" s="177"/>
    </row>
    <row r="12" spans="1:20">
      <c r="A12" s="177">
        <f t="shared" si="0"/>
        <v>6</v>
      </c>
      <c r="B12" s="1903" t="s">
        <v>28</v>
      </c>
      <c r="C12" s="204">
        <v>-473603791.99999994</v>
      </c>
      <c r="D12" s="204">
        <v>679898892.88</v>
      </c>
      <c r="E12" s="204">
        <v>51175176.57</v>
      </c>
      <c r="F12" s="520">
        <f t="shared" si="2"/>
        <v>257470277.45000005</v>
      </c>
      <c r="G12" s="204">
        <v>-236897.00000000003</v>
      </c>
      <c r="H12" s="204">
        <v>-2281453.8099999987</v>
      </c>
      <c r="I12" s="204">
        <v>518417.38999999996</v>
      </c>
      <c r="J12" s="204">
        <v>40140.6</v>
      </c>
      <c r="K12" s="77">
        <f t="shared" si="3"/>
        <v>-1959792.8199999987</v>
      </c>
      <c r="L12" s="177"/>
      <c r="M12" s="177"/>
      <c r="N12" s="177"/>
      <c r="O12" s="177"/>
      <c r="P12" s="177"/>
      <c r="Q12" s="177"/>
    </row>
    <row r="13" spans="1:20">
      <c r="A13" s="177">
        <f t="shared" si="0"/>
        <v>7</v>
      </c>
      <c r="B13" s="1903" t="s">
        <v>29</v>
      </c>
      <c r="C13" s="204">
        <v>-473103053.99999988</v>
      </c>
      <c r="D13" s="204">
        <v>676195697.88</v>
      </c>
      <c r="E13" s="204">
        <v>50896441.57</v>
      </c>
      <c r="F13" s="520">
        <f t="shared" si="2"/>
        <v>253989085.45000011</v>
      </c>
      <c r="G13" s="204">
        <v>-235079.00000000003</v>
      </c>
      <c r="H13" s="204">
        <v>-2269274.8499999982</v>
      </c>
      <c r="I13" s="204">
        <v>505779.38999999996</v>
      </c>
      <c r="J13" s="204">
        <v>39749.599999999999</v>
      </c>
      <c r="K13" s="77">
        <f t="shared" si="3"/>
        <v>-1958824.8599999982</v>
      </c>
      <c r="L13" s="177"/>
      <c r="M13" s="177"/>
      <c r="N13" s="177"/>
      <c r="O13" s="177"/>
      <c r="P13" s="177"/>
      <c r="Q13" s="177"/>
    </row>
    <row r="14" spans="1:20">
      <c r="A14" s="177">
        <f t="shared" si="0"/>
        <v>8</v>
      </c>
      <c r="B14" s="1903" t="s">
        <v>30</v>
      </c>
      <c r="C14" s="204">
        <v>-455919778.99999988</v>
      </c>
      <c r="D14" s="204">
        <v>672492502.88</v>
      </c>
      <c r="E14" s="204">
        <v>50617706.57</v>
      </c>
      <c r="F14" s="520">
        <f t="shared" si="2"/>
        <v>267190430.45000011</v>
      </c>
      <c r="G14" s="204">
        <v>-235079.00000000003</v>
      </c>
      <c r="H14" s="204">
        <v>-2255277.8899999992</v>
      </c>
      <c r="I14" s="204">
        <v>495225.38999999996</v>
      </c>
      <c r="J14" s="204">
        <v>37274.6</v>
      </c>
      <c r="K14" s="77">
        <f t="shared" si="3"/>
        <v>-1957856.8999999992</v>
      </c>
      <c r="L14" s="177"/>
      <c r="M14" s="177"/>
      <c r="N14" s="177"/>
      <c r="O14" s="177"/>
      <c r="P14" s="177"/>
      <c r="Q14" s="177"/>
    </row>
    <row r="15" spans="1:20">
      <c r="A15" s="177">
        <f t="shared" si="0"/>
        <v>9</v>
      </c>
      <c r="B15" s="1903" t="s">
        <v>26</v>
      </c>
      <c r="C15" s="204">
        <v>-455860504</v>
      </c>
      <c r="D15" s="204">
        <v>668789307.88</v>
      </c>
      <c r="E15" s="204">
        <v>50338971.57</v>
      </c>
      <c r="F15" s="520">
        <f t="shared" si="2"/>
        <v>263267775.44999999</v>
      </c>
      <c r="G15" s="204">
        <v>-235079.00000000003</v>
      </c>
      <c r="H15" s="204">
        <v>-2241280.9299999988</v>
      </c>
      <c r="I15" s="204">
        <v>483108.38999999996</v>
      </c>
      <c r="J15" s="204">
        <v>36362.6</v>
      </c>
      <c r="K15" s="77">
        <f t="shared" si="3"/>
        <v>-1956888.9399999988</v>
      </c>
      <c r="L15" s="177"/>
      <c r="M15" s="177"/>
      <c r="N15" s="177"/>
      <c r="O15" s="177"/>
      <c r="P15" s="177"/>
      <c r="Q15" s="177"/>
    </row>
    <row r="16" spans="1:20">
      <c r="A16" s="177">
        <f t="shared" si="0"/>
        <v>10</v>
      </c>
      <c r="B16" s="1903" t="s">
        <v>31</v>
      </c>
      <c r="C16" s="204">
        <v>-455801228.99999994</v>
      </c>
      <c r="D16" s="204">
        <v>665086112.88</v>
      </c>
      <c r="E16" s="204">
        <v>50060236.57</v>
      </c>
      <c r="F16" s="520">
        <f t="shared" si="2"/>
        <v>259345120.45000005</v>
      </c>
      <c r="G16" s="204">
        <v>-235079.00000000003</v>
      </c>
      <c r="H16" s="204">
        <v>-2227283.9699999983</v>
      </c>
      <c r="I16" s="204">
        <v>470991.38999999996</v>
      </c>
      <c r="J16" s="204">
        <v>35450.6</v>
      </c>
      <c r="K16" s="77">
        <f t="shared" si="3"/>
        <v>-1955920.9799999984</v>
      </c>
      <c r="L16" s="177"/>
      <c r="M16" s="177"/>
      <c r="N16" s="177"/>
      <c r="O16" s="177"/>
      <c r="P16" s="177"/>
      <c r="Q16" s="177"/>
    </row>
    <row r="17" spans="1:17">
      <c r="A17" s="177">
        <f t="shared" si="0"/>
        <v>11</v>
      </c>
      <c r="B17" s="1903" t="s">
        <v>32</v>
      </c>
      <c r="C17" s="204">
        <v>-438433922.99999988</v>
      </c>
      <c r="D17" s="204">
        <v>661382917.88</v>
      </c>
      <c r="E17" s="204">
        <v>49781501.57</v>
      </c>
      <c r="F17" s="520">
        <f t="shared" si="2"/>
        <v>272730496.45000011</v>
      </c>
      <c r="G17" s="204">
        <v>-235079.00000000003</v>
      </c>
      <c r="H17" s="204">
        <v>-2213287.0099999998</v>
      </c>
      <c r="I17" s="204">
        <v>458874.38999999996</v>
      </c>
      <c r="J17" s="204">
        <v>34538.6</v>
      </c>
      <c r="K17" s="77">
        <f t="shared" si="3"/>
        <v>-1954953.0199999998</v>
      </c>
      <c r="L17" s="177"/>
      <c r="M17" s="177"/>
      <c r="N17" s="177"/>
      <c r="O17" s="177"/>
      <c r="P17" s="177"/>
      <c r="Q17" s="177"/>
    </row>
    <row r="18" spans="1:17">
      <c r="A18" s="177">
        <f t="shared" si="0"/>
        <v>12</v>
      </c>
      <c r="B18" s="1903" t="s">
        <v>33</v>
      </c>
      <c r="C18" s="204">
        <v>-438374647.99999982</v>
      </c>
      <c r="D18" s="204">
        <v>657679722.88</v>
      </c>
      <c r="E18" s="204">
        <v>49502766.57</v>
      </c>
      <c r="F18" s="520">
        <f t="shared" si="2"/>
        <v>268807841.45000017</v>
      </c>
      <c r="G18" s="204">
        <v>-235079.00000000003</v>
      </c>
      <c r="H18" s="204">
        <v>-2199290.0499999993</v>
      </c>
      <c r="I18" s="204">
        <v>446757.38999999996</v>
      </c>
      <c r="J18" s="204">
        <v>33626.6</v>
      </c>
      <c r="K18" s="77">
        <f t="shared" si="3"/>
        <v>-1953985.0599999994</v>
      </c>
      <c r="L18" s="177"/>
      <c r="M18" s="177"/>
      <c r="N18" s="177"/>
      <c r="O18" s="177"/>
      <c r="P18" s="177"/>
      <c r="Q18" s="177"/>
    </row>
    <row r="19" spans="1:17">
      <c r="A19" s="177">
        <f t="shared" si="0"/>
        <v>13</v>
      </c>
      <c r="B19" s="1903" t="s">
        <v>34</v>
      </c>
      <c r="C19" s="204">
        <v>-425826372.99999982</v>
      </c>
      <c r="D19" s="204">
        <v>653976527.88</v>
      </c>
      <c r="E19" s="204">
        <v>49224031.57</v>
      </c>
      <c r="F19" s="520">
        <f t="shared" si="2"/>
        <v>277374186.45000017</v>
      </c>
      <c r="G19" s="204">
        <v>-231442.00000000003</v>
      </c>
      <c r="H19" s="204">
        <v>-2187983.0899999985</v>
      </c>
      <c r="I19" s="204">
        <v>434373.38999999996</v>
      </c>
      <c r="J19" s="204">
        <v>32693.599999999999</v>
      </c>
      <c r="K19" s="77">
        <f t="shared" si="3"/>
        <v>-1952358.0999999985</v>
      </c>
      <c r="L19" s="177"/>
      <c r="M19" s="177"/>
      <c r="N19" s="177"/>
      <c r="O19" s="177"/>
      <c r="P19" s="177"/>
      <c r="Q19" s="177"/>
    </row>
    <row r="20" spans="1:17">
      <c r="A20" s="177">
        <f t="shared" si="0"/>
        <v>14</v>
      </c>
      <c r="B20" s="1903" t="s">
        <v>35</v>
      </c>
      <c r="C20" s="204">
        <v>-408460097.99999994</v>
      </c>
      <c r="D20" s="204">
        <v>650273332.88</v>
      </c>
      <c r="E20" s="204">
        <v>48945296.57</v>
      </c>
      <c r="F20" s="520">
        <f t="shared" si="2"/>
        <v>290758531.45000005</v>
      </c>
      <c r="G20" s="204">
        <v>-231442.00000000003</v>
      </c>
      <c r="H20" s="204">
        <v>-2173039.1299999985</v>
      </c>
      <c r="I20" s="204">
        <v>421989.38999999996</v>
      </c>
      <c r="J20" s="204">
        <v>31760.6</v>
      </c>
      <c r="K20" s="77">
        <f t="shared" si="3"/>
        <v>-1950731.1399999985</v>
      </c>
      <c r="L20" s="177"/>
      <c r="M20" s="177"/>
      <c r="N20" s="177"/>
      <c r="O20" s="177"/>
      <c r="P20" s="177"/>
      <c r="Q20" s="177"/>
    </row>
    <row r="21" spans="1:17">
      <c r="A21" s="177">
        <f t="shared" si="0"/>
        <v>15</v>
      </c>
      <c r="B21" s="1903" t="s">
        <v>36</v>
      </c>
      <c r="C21" s="204">
        <v>-408400822.99999988</v>
      </c>
      <c r="D21" s="204">
        <v>646570137.88</v>
      </c>
      <c r="E21" s="204">
        <v>48666561.57</v>
      </c>
      <c r="F21" s="520">
        <f t="shared" si="2"/>
        <v>286835876.45000011</v>
      </c>
      <c r="G21" s="204">
        <v>-231442.00000000003</v>
      </c>
      <c r="H21" s="204">
        <v>-2158095.17</v>
      </c>
      <c r="I21" s="204">
        <v>409605.38999999996</v>
      </c>
      <c r="J21" s="204">
        <v>30827.599999999999</v>
      </c>
      <c r="K21" s="77">
        <f t="shared" si="3"/>
        <v>-1949104.18</v>
      </c>
      <c r="L21" s="177"/>
      <c r="M21" s="177"/>
      <c r="N21" s="177"/>
      <c r="O21" s="177"/>
      <c r="P21" s="177"/>
      <c r="Q21" s="177"/>
    </row>
    <row r="22" spans="1:17">
      <c r="A22" s="177">
        <f t="shared" si="0"/>
        <v>16</v>
      </c>
      <c r="B22" s="1903" t="s">
        <v>37</v>
      </c>
      <c r="C22" s="204">
        <v>-455085974.99999988</v>
      </c>
      <c r="D22" s="204">
        <v>686339420.88</v>
      </c>
      <c r="E22" s="204">
        <v>51659775.57</v>
      </c>
      <c r="F22" s="520">
        <f t="shared" si="2"/>
        <v>282913221.45000011</v>
      </c>
      <c r="G22" s="204">
        <v>-232677.00000000003</v>
      </c>
      <c r="H22" s="204">
        <v>-1901338.2099999986</v>
      </c>
      <c r="I22" s="204">
        <v>174693.38999999996</v>
      </c>
      <c r="J22" s="204">
        <v>13148.6</v>
      </c>
      <c r="K22" s="77">
        <f t="shared" si="3"/>
        <v>-1946173.2199999986</v>
      </c>
      <c r="L22" s="177"/>
      <c r="M22" s="177"/>
      <c r="N22" s="177"/>
      <c r="O22" s="177"/>
      <c r="P22" s="177"/>
      <c r="Q22" s="177"/>
    </row>
    <row r="23" spans="1:17">
      <c r="A23" s="177">
        <f t="shared" si="0"/>
        <v>17</v>
      </c>
      <c r="B23" s="1903"/>
      <c r="C23" s="1717" t="s">
        <v>167</v>
      </c>
      <c r="D23" s="249"/>
      <c r="E23" s="249"/>
      <c r="F23" s="520"/>
      <c r="G23" s="249"/>
      <c r="H23" s="1717" t="s">
        <v>319</v>
      </c>
      <c r="I23" s="249"/>
      <c r="J23" s="249"/>
      <c r="K23" s="77"/>
      <c r="L23" s="177"/>
      <c r="M23" s="177"/>
      <c r="N23" s="177"/>
      <c r="O23" s="177"/>
      <c r="P23" s="177"/>
      <c r="Q23" s="177"/>
    </row>
    <row r="24" spans="1:17" s="42" customFormat="1">
      <c r="A24" s="42">
        <f t="shared" ref="A24" si="4">A23+1</f>
        <v>18</v>
      </c>
      <c r="B24" s="688" t="s">
        <v>1864</v>
      </c>
      <c r="C24" s="520"/>
      <c r="D24" s="520"/>
      <c r="E24" s="520"/>
      <c r="F24" s="520">
        <f>+SUM(F10:F22)/13</f>
        <v>268279797.14230779</v>
      </c>
      <c r="G24" s="520"/>
      <c r="H24" s="520"/>
      <c r="I24" s="520"/>
      <c r="J24" s="520"/>
      <c r="K24" s="262">
        <f>+SUM(K10:K22)/13</f>
        <v>-1955591.6184615372</v>
      </c>
      <c r="L24" s="41"/>
      <c r="M24" s="41"/>
      <c r="N24" s="41"/>
      <c r="O24" s="41"/>
      <c r="P24" s="41"/>
      <c r="Q24" s="41"/>
    </row>
    <row r="25" spans="1:17" s="42" customFormat="1">
      <c r="K25" s="41"/>
      <c r="L25" s="41"/>
      <c r="M25" s="41"/>
      <c r="N25" s="41"/>
      <c r="O25" s="41"/>
      <c r="P25" s="41"/>
      <c r="Q25" s="41"/>
    </row>
    <row r="26" spans="1:17" s="42" customFormat="1">
      <c r="A26" s="42" t="s">
        <v>298</v>
      </c>
    </row>
    <row r="27" spans="1:17" s="42" customFormat="1">
      <c r="A27" s="770" t="s">
        <v>167</v>
      </c>
      <c r="B27" s="42" t="s">
        <v>1865</v>
      </c>
    </row>
    <row r="28" spans="1:17" s="42" customFormat="1">
      <c r="A28" s="770" t="s">
        <v>319</v>
      </c>
      <c r="B28" s="42" t="s">
        <v>1865</v>
      </c>
    </row>
    <row r="29" spans="1:17" s="42" customFormat="1">
      <c r="A29" s="1718" t="s">
        <v>320</v>
      </c>
      <c r="B29" s="42" t="s">
        <v>1866</v>
      </c>
    </row>
  </sheetData>
  <mergeCells count="6">
    <mergeCell ref="M10:P10"/>
    <mergeCell ref="A1:K1"/>
    <mergeCell ref="A2:K2"/>
    <mergeCell ref="A3:K3"/>
    <mergeCell ref="C7:F7"/>
    <mergeCell ref="G7:K7"/>
  </mergeCells>
  <pageMargins left="0.5" right="0.5" top="0.5" bottom="0.5" header="0.3" footer="0.5"/>
  <pageSetup scale="80" orientation="landscape" r:id="rId1"/>
  <headerFooter>
    <oddFooter>&amp;R&amp;A</oddFooter>
  </headerFooter>
  <ignoredErrors>
    <ignoredError sqref="C9:H9 C23:H23 A27:A29"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A21" sqref="A21"/>
    </sheetView>
  </sheetViews>
  <sheetFormatPr defaultColWidth="15.6640625" defaultRowHeight="13.2"/>
  <cols>
    <col min="1" max="16384" width="15.6640625" style="515"/>
  </cols>
  <sheetData>
    <row r="1" spans="1:3">
      <c r="A1" s="2051" t="str">
        <f>+'MISO Cover'!C6</f>
        <v>Entergy Louisiana, LLC</v>
      </c>
      <c r="B1" s="2052"/>
      <c r="C1" s="2052"/>
    </row>
    <row r="2" spans="1:3">
      <c r="A2" s="2053" t="s">
        <v>1867</v>
      </c>
      <c r="B2" s="2053"/>
      <c r="C2" s="2053"/>
    </row>
    <row r="3" spans="1:3">
      <c r="A3" s="2054" t="str">
        <f>+'MISO Cover'!K4</f>
        <v>For  the 12 Months Ended 12/31/2016</v>
      </c>
      <c r="B3" s="2055"/>
      <c r="C3" s="2055"/>
    </row>
    <row r="5" spans="1:3" s="1702" customFormat="1">
      <c r="A5" s="1702" t="s">
        <v>67</v>
      </c>
      <c r="B5" s="1702" t="s">
        <v>114</v>
      </c>
      <c r="C5" s="1702" t="s">
        <v>55</v>
      </c>
    </row>
    <row r="6" spans="1:3" s="1719" customFormat="1" ht="39.6">
      <c r="A6" s="1719" t="s">
        <v>279</v>
      </c>
      <c r="B6" s="1719" t="s">
        <v>1868</v>
      </c>
      <c r="C6" s="1719" t="s">
        <v>1869</v>
      </c>
    </row>
    <row r="7" spans="1:3">
      <c r="A7" s="1702">
        <v>1</v>
      </c>
      <c r="B7" s="204">
        <v>-2921459.05</v>
      </c>
      <c r="C7" s="204">
        <v>16827666.449999999</v>
      </c>
    </row>
    <row r="8" spans="1:3">
      <c r="A8" s="42"/>
      <c r="B8" s="770" t="s">
        <v>167</v>
      </c>
      <c r="C8" s="770" t="s">
        <v>319</v>
      </c>
    </row>
    <row r="9" spans="1:3">
      <c r="A9" s="42"/>
      <c r="B9" s="42"/>
      <c r="C9" s="42"/>
    </row>
    <row r="10" spans="1:3">
      <c r="A10" s="42" t="s">
        <v>298</v>
      </c>
      <c r="B10" s="42"/>
      <c r="C10" s="42"/>
    </row>
    <row r="11" spans="1:3">
      <c r="A11" s="1718" t="s">
        <v>1870</v>
      </c>
      <c r="B11" s="42"/>
      <c r="C11" s="42"/>
    </row>
    <row r="12" spans="1:3">
      <c r="A12" s="1718" t="s">
        <v>1871</v>
      </c>
      <c r="B12" s="42"/>
      <c r="C12" s="42"/>
    </row>
  </sheetData>
  <mergeCells count="3">
    <mergeCell ref="A1:C1"/>
    <mergeCell ref="A2:C2"/>
    <mergeCell ref="A3:C3"/>
  </mergeCells>
  <pageMargins left="0.7" right="0.7" top="0.75" bottom="0.75" header="0.3" footer="0.3"/>
  <pageSetup orientation="portrait" r:id="rId1"/>
  <ignoredErrors>
    <ignoredError sqref="B8:C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86"/>
  <sheetViews>
    <sheetView zoomScaleNormal="100" workbookViewId="0">
      <selection activeCell="A21" sqref="A21"/>
    </sheetView>
  </sheetViews>
  <sheetFormatPr defaultColWidth="8.88671875" defaultRowHeight="13.2"/>
  <cols>
    <col min="1" max="1" width="6.109375" style="604" customWidth="1"/>
    <col min="2" max="2" width="43.44140625" style="603" customWidth="1"/>
    <col min="3" max="3" width="11" style="603" bestFit="1" customWidth="1"/>
    <col min="4" max="4" width="7.109375" style="603" bestFit="1" customWidth="1"/>
    <col min="5" max="5" width="5.6640625" style="614" bestFit="1" customWidth="1"/>
    <col min="6" max="6" width="13.109375" style="614" bestFit="1" customWidth="1"/>
    <col min="7" max="7" width="10.109375" style="959" bestFit="1" customWidth="1"/>
    <col min="8" max="8" width="9.44140625" style="936" bestFit="1" customWidth="1"/>
    <col min="9" max="9" width="10.44140625" style="614" bestFit="1" customWidth="1"/>
    <col min="10" max="10" width="11.44140625" style="614" bestFit="1" customWidth="1"/>
    <col min="11" max="11" width="12.109375" style="959" bestFit="1" customWidth="1"/>
    <col min="12" max="12" width="9.88671875" style="603" customWidth="1"/>
    <col min="13" max="13" width="9.5546875" style="603" bestFit="1" customWidth="1"/>
    <col min="14" max="16384" width="8.88671875" style="603"/>
  </cols>
  <sheetData>
    <row r="1" spans="1:18">
      <c r="A1" s="2000" t="str">
        <f>+'MISO Cover'!C6</f>
        <v>Entergy Louisiana, LLC</v>
      </c>
      <c r="B1" s="2000"/>
      <c r="C1" s="2000"/>
      <c r="D1" s="2000"/>
      <c r="E1" s="2000"/>
      <c r="F1" s="2000"/>
      <c r="G1" s="2000"/>
      <c r="H1" s="2000"/>
      <c r="I1" s="2000"/>
      <c r="J1" s="2000"/>
      <c r="K1" s="2000"/>
      <c r="L1" s="824"/>
    </row>
    <row r="2" spans="1:18">
      <c r="A2" s="2001" t="s">
        <v>1069</v>
      </c>
      <c r="B2" s="2001"/>
      <c r="C2" s="2001"/>
      <c r="D2" s="2001"/>
      <c r="E2" s="2001"/>
      <c r="F2" s="2001"/>
      <c r="G2" s="2001"/>
      <c r="H2" s="2001"/>
      <c r="I2" s="2001"/>
      <c r="J2" s="2001"/>
      <c r="K2" s="2001"/>
      <c r="L2" s="167"/>
    </row>
    <row r="3" spans="1:18">
      <c r="A3" s="2000" t="str">
        <f>+'MISO Cover'!K4</f>
        <v>For  the 12 Months Ended 12/31/2016</v>
      </c>
      <c r="B3" s="2000"/>
      <c r="C3" s="2000"/>
      <c r="D3" s="2000"/>
      <c r="E3" s="2000"/>
      <c r="F3" s="2000"/>
      <c r="G3" s="2000"/>
      <c r="H3" s="2000"/>
      <c r="I3" s="2000"/>
      <c r="J3" s="2000"/>
      <c r="K3" s="2000"/>
    </row>
    <row r="4" spans="1:18">
      <c r="B4" s="825"/>
      <c r="C4" s="825"/>
      <c r="D4" s="825"/>
      <c r="E4" s="819"/>
      <c r="F4" s="819"/>
      <c r="G4" s="819"/>
      <c r="I4" s="819"/>
      <c r="J4" s="819"/>
      <c r="K4" s="819"/>
      <c r="L4" s="824"/>
    </row>
    <row r="5" spans="1:18">
      <c r="A5" s="2001" t="s">
        <v>1086</v>
      </c>
      <c r="B5" s="2001"/>
      <c r="C5" s="2001"/>
      <c r="D5" s="2001"/>
      <c r="E5" s="2001"/>
      <c r="F5" s="2001"/>
      <c r="G5" s="2001"/>
      <c r="H5" s="2001"/>
      <c r="I5" s="2001"/>
      <c r="J5" s="2001"/>
      <c r="K5" s="2001"/>
    </row>
    <row r="6" spans="1:18">
      <c r="A6" s="1119"/>
      <c r="B6" s="1119"/>
      <c r="C6" s="1119"/>
      <c r="D6" s="1119"/>
      <c r="E6" s="1119"/>
      <c r="F6" s="1119"/>
      <c r="G6" s="1119"/>
      <c r="H6" s="1119"/>
      <c r="I6" s="1119"/>
      <c r="J6" s="1119"/>
      <c r="K6" s="1119"/>
    </row>
    <row r="7" spans="1:18" s="936" customFormat="1">
      <c r="A7" s="933"/>
      <c r="B7" s="1119"/>
      <c r="C7" s="1258"/>
      <c r="D7" s="1258"/>
      <c r="E7" s="1258" t="str">
        <f>+C8&amp;" + "&amp;D8</f>
        <v>B + C</v>
      </c>
      <c r="G7" s="223" t="str">
        <f>+"- ("&amp;E8&amp;"+"&amp;F8&amp;")"</f>
        <v>- (D+E)</v>
      </c>
      <c r="H7" s="933" t="str">
        <f>+G8&amp;" * "&amp;D8&amp;"/"&amp;E8</f>
        <v>F * C/D</v>
      </c>
      <c r="K7" s="933" t="str">
        <f>+G8&amp;" - "&amp;I8&amp;" - "&amp;J8</f>
        <v>F - H - I</v>
      </c>
      <c r="L7" s="958"/>
    </row>
    <row r="8" spans="1:18" s="936" customFormat="1" ht="13.2" customHeight="1">
      <c r="A8" s="933" t="s">
        <v>279</v>
      </c>
      <c r="B8" s="810" t="s">
        <v>67</v>
      </c>
      <c r="C8" s="810" t="s">
        <v>114</v>
      </c>
      <c r="D8" s="810" t="s">
        <v>55</v>
      </c>
      <c r="E8" s="811" t="s">
        <v>68</v>
      </c>
      <c r="F8" s="811" t="s">
        <v>66</v>
      </c>
      <c r="G8" s="811" t="s">
        <v>154</v>
      </c>
      <c r="H8" s="811" t="s">
        <v>69</v>
      </c>
      <c r="I8" s="811" t="s">
        <v>166</v>
      </c>
      <c r="J8" s="811" t="s">
        <v>59</v>
      </c>
      <c r="K8" s="811" t="s">
        <v>60</v>
      </c>
      <c r="M8" s="1132"/>
      <c r="N8" s="1132"/>
      <c r="O8" s="1132"/>
      <c r="P8" s="1132"/>
      <c r="Q8" s="1132"/>
      <c r="R8" s="1130"/>
    </row>
    <row r="9" spans="1:18" s="936" customFormat="1" ht="15">
      <c r="A9" s="933"/>
      <c r="B9" s="810"/>
      <c r="C9" s="2056" t="s">
        <v>829</v>
      </c>
      <c r="D9" s="2056"/>
      <c r="E9" s="2056"/>
      <c r="F9" s="1233" t="s">
        <v>822</v>
      </c>
      <c r="G9" s="2056" t="s">
        <v>832</v>
      </c>
      <c r="H9" s="2056"/>
      <c r="I9" s="2056" t="s">
        <v>827</v>
      </c>
      <c r="J9" s="2056"/>
      <c r="K9" s="1233" t="s">
        <v>832</v>
      </c>
      <c r="M9" s="1132"/>
      <c r="N9" s="1132"/>
      <c r="O9" s="1132"/>
      <c r="P9" s="1132"/>
      <c r="Q9" s="1132"/>
      <c r="R9" s="1130"/>
    </row>
    <row r="10" spans="1:18" s="933" customFormat="1" ht="15" customHeight="1">
      <c r="A10" s="934">
        <v>1</v>
      </c>
      <c r="B10" s="826" t="s">
        <v>171</v>
      </c>
      <c r="C10" s="1307" t="s">
        <v>921</v>
      </c>
      <c r="D10" s="1131" t="s">
        <v>830</v>
      </c>
      <c r="E10" s="1131" t="s">
        <v>113</v>
      </c>
      <c r="F10" s="1131" t="s">
        <v>831</v>
      </c>
      <c r="G10" s="1131" t="s">
        <v>834</v>
      </c>
      <c r="H10" s="1308" t="s">
        <v>833</v>
      </c>
      <c r="I10" s="1131" t="s">
        <v>826</v>
      </c>
      <c r="J10" s="1131" t="s">
        <v>828</v>
      </c>
      <c r="K10" s="1131" t="s">
        <v>113</v>
      </c>
      <c r="M10" s="1132"/>
      <c r="N10" s="1132"/>
      <c r="O10" s="1132"/>
      <c r="P10" s="1132"/>
      <c r="Q10" s="1132"/>
      <c r="R10" s="1130"/>
    </row>
    <row r="11" spans="1:18">
      <c r="A11" s="935">
        <f>+A10+0.01</f>
        <v>1.01</v>
      </c>
      <c r="B11" s="566" t="s">
        <v>1653</v>
      </c>
      <c r="C11" s="204">
        <f>IFERROR(INDEX(#REF!,MATCH($B11,#REF!,0)),0)</f>
        <v>0</v>
      </c>
      <c r="D11" s="204">
        <f>IFERROR(INDEX(#REF!,MATCH($B11,#REF!,0)),0)</f>
        <v>0</v>
      </c>
      <c r="E11" s="77">
        <f t="shared" ref="E11:E34" si="0">+C11+D11</f>
        <v>0</v>
      </c>
      <c r="F11" s="204">
        <f>IFERROR(INDEX(#REF!,MATCH($B11,#REF!,0)),0)</f>
        <v>0</v>
      </c>
      <c r="G11" s="77">
        <f>-(E11+F11)</f>
        <v>0</v>
      </c>
      <c r="H11" s="494">
        <f t="shared" ref="H11:H51" si="1">G11*IF($E11=0,0,+ABS($D11)/(ABS($C11)+ABS($D11)))</f>
        <v>0</v>
      </c>
      <c r="I11" s="204">
        <v>0</v>
      </c>
      <c r="J11" s="204">
        <v>0</v>
      </c>
      <c r="K11" s="827">
        <f>+G11-I11-J11</f>
        <v>0</v>
      </c>
      <c r="L11" s="1050"/>
      <c r="M11" s="1132"/>
      <c r="N11" s="1132"/>
      <c r="O11" s="1132"/>
      <c r="P11" s="1132"/>
      <c r="Q11" s="1132"/>
    </row>
    <row r="12" spans="1:18">
      <c r="A12" s="935">
        <f t="shared" ref="A12:A53" si="2">+A11+0.01</f>
        <v>1.02</v>
      </c>
      <c r="B12" s="566" t="s">
        <v>1654</v>
      </c>
      <c r="C12" s="204">
        <f>IFERROR(INDEX(#REF!,MATCH($B12,#REF!,0)),0)</f>
        <v>0</v>
      </c>
      <c r="D12" s="204">
        <f>IFERROR(INDEX(#REF!,MATCH($B12,#REF!,0)),0)</f>
        <v>0</v>
      </c>
      <c r="E12" s="77">
        <f t="shared" si="0"/>
        <v>0</v>
      </c>
      <c r="F12" s="204">
        <f>IFERROR(INDEX(#REF!,MATCH($B12,#REF!,0)),0)</f>
        <v>0</v>
      </c>
      <c r="G12" s="77">
        <f t="shared" ref="G12:G51" si="3">-E12-F12</f>
        <v>0</v>
      </c>
      <c r="H12" s="494">
        <f t="shared" si="1"/>
        <v>0</v>
      </c>
      <c r="I12" s="204">
        <v>0</v>
      </c>
      <c r="J12" s="204">
        <v>0</v>
      </c>
      <c r="K12" s="827">
        <f t="shared" ref="K12:K52" si="4">+G12-I12-J12</f>
        <v>0</v>
      </c>
      <c r="L12" s="1050"/>
      <c r="M12" s="1132"/>
      <c r="N12" s="1132"/>
      <c r="O12" s="1132"/>
      <c r="P12" s="1132"/>
      <c r="Q12" s="1132"/>
    </row>
    <row r="13" spans="1:18">
      <c r="A13" s="935">
        <f t="shared" si="2"/>
        <v>1.03</v>
      </c>
      <c r="B13" s="566" t="s">
        <v>1655</v>
      </c>
      <c r="C13" s="204">
        <f>IFERROR(INDEX(#REF!,MATCH($B13,#REF!,0)),0)</f>
        <v>0</v>
      </c>
      <c r="D13" s="204">
        <f>IFERROR(INDEX(#REF!,MATCH($B13,#REF!,0)),0)</f>
        <v>0</v>
      </c>
      <c r="E13" s="77">
        <f t="shared" si="0"/>
        <v>0</v>
      </c>
      <c r="F13" s="204">
        <f>IFERROR(INDEX(#REF!,MATCH($B13,#REF!,0)),0)</f>
        <v>0</v>
      </c>
      <c r="G13" s="77">
        <f t="shared" si="3"/>
        <v>0</v>
      </c>
      <c r="H13" s="494">
        <f t="shared" si="1"/>
        <v>0</v>
      </c>
      <c r="I13" s="204">
        <v>0</v>
      </c>
      <c r="J13" s="204">
        <v>0</v>
      </c>
      <c r="K13" s="827">
        <f t="shared" si="4"/>
        <v>0</v>
      </c>
      <c r="L13" s="1050"/>
      <c r="M13" s="1132"/>
      <c r="N13" s="1132"/>
      <c r="O13" s="1132"/>
      <c r="P13" s="1132"/>
      <c r="Q13" s="1132"/>
    </row>
    <row r="14" spans="1:18">
      <c r="A14" s="935">
        <f t="shared" si="2"/>
        <v>1.04</v>
      </c>
      <c r="B14" s="566" t="s">
        <v>1656</v>
      </c>
      <c r="C14" s="204">
        <f>IFERROR(INDEX(#REF!,MATCH($B14,#REF!,0)),0)</f>
        <v>0</v>
      </c>
      <c r="D14" s="204">
        <f>IFERROR(INDEX(#REF!,MATCH($B14,#REF!,0)),0)</f>
        <v>0</v>
      </c>
      <c r="E14" s="77">
        <f t="shared" si="0"/>
        <v>0</v>
      </c>
      <c r="F14" s="204">
        <f>IFERROR(INDEX(#REF!,MATCH($B14,#REF!,0)),0)</f>
        <v>0</v>
      </c>
      <c r="G14" s="77">
        <f t="shared" si="3"/>
        <v>0</v>
      </c>
      <c r="H14" s="494">
        <f t="shared" si="1"/>
        <v>0</v>
      </c>
      <c r="I14" s="204">
        <v>0</v>
      </c>
      <c r="J14" s="204">
        <v>0</v>
      </c>
      <c r="K14" s="827">
        <f t="shared" si="4"/>
        <v>0</v>
      </c>
      <c r="L14" s="1050"/>
      <c r="M14" s="1132"/>
      <c r="N14" s="1132"/>
      <c r="O14" s="1132"/>
      <c r="P14" s="1132"/>
      <c r="Q14" s="1132"/>
    </row>
    <row r="15" spans="1:18">
      <c r="A15" s="935">
        <f t="shared" si="2"/>
        <v>1.05</v>
      </c>
      <c r="B15" s="1620" t="s">
        <v>1657</v>
      </c>
      <c r="C15" s="204">
        <f>IFERROR(INDEX(#REF!,MATCH($B15,#REF!,0)),0)</f>
        <v>0</v>
      </c>
      <c r="D15" s="204">
        <f>IFERROR(INDEX(#REF!,MATCH($B15,#REF!,0)),0)</f>
        <v>0</v>
      </c>
      <c r="E15" s="77">
        <f t="shared" si="0"/>
        <v>0</v>
      </c>
      <c r="F15" s="204">
        <f>IFERROR(INDEX(#REF!,MATCH($B15,#REF!,0)),0)</f>
        <v>0</v>
      </c>
      <c r="G15" s="77">
        <f t="shared" si="3"/>
        <v>0</v>
      </c>
      <c r="H15" s="494">
        <f t="shared" si="1"/>
        <v>0</v>
      </c>
      <c r="I15" s="204">
        <v>4069.3</v>
      </c>
      <c r="J15" s="204">
        <v>285235.08</v>
      </c>
      <c r="K15" s="827">
        <f t="shared" si="4"/>
        <v>-289304.38</v>
      </c>
      <c r="L15" s="1050"/>
      <c r="M15" s="1132"/>
      <c r="N15" s="1132"/>
    </row>
    <row r="16" spans="1:18">
      <c r="A16" s="935">
        <f t="shared" si="2"/>
        <v>1.06</v>
      </c>
      <c r="B16" s="1620" t="s">
        <v>1658</v>
      </c>
      <c r="C16" s="204">
        <f>IFERROR(INDEX(#REF!,MATCH($B16,#REF!,0)),0)</f>
        <v>0</v>
      </c>
      <c r="D16" s="204">
        <f>IFERROR(INDEX(#REF!,MATCH($B16,#REF!,0)),0)</f>
        <v>0</v>
      </c>
      <c r="E16" s="77">
        <f t="shared" si="0"/>
        <v>0</v>
      </c>
      <c r="F16" s="204">
        <f>IFERROR(INDEX(#REF!,MATCH($B16,#REF!,0)),0)</f>
        <v>0</v>
      </c>
      <c r="G16" s="77">
        <f t="shared" si="3"/>
        <v>0</v>
      </c>
      <c r="H16" s="494">
        <f t="shared" si="1"/>
        <v>0</v>
      </c>
      <c r="I16" s="204">
        <v>2240.85</v>
      </c>
      <c r="J16" s="204">
        <v>148338.12</v>
      </c>
      <c r="K16" s="827">
        <f t="shared" si="4"/>
        <v>-150578.97</v>
      </c>
      <c r="L16" s="1050"/>
      <c r="M16" s="1132"/>
      <c r="N16" s="1132"/>
    </row>
    <row r="17" spans="1:14">
      <c r="A17" s="1904">
        <f t="shared" si="2"/>
        <v>1.07</v>
      </c>
      <c r="B17" s="277" t="s">
        <v>1967</v>
      </c>
      <c r="C17" s="204">
        <f>IFERROR(INDEX(#REF!,MATCH($B17,#REF!,0)),0)</f>
        <v>0</v>
      </c>
      <c r="D17" s="204">
        <f>IFERROR(INDEX(#REF!,MATCH($B17,#REF!,0)),0)</f>
        <v>0</v>
      </c>
      <c r="E17" s="77">
        <f t="shared" ref="E17" si="5">+C17+D17</f>
        <v>0</v>
      </c>
      <c r="F17" s="204">
        <f>IFERROR(INDEX(#REF!,MATCH($B17,#REF!,0)),0)</f>
        <v>0</v>
      </c>
      <c r="G17" s="77">
        <f t="shared" ref="G17" si="6">-E17-F17</f>
        <v>0</v>
      </c>
      <c r="H17" s="77">
        <f t="shared" ref="H17" si="7">G17*IF($E17=0,0,+ABS($D17)/(ABS($C17)+ABS($D17)))</f>
        <v>0</v>
      </c>
      <c r="I17" s="204">
        <v>0</v>
      </c>
      <c r="J17" s="204">
        <v>-1172923.68</v>
      </c>
      <c r="K17" s="77">
        <f t="shared" ref="K17" si="8">+G17-I17-J17</f>
        <v>1172923.68</v>
      </c>
      <c r="L17" s="1050"/>
      <c r="M17" s="1132"/>
      <c r="N17" s="1132"/>
    </row>
    <row r="18" spans="1:14">
      <c r="A18" s="935">
        <f t="shared" si="2"/>
        <v>1.08</v>
      </c>
      <c r="B18" s="1620" t="s">
        <v>1659</v>
      </c>
      <c r="C18" s="204">
        <f>IFERROR(INDEX(#REF!,MATCH($B18,#REF!,0)),0)</f>
        <v>0</v>
      </c>
      <c r="D18" s="204">
        <f>IFERROR(INDEX(#REF!,MATCH($B18,#REF!,0)),0)</f>
        <v>0</v>
      </c>
      <c r="E18" s="77">
        <f t="shared" si="0"/>
        <v>0</v>
      </c>
      <c r="F18" s="204">
        <f>IFERROR(INDEX(#REF!,MATCH($B18,#REF!,0)),0)</f>
        <v>0</v>
      </c>
      <c r="G18" s="77">
        <f t="shared" si="3"/>
        <v>0</v>
      </c>
      <c r="H18" s="494">
        <f t="shared" si="1"/>
        <v>0</v>
      </c>
      <c r="I18" s="204">
        <v>0</v>
      </c>
      <c r="J18" s="204">
        <v>892719.84</v>
      </c>
      <c r="K18" s="827">
        <f t="shared" si="4"/>
        <v>-892719.84</v>
      </c>
      <c r="L18" s="1050"/>
      <c r="M18" s="1132"/>
      <c r="N18" s="1132"/>
    </row>
    <row r="19" spans="1:14">
      <c r="A19" s="935">
        <f t="shared" si="2"/>
        <v>1.0900000000000001</v>
      </c>
      <c r="B19" s="566" t="s">
        <v>1660</v>
      </c>
      <c r="C19" s="204">
        <f>IFERROR(INDEX(#REF!,MATCH($B19,#REF!,0)),0)</f>
        <v>0</v>
      </c>
      <c r="D19" s="204">
        <f>IFERROR(INDEX(#REF!,MATCH($B19,#REF!,0)),0)</f>
        <v>0</v>
      </c>
      <c r="E19" s="77">
        <f t="shared" si="0"/>
        <v>0</v>
      </c>
      <c r="F19" s="204">
        <f>IFERROR(INDEX(#REF!,MATCH($B19,#REF!,0)),0)</f>
        <v>0</v>
      </c>
      <c r="G19" s="77">
        <f t="shared" si="3"/>
        <v>0</v>
      </c>
      <c r="H19" s="494">
        <f t="shared" si="1"/>
        <v>0</v>
      </c>
      <c r="I19" s="204">
        <v>0</v>
      </c>
      <c r="J19" s="204">
        <v>1488.12</v>
      </c>
      <c r="K19" s="827">
        <f t="shared" si="4"/>
        <v>-1488.12</v>
      </c>
      <c r="L19" s="1050"/>
      <c r="M19" s="1132"/>
      <c r="N19" s="1132"/>
    </row>
    <row r="20" spans="1:14">
      <c r="A20" s="935">
        <f t="shared" si="2"/>
        <v>1.1000000000000001</v>
      </c>
      <c r="B20" s="566" t="s">
        <v>1661</v>
      </c>
      <c r="C20" s="204">
        <f>IFERROR(INDEX(#REF!,MATCH($B20,#REF!,0)),0)</f>
        <v>0</v>
      </c>
      <c r="D20" s="204">
        <f>IFERROR(INDEX(#REF!,MATCH($B20,#REF!,0)),0)</f>
        <v>0</v>
      </c>
      <c r="E20" s="77">
        <f t="shared" si="0"/>
        <v>0</v>
      </c>
      <c r="F20" s="204">
        <f>IFERROR(INDEX(#REF!,MATCH($B20,#REF!,0)),0)</f>
        <v>0</v>
      </c>
      <c r="G20" s="77">
        <f t="shared" si="3"/>
        <v>0</v>
      </c>
      <c r="H20" s="494">
        <f t="shared" si="1"/>
        <v>0</v>
      </c>
      <c r="I20" s="204">
        <v>0</v>
      </c>
      <c r="J20" s="204">
        <v>99</v>
      </c>
      <c r="K20" s="827">
        <f t="shared" si="4"/>
        <v>-99</v>
      </c>
      <c r="L20" s="1050"/>
      <c r="M20" s="1132"/>
      <c r="N20" s="1132"/>
    </row>
    <row r="21" spans="1:14">
      <c r="A21" s="935">
        <f t="shared" si="2"/>
        <v>1.1100000000000001</v>
      </c>
      <c r="B21" s="1620" t="s">
        <v>1662</v>
      </c>
      <c r="C21" s="204">
        <f>IFERROR(INDEX(#REF!,MATCH($B21,#REF!,0)),0)</f>
        <v>0</v>
      </c>
      <c r="D21" s="204">
        <f>IFERROR(INDEX(#REF!,MATCH($B21,#REF!,0)),0)</f>
        <v>0</v>
      </c>
      <c r="E21" s="77">
        <f t="shared" si="0"/>
        <v>0</v>
      </c>
      <c r="F21" s="204">
        <f>IFERROR(INDEX(#REF!,MATCH($B21,#REF!,0)),0)</f>
        <v>0</v>
      </c>
      <c r="G21" s="77">
        <f t="shared" si="3"/>
        <v>0</v>
      </c>
      <c r="H21" s="494">
        <f t="shared" si="1"/>
        <v>0</v>
      </c>
      <c r="I21" s="204">
        <v>0</v>
      </c>
      <c r="J21" s="204">
        <v>1002.12</v>
      </c>
      <c r="K21" s="827">
        <f t="shared" si="4"/>
        <v>-1002.12</v>
      </c>
      <c r="L21" s="1050"/>
      <c r="M21" s="1132"/>
      <c r="N21" s="1132"/>
    </row>
    <row r="22" spans="1:14">
      <c r="A22" s="935">
        <f t="shared" si="2"/>
        <v>1.1200000000000001</v>
      </c>
      <c r="B22" s="1620" t="s">
        <v>1663</v>
      </c>
      <c r="C22" s="204">
        <f>IFERROR(INDEX(#REF!,MATCH($B22,#REF!,0)),0)</f>
        <v>0</v>
      </c>
      <c r="D22" s="204">
        <f>IFERROR(INDEX(#REF!,MATCH($B22,#REF!,0)),0)</f>
        <v>0</v>
      </c>
      <c r="E22" s="77">
        <f t="shared" si="0"/>
        <v>0</v>
      </c>
      <c r="F22" s="204">
        <f>IFERROR(INDEX(#REF!,MATCH($B22,#REF!,0)),0)</f>
        <v>0</v>
      </c>
      <c r="G22" s="77">
        <f t="shared" si="3"/>
        <v>0</v>
      </c>
      <c r="H22" s="494">
        <f t="shared" si="1"/>
        <v>0</v>
      </c>
      <c r="I22" s="204">
        <v>0</v>
      </c>
      <c r="J22" s="204">
        <v>3006.6</v>
      </c>
      <c r="K22" s="827">
        <f t="shared" si="4"/>
        <v>-3006.6</v>
      </c>
      <c r="L22" s="1050"/>
      <c r="M22" s="1132"/>
      <c r="N22" s="1132"/>
    </row>
    <row r="23" spans="1:14">
      <c r="A23" s="935">
        <f t="shared" si="2"/>
        <v>1.1300000000000001</v>
      </c>
      <c r="B23" s="1620" t="s">
        <v>1664</v>
      </c>
      <c r="C23" s="204">
        <f>IFERROR(INDEX(#REF!,MATCH($B23,#REF!,0)),0)</f>
        <v>0</v>
      </c>
      <c r="D23" s="204">
        <f>IFERROR(INDEX(#REF!,MATCH($B23,#REF!,0)),0)</f>
        <v>0</v>
      </c>
      <c r="E23" s="77">
        <f t="shared" si="0"/>
        <v>0</v>
      </c>
      <c r="F23" s="204">
        <f>IFERROR(INDEX(#REF!,MATCH($B23,#REF!,0)),0)</f>
        <v>0</v>
      </c>
      <c r="G23" s="77">
        <f t="shared" si="3"/>
        <v>0</v>
      </c>
      <c r="H23" s="494">
        <f t="shared" si="1"/>
        <v>0</v>
      </c>
      <c r="I23" s="204">
        <v>0</v>
      </c>
      <c r="J23" s="204">
        <v>4991.5200000000004</v>
      </c>
      <c r="K23" s="827">
        <f t="shared" si="4"/>
        <v>-4991.5200000000004</v>
      </c>
      <c r="L23" s="1050"/>
      <c r="M23" s="1132"/>
      <c r="N23" s="1132"/>
    </row>
    <row r="24" spans="1:14">
      <c r="A24" s="935">
        <f t="shared" si="2"/>
        <v>1.1400000000000001</v>
      </c>
      <c r="B24" s="1620" t="s">
        <v>1665</v>
      </c>
      <c r="C24" s="204">
        <f>IFERROR(INDEX(#REF!,MATCH($B24,#REF!,0)),0)</f>
        <v>0</v>
      </c>
      <c r="D24" s="204">
        <f>IFERROR(INDEX(#REF!,MATCH($B24,#REF!,0)),0)</f>
        <v>0</v>
      </c>
      <c r="E24" s="77">
        <f t="shared" si="0"/>
        <v>0</v>
      </c>
      <c r="F24" s="204">
        <f>IFERROR(INDEX(#REF!,MATCH($B24,#REF!,0)),0)</f>
        <v>0</v>
      </c>
      <c r="G24" s="77">
        <f t="shared" si="3"/>
        <v>0</v>
      </c>
      <c r="H24" s="494">
        <f t="shared" si="1"/>
        <v>0</v>
      </c>
      <c r="I24" s="204">
        <v>131330.95000000001</v>
      </c>
      <c r="J24" s="204">
        <v>562591.68000000005</v>
      </c>
      <c r="K24" s="827">
        <f t="shared" si="4"/>
        <v>-693922.63000000012</v>
      </c>
      <c r="L24" s="1050"/>
      <c r="M24" s="1132"/>
      <c r="N24" s="1132"/>
    </row>
    <row r="25" spans="1:14">
      <c r="A25" s="935">
        <f t="shared" si="2"/>
        <v>1.1500000000000001</v>
      </c>
      <c r="B25" s="1620" t="s">
        <v>1666</v>
      </c>
      <c r="C25" s="204">
        <f>IFERROR(INDEX(#REF!,MATCH($B25,#REF!,0)),0)</f>
        <v>0</v>
      </c>
      <c r="D25" s="204">
        <f>IFERROR(INDEX(#REF!,MATCH($B25,#REF!,0)),0)</f>
        <v>0</v>
      </c>
      <c r="E25" s="77">
        <f t="shared" si="0"/>
        <v>0</v>
      </c>
      <c r="F25" s="204">
        <f>IFERROR(INDEX(#REF!,MATCH($B25,#REF!,0)),0)</f>
        <v>0</v>
      </c>
      <c r="G25" s="827">
        <f t="shared" si="3"/>
        <v>0</v>
      </c>
      <c r="H25" s="494">
        <f t="shared" si="1"/>
        <v>0</v>
      </c>
      <c r="I25" s="204">
        <v>7.95</v>
      </c>
      <c r="J25" s="204">
        <v>-8.8800000000000008</v>
      </c>
      <c r="K25" s="827">
        <f t="shared" si="4"/>
        <v>0.9300000000000006</v>
      </c>
      <c r="L25" s="1050"/>
      <c r="M25" s="1132"/>
      <c r="N25" s="1132"/>
    </row>
    <row r="26" spans="1:14">
      <c r="A26" s="935">
        <f t="shared" si="2"/>
        <v>1.1600000000000001</v>
      </c>
      <c r="B26" s="1620" t="s">
        <v>1667</v>
      </c>
      <c r="C26" s="204">
        <f>IFERROR(INDEX(#REF!,MATCH($B26,#REF!,0)),0)</f>
        <v>0</v>
      </c>
      <c r="D26" s="204">
        <f>IFERROR(INDEX(#REF!,MATCH($B26,#REF!,0)),0)</f>
        <v>0</v>
      </c>
      <c r="E26" s="77">
        <f t="shared" si="0"/>
        <v>0</v>
      </c>
      <c r="F26" s="204">
        <f>IFERROR(INDEX(#REF!,MATCH($B26,#REF!,0)),0)</f>
        <v>0</v>
      </c>
      <c r="G26" s="827">
        <f t="shared" ref="G26" si="9">-E26-F26</f>
        <v>0</v>
      </c>
      <c r="H26" s="494">
        <f t="shared" ref="H26" si="10">G26*IF($E26=0,0,+ABS($D26)/(ABS($C26)+ABS($D26)))</f>
        <v>0</v>
      </c>
      <c r="I26" s="204">
        <v>606.65</v>
      </c>
      <c r="J26" s="204">
        <v>2283.84</v>
      </c>
      <c r="K26" s="827">
        <f t="shared" si="4"/>
        <v>-2890.4900000000002</v>
      </c>
      <c r="L26" s="1050"/>
      <c r="M26" s="1132"/>
      <c r="N26" s="1132"/>
    </row>
    <row r="27" spans="1:14">
      <c r="A27" s="935">
        <f t="shared" si="2"/>
        <v>1.1700000000000002</v>
      </c>
      <c r="B27" s="1620" t="s">
        <v>1668</v>
      </c>
      <c r="C27" s="204">
        <f>IFERROR(INDEX(#REF!,MATCH($B27,#REF!,0)),0)</f>
        <v>0</v>
      </c>
      <c r="D27" s="204">
        <f>IFERROR(INDEX(#REF!,MATCH($B27,#REF!,0)),0)</f>
        <v>0</v>
      </c>
      <c r="E27" s="77">
        <f t="shared" ref="E27" si="11">+C27+D27</f>
        <v>0</v>
      </c>
      <c r="F27" s="204">
        <f>IFERROR(INDEX(#REF!,MATCH($B27,#REF!,0)),0)</f>
        <v>0</v>
      </c>
      <c r="G27" s="827">
        <f t="shared" ref="G27" si="12">-E27-F27</f>
        <v>0</v>
      </c>
      <c r="H27" s="494">
        <f t="shared" ref="H27" si="13">G27*IF($E27=0,0,+ABS($D27)/(ABS($C27)+ABS($D27)))</f>
        <v>0</v>
      </c>
      <c r="I27" s="204">
        <v>0</v>
      </c>
      <c r="J27" s="204">
        <v>0</v>
      </c>
      <c r="K27" s="827">
        <f t="shared" ref="K27" si="14">+G27-I27-J27</f>
        <v>0</v>
      </c>
      <c r="L27" s="1050"/>
      <c r="M27" s="1132"/>
      <c r="N27" s="1132"/>
    </row>
    <row r="28" spans="1:14">
      <c r="A28" s="935">
        <f t="shared" si="2"/>
        <v>1.1800000000000002</v>
      </c>
      <c r="B28" s="1620" t="s">
        <v>1669</v>
      </c>
      <c r="C28" s="204">
        <f>IFERROR(INDEX(#REF!,MATCH($B28,#REF!,0)),0)</f>
        <v>0</v>
      </c>
      <c r="D28" s="204">
        <f>IFERROR(INDEX(#REF!,MATCH($B28,#REF!,0)),0)</f>
        <v>0</v>
      </c>
      <c r="E28" s="77">
        <f t="shared" si="0"/>
        <v>0</v>
      </c>
      <c r="F28" s="204">
        <f>IFERROR(INDEX(#REF!,MATCH($B28,#REF!,0)),0)</f>
        <v>0</v>
      </c>
      <c r="G28" s="827">
        <f t="shared" si="3"/>
        <v>0</v>
      </c>
      <c r="H28" s="494">
        <f t="shared" si="1"/>
        <v>0</v>
      </c>
      <c r="I28" s="204">
        <v>451.15</v>
      </c>
      <c r="J28" s="204">
        <v>261.83999999999997</v>
      </c>
      <c r="K28" s="827">
        <f t="shared" si="4"/>
        <v>-712.99</v>
      </c>
      <c r="L28" s="1050"/>
      <c r="M28" s="1132"/>
      <c r="N28" s="1132"/>
    </row>
    <row r="29" spans="1:14">
      <c r="A29" s="935">
        <f t="shared" si="2"/>
        <v>1.1900000000000002</v>
      </c>
      <c r="B29" s="1620" t="s">
        <v>1670</v>
      </c>
      <c r="C29" s="204">
        <f>IFERROR(INDEX(#REF!,MATCH($B29,#REF!,0)),0)</f>
        <v>0</v>
      </c>
      <c r="D29" s="204">
        <f>IFERROR(INDEX(#REF!,MATCH($B29,#REF!,0)),0)</f>
        <v>0</v>
      </c>
      <c r="E29" s="77">
        <f t="shared" si="0"/>
        <v>0</v>
      </c>
      <c r="F29" s="204">
        <f>IFERROR(INDEX(#REF!,MATCH($B29,#REF!,0)),0)</f>
        <v>0</v>
      </c>
      <c r="G29" s="77">
        <f t="shared" si="3"/>
        <v>0</v>
      </c>
      <c r="H29" s="494">
        <f t="shared" si="1"/>
        <v>0</v>
      </c>
      <c r="I29" s="204">
        <v>47.65</v>
      </c>
      <c r="J29" s="204">
        <v>228.72</v>
      </c>
      <c r="K29" s="827">
        <f t="shared" si="4"/>
        <v>-276.37</v>
      </c>
      <c r="L29" s="1050"/>
      <c r="M29" s="1132"/>
      <c r="N29" s="1132"/>
    </row>
    <row r="30" spans="1:14">
      <c r="A30" s="935">
        <f t="shared" si="2"/>
        <v>1.2000000000000002</v>
      </c>
      <c r="B30" s="1620" t="s">
        <v>1671</v>
      </c>
      <c r="C30" s="204">
        <f>IFERROR(INDEX(#REF!,MATCH($B30,#REF!,0)),0)</f>
        <v>0</v>
      </c>
      <c r="D30" s="204">
        <f>IFERROR(INDEX(#REF!,MATCH($B30,#REF!,0)),0)</f>
        <v>0</v>
      </c>
      <c r="E30" s="77">
        <f t="shared" ref="E30" si="15">+C30+D30</f>
        <v>0</v>
      </c>
      <c r="F30" s="204">
        <f>IFERROR(INDEX(#REF!,MATCH($B30,#REF!,0)),0)</f>
        <v>0</v>
      </c>
      <c r="G30" s="77">
        <f t="shared" ref="G30" si="16">-E30-F30</f>
        <v>0</v>
      </c>
      <c r="H30" s="494">
        <f t="shared" ref="H30" si="17">G30*IF($E30=0,0,+ABS($D30)/(ABS($C30)+ABS($D30)))</f>
        <v>0</v>
      </c>
      <c r="I30" s="204">
        <v>0</v>
      </c>
      <c r="J30" s="204">
        <v>0</v>
      </c>
      <c r="K30" s="827">
        <f t="shared" ref="K30" si="18">+G30-I30-J30</f>
        <v>0</v>
      </c>
      <c r="L30" s="1050"/>
      <c r="M30" s="1132"/>
      <c r="N30" s="1132"/>
    </row>
    <row r="31" spans="1:14">
      <c r="A31" s="935">
        <f t="shared" si="2"/>
        <v>1.2100000000000002</v>
      </c>
      <c r="B31" s="1620" t="s">
        <v>1672</v>
      </c>
      <c r="C31" s="204">
        <f>IFERROR(INDEX(#REF!,MATCH($B31,#REF!,0)),0)</f>
        <v>0</v>
      </c>
      <c r="D31" s="204">
        <f>IFERROR(INDEX(#REF!,MATCH($B31,#REF!,0)),0)</f>
        <v>0</v>
      </c>
      <c r="E31" s="77">
        <f t="shared" si="0"/>
        <v>0</v>
      </c>
      <c r="F31" s="204">
        <f>IFERROR(INDEX(#REF!,MATCH($B31,#REF!,0)),0)</f>
        <v>0</v>
      </c>
      <c r="G31" s="77">
        <f t="shared" si="3"/>
        <v>0</v>
      </c>
      <c r="H31" s="494">
        <f t="shared" si="1"/>
        <v>0</v>
      </c>
      <c r="I31" s="204">
        <v>18263.650000000001</v>
      </c>
      <c r="J31" s="204">
        <v>71713.440000000002</v>
      </c>
      <c r="K31" s="827">
        <f t="shared" si="4"/>
        <v>-89977.09</v>
      </c>
      <c r="L31" s="1050"/>
      <c r="M31" s="1132"/>
      <c r="N31" s="1132"/>
    </row>
    <row r="32" spans="1:14">
      <c r="A32" s="935">
        <f t="shared" si="2"/>
        <v>1.2200000000000002</v>
      </c>
      <c r="B32" s="566" t="s">
        <v>1673</v>
      </c>
      <c r="C32" s="204">
        <f>IFERROR(INDEX(#REF!,MATCH($B32,#REF!,0)),0)</f>
        <v>0</v>
      </c>
      <c r="D32" s="204">
        <f>IFERROR(INDEX(#REF!,MATCH($B32,#REF!,0)),0)</f>
        <v>0</v>
      </c>
      <c r="E32" s="77">
        <f t="shared" si="0"/>
        <v>0</v>
      </c>
      <c r="F32" s="204">
        <f>IFERROR(INDEX(#REF!,MATCH($B32,#REF!,0)),0)</f>
        <v>0</v>
      </c>
      <c r="G32" s="77">
        <f t="shared" ref="G32:G33" si="19">-E32-F32</f>
        <v>0</v>
      </c>
      <c r="H32" s="494">
        <f t="shared" ref="H32:H33" si="20">G32*IF($E32=0,0,+ABS($D32)/(ABS($C32)+ABS($D32)))</f>
        <v>0</v>
      </c>
      <c r="I32" s="204">
        <v>0</v>
      </c>
      <c r="J32" s="204">
        <v>0</v>
      </c>
      <c r="K32" s="827">
        <f t="shared" ref="K32:K33" si="21">+G32-I32-J32</f>
        <v>0</v>
      </c>
      <c r="L32" s="1050"/>
      <c r="M32" s="1132"/>
      <c r="N32" s="1132"/>
    </row>
    <row r="33" spans="1:14">
      <c r="A33" s="935">
        <f t="shared" si="2"/>
        <v>1.2300000000000002</v>
      </c>
      <c r="B33" s="1620" t="s">
        <v>1674</v>
      </c>
      <c r="C33" s="204">
        <f>IFERROR(INDEX(#REF!,MATCH($B33,#REF!,0)),0)</f>
        <v>0</v>
      </c>
      <c r="D33" s="204">
        <f>IFERROR(INDEX(#REF!,MATCH($B33,#REF!,0)),0)</f>
        <v>0</v>
      </c>
      <c r="E33" s="77">
        <f t="shared" si="0"/>
        <v>0</v>
      </c>
      <c r="F33" s="204">
        <f>IFERROR(INDEX(#REF!,MATCH($B33,#REF!,0)),0)</f>
        <v>0</v>
      </c>
      <c r="G33" s="77">
        <f t="shared" si="19"/>
        <v>0</v>
      </c>
      <c r="H33" s="494">
        <f t="shared" si="20"/>
        <v>0</v>
      </c>
      <c r="I33" s="204">
        <v>80.5</v>
      </c>
      <c r="J33" s="204">
        <v>-123.48</v>
      </c>
      <c r="K33" s="827">
        <f t="shared" si="21"/>
        <v>42.980000000000004</v>
      </c>
      <c r="L33" s="1050"/>
      <c r="M33" s="1132"/>
      <c r="N33" s="1132"/>
    </row>
    <row r="34" spans="1:14">
      <c r="A34" s="935">
        <f t="shared" si="2"/>
        <v>1.2400000000000002</v>
      </c>
      <c r="B34" s="566" t="s">
        <v>1675</v>
      </c>
      <c r="C34" s="204">
        <f>IFERROR(INDEX(#REF!,MATCH($B34,#REF!,0)),0)</f>
        <v>0</v>
      </c>
      <c r="D34" s="204">
        <f>IFERROR(INDEX(#REF!,MATCH($B34,#REF!,0)),0)</f>
        <v>0</v>
      </c>
      <c r="E34" s="77">
        <f t="shared" si="0"/>
        <v>0</v>
      </c>
      <c r="F34" s="204">
        <f>IFERROR(INDEX(#REF!,MATCH($B34,#REF!,0)),0)</f>
        <v>0</v>
      </c>
      <c r="G34" s="77">
        <f t="shared" si="3"/>
        <v>0</v>
      </c>
      <c r="H34" s="494">
        <f t="shared" si="1"/>
        <v>0</v>
      </c>
      <c r="I34" s="204">
        <v>0</v>
      </c>
      <c r="J34" s="204">
        <v>0</v>
      </c>
      <c r="K34" s="827">
        <f t="shared" si="4"/>
        <v>0</v>
      </c>
      <c r="L34" s="1050"/>
      <c r="M34" s="1132"/>
      <c r="N34" s="1132"/>
    </row>
    <row r="35" spans="1:14">
      <c r="A35" s="935">
        <f t="shared" si="2"/>
        <v>1.2500000000000002</v>
      </c>
      <c r="B35" s="1620" t="s">
        <v>1676</v>
      </c>
      <c r="C35" s="204">
        <f>IFERROR(INDEX(#REF!,MATCH($B35,#REF!,0)),0)</f>
        <v>0</v>
      </c>
      <c r="D35" s="204">
        <f>IFERROR(INDEX(#REF!,MATCH($B35,#REF!,0)),0)</f>
        <v>0</v>
      </c>
      <c r="E35" s="77">
        <f t="shared" ref="E35:E36" si="22">+C35+D35</f>
        <v>0</v>
      </c>
      <c r="F35" s="204">
        <f>IFERROR(INDEX(#REF!,MATCH($B35,#REF!,0)),0)</f>
        <v>0</v>
      </c>
      <c r="G35" s="77">
        <f t="shared" ref="G35:G36" si="23">-E35-F35</f>
        <v>0</v>
      </c>
      <c r="H35" s="494">
        <f t="shared" ref="H35:H36" si="24">G35*IF($E35=0,0,+ABS($D35)/(ABS($C35)+ABS($D35)))</f>
        <v>0</v>
      </c>
      <c r="I35" s="204">
        <v>93.95</v>
      </c>
      <c r="J35" s="204">
        <v>-133.19999999999999</v>
      </c>
      <c r="K35" s="827">
        <f t="shared" ref="K35:K36" si="25">+G35-I35-J35</f>
        <v>39.249999999999986</v>
      </c>
      <c r="L35" s="1050"/>
      <c r="M35" s="1132"/>
      <c r="N35" s="1132"/>
    </row>
    <row r="36" spans="1:14">
      <c r="A36" s="935">
        <f t="shared" si="2"/>
        <v>1.2600000000000002</v>
      </c>
      <c r="B36" s="566" t="s">
        <v>1677</v>
      </c>
      <c r="C36" s="204">
        <f>IFERROR(INDEX(#REF!,MATCH($B36,#REF!,0)),0)</f>
        <v>0</v>
      </c>
      <c r="D36" s="204">
        <f>IFERROR(INDEX(#REF!,MATCH($B36,#REF!,0)),0)</f>
        <v>0</v>
      </c>
      <c r="E36" s="77">
        <f t="shared" si="22"/>
        <v>0</v>
      </c>
      <c r="F36" s="204">
        <f>IFERROR(INDEX(#REF!,MATCH($B36,#REF!,0)),0)</f>
        <v>0</v>
      </c>
      <c r="G36" s="77">
        <f t="shared" si="23"/>
        <v>0</v>
      </c>
      <c r="H36" s="494">
        <f t="shared" si="24"/>
        <v>0</v>
      </c>
      <c r="I36" s="204">
        <v>0</v>
      </c>
      <c r="J36" s="204">
        <v>0</v>
      </c>
      <c r="K36" s="827">
        <f t="shared" si="25"/>
        <v>0</v>
      </c>
      <c r="L36" s="1050"/>
      <c r="M36" s="1132"/>
      <c r="N36" s="1132"/>
    </row>
    <row r="37" spans="1:14">
      <c r="A37" s="935">
        <f t="shared" si="2"/>
        <v>1.2700000000000002</v>
      </c>
      <c r="B37" s="566" t="s">
        <v>1678</v>
      </c>
      <c r="C37" s="204">
        <f>IFERROR(INDEX(#REF!,MATCH($B37,#REF!,0)),0)</f>
        <v>0</v>
      </c>
      <c r="D37" s="204">
        <f>IFERROR(INDEX(#REF!,MATCH($B37,#REF!,0)),0)</f>
        <v>0</v>
      </c>
      <c r="E37" s="77">
        <f t="shared" ref="E37:E45" si="26">+C37+D37</f>
        <v>0</v>
      </c>
      <c r="F37" s="204">
        <f>IFERROR(INDEX(#REF!,MATCH($B37,#REF!,0)),0)</f>
        <v>0</v>
      </c>
      <c r="G37" s="77">
        <f t="shared" si="3"/>
        <v>0</v>
      </c>
      <c r="H37" s="494">
        <f t="shared" si="1"/>
        <v>0</v>
      </c>
      <c r="I37" s="204">
        <v>0</v>
      </c>
      <c r="J37" s="204">
        <v>1023.12</v>
      </c>
      <c r="K37" s="827">
        <f t="shared" si="4"/>
        <v>-1023.12</v>
      </c>
      <c r="L37" s="1050"/>
      <c r="M37" s="1132"/>
      <c r="N37" s="1132"/>
    </row>
    <row r="38" spans="1:14">
      <c r="A38" s="935">
        <f t="shared" si="2"/>
        <v>1.2800000000000002</v>
      </c>
      <c r="B38" s="1620" t="s">
        <v>1679</v>
      </c>
      <c r="C38" s="204">
        <f>IFERROR(INDEX(#REF!,MATCH($B38,#REF!,0)),0)</f>
        <v>0</v>
      </c>
      <c r="D38" s="204">
        <f>IFERROR(INDEX(#REF!,MATCH($B38,#REF!,0)),0)</f>
        <v>0</v>
      </c>
      <c r="E38" s="77">
        <f t="shared" si="26"/>
        <v>0</v>
      </c>
      <c r="F38" s="204">
        <f>IFERROR(INDEX(#REF!,MATCH($B38,#REF!,0)),0)</f>
        <v>0</v>
      </c>
      <c r="G38" s="77">
        <f t="shared" si="3"/>
        <v>0</v>
      </c>
      <c r="H38" s="494">
        <f t="shared" si="1"/>
        <v>0</v>
      </c>
      <c r="I38" s="204">
        <v>0</v>
      </c>
      <c r="J38" s="204">
        <v>-1.8</v>
      </c>
      <c r="K38" s="827">
        <f t="shared" si="4"/>
        <v>1.8</v>
      </c>
      <c r="L38" s="1050"/>
      <c r="M38" s="1132"/>
      <c r="N38" s="1132"/>
    </row>
    <row r="39" spans="1:14">
      <c r="A39" s="935">
        <f t="shared" si="2"/>
        <v>1.2900000000000003</v>
      </c>
      <c r="B39" s="1620" t="s">
        <v>1680</v>
      </c>
      <c r="C39" s="204">
        <f>IFERROR(INDEX(#REF!,MATCH($B39,#REF!,0)),0)</f>
        <v>0</v>
      </c>
      <c r="D39" s="204">
        <f>IFERROR(INDEX(#REF!,MATCH($B39,#REF!,0)),0)</f>
        <v>0</v>
      </c>
      <c r="E39" s="77">
        <f t="shared" si="26"/>
        <v>0</v>
      </c>
      <c r="F39" s="204">
        <f>IFERROR(INDEX(#REF!,MATCH($B39,#REF!,0)),0)</f>
        <v>0</v>
      </c>
      <c r="G39" s="77">
        <f t="shared" si="3"/>
        <v>0</v>
      </c>
      <c r="H39" s="494">
        <f t="shared" si="1"/>
        <v>0</v>
      </c>
      <c r="I39" s="204">
        <v>0</v>
      </c>
      <c r="J39" s="204">
        <v>1013.52</v>
      </c>
      <c r="K39" s="827">
        <f t="shared" si="4"/>
        <v>-1013.52</v>
      </c>
      <c r="L39" s="1050"/>
      <c r="M39" s="1132"/>
      <c r="N39" s="1132"/>
    </row>
    <row r="40" spans="1:14">
      <c r="A40" s="935">
        <f t="shared" si="2"/>
        <v>1.3000000000000003</v>
      </c>
      <c r="B40" s="566" t="s">
        <v>1681</v>
      </c>
      <c r="C40" s="204">
        <f>IFERROR(INDEX(#REF!,MATCH($B40,#REF!,0)),0)</f>
        <v>0</v>
      </c>
      <c r="D40" s="204">
        <f>IFERROR(INDEX(#REF!,MATCH($B40,#REF!,0)),0)</f>
        <v>0</v>
      </c>
      <c r="E40" s="77">
        <f t="shared" ref="E40" si="27">+C40+D40</f>
        <v>0</v>
      </c>
      <c r="F40" s="204">
        <f>IFERROR(INDEX(#REF!,MATCH($B40,#REF!,0)),0)</f>
        <v>0</v>
      </c>
      <c r="G40" s="77">
        <f t="shared" ref="G40" si="28">-E40-F40</f>
        <v>0</v>
      </c>
      <c r="H40" s="494">
        <f t="shared" ref="H40" si="29">G40*IF($E40=0,0,+ABS($D40)/(ABS($C40)+ABS($D40)))</f>
        <v>0</v>
      </c>
      <c r="I40" s="204">
        <v>0</v>
      </c>
      <c r="J40" s="204">
        <v>20.64</v>
      </c>
      <c r="K40" s="827">
        <f t="shared" ref="K40" si="30">+G40-I40-J40</f>
        <v>-20.64</v>
      </c>
      <c r="L40" s="1050"/>
      <c r="M40" s="1132"/>
      <c r="N40" s="1132"/>
    </row>
    <row r="41" spans="1:14">
      <c r="A41" s="935">
        <f t="shared" si="2"/>
        <v>1.3100000000000003</v>
      </c>
      <c r="B41" s="566" t="s">
        <v>1682</v>
      </c>
      <c r="C41" s="204">
        <f>IFERROR(INDEX(#REF!,MATCH($B41,#REF!,0)),0)</f>
        <v>0</v>
      </c>
      <c r="D41" s="204">
        <f>IFERROR(INDEX(#REF!,MATCH($B41,#REF!,0)),0)</f>
        <v>0</v>
      </c>
      <c r="E41" s="77">
        <f t="shared" si="26"/>
        <v>0</v>
      </c>
      <c r="F41" s="204">
        <f>IFERROR(INDEX(#REF!,MATCH($B41,#REF!,0)),0)</f>
        <v>0</v>
      </c>
      <c r="G41" s="77">
        <f t="shared" si="3"/>
        <v>0</v>
      </c>
      <c r="H41" s="494">
        <f t="shared" si="1"/>
        <v>0</v>
      </c>
      <c r="I41" s="204">
        <v>0</v>
      </c>
      <c r="J41" s="204">
        <v>92.88</v>
      </c>
      <c r="K41" s="827">
        <f t="shared" si="4"/>
        <v>-92.88</v>
      </c>
      <c r="L41" s="1050"/>
      <c r="M41" s="1132"/>
      <c r="N41" s="1132"/>
    </row>
    <row r="42" spans="1:14">
      <c r="A42" s="935">
        <f t="shared" si="2"/>
        <v>1.3200000000000003</v>
      </c>
      <c r="B42" s="1620" t="s">
        <v>1683</v>
      </c>
      <c r="C42" s="204">
        <f>IFERROR(INDEX(#REF!,MATCH($B42,#REF!,0)),0)</f>
        <v>0</v>
      </c>
      <c r="D42" s="204">
        <f>IFERROR(INDEX(#REF!,MATCH($B42,#REF!,0)),0)</f>
        <v>0</v>
      </c>
      <c r="E42" s="77">
        <f t="shared" si="26"/>
        <v>0</v>
      </c>
      <c r="F42" s="204">
        <f>IFERROR(INDEX(#REF!,MATCH($B42,#REF!,0)),0)</f>
        <v>0</v>
      </c>
      <c r="G42" s="77">
        <f t="shared" si="3"/>
        <v>0</v>
      </c>
      <c r="H42" s="494">
        <f t="shared" si="1"/>
        <v>0</v>
      </c>
      <c r="I42" s="204">
        <v>23754.5</v>
      </c>
      <c r="J42" s="204">
        <v>1536575.04</v>
      </c>
      <c r="K42" s="827">
        <f t="shared" si="4"/>
        <v>-1560329.54</v>
      </c>
      <c r="L42" s="1180"/>
      <c r="M42" s="1132"/>
      <c r="N42" s="1132"/>
    </row>
    <row r="43" spans="1:14">
      <c r="A43" s="935">
        <f t="shared" si="2"/>
        <v>1.3300000000000003</v>
      </c>
      <c r="B43" s="1620" t="s">
        <v>1684</v>
      </c>
      <c r="C43" s="204">
        <f>IFERROR(INDEX(#REF!,MATCH($B43,#REF!,0)),0)</f>
        <v>0</v>
      </c>
      <c r="D43" s="204">
        <f>IFERROR(INDEX(#REF!,MATCH($B43,#REF!,0)),0)</f>
        <v>0</v>
      </c>
      <c r="E43" s="77">
        <f t="shared" si="26"/>
        <v>0</v>
      </c>
      <c r="F43" s="204">
        <f>IFERROR(INDEX(#REF!,MATCH($B43,#REF!,0)),0)</f>
        <v>0</v>
      </c>
      <c r="G43" s="77">
        <f t="shared" si="3"/>
        <v>0</v>
      </c>
      <c r="H43" s="494">
        <f t="shared" si="1"/>
        <v>0</v>
      </c>
      <c r="I43" s="204">
        <v>3350.15</v>
      </c>
      <c r="J43" s="204">
        <v>211649.4</v>
      </c>
      <c r="K43" s="827">
        <f t="shared" si="4"/>
        <v>-214999.55</v>
      </c>
      <c r="L43" s="1050"/>
      <c r="M43" s="1132"/>
      <c r="N43" s="1132"/>
    </row>
    <row r="44" spans="1:14">
      <c r="A44" s="935">
        <f t="shared" si="2"/>
        <v>1.3400000000000003</v>
      </c>
      <c r="B44" s="1620" t="s">
        <v>1685</v>
      </c>
      <c r="C44" s="204">
        <f>IFERROR(INDEX(#REF!,MATCH($B44,#REF!,0)),0)</f>
        <v>0</v>
      </c>
      <c r="D44" s="204">
        <f>IFERROR(INDEX(#REF!,MATCH($B44,#REF!,0)),0)</f>
        <v>0</v>
      </c>
      <c r="E44" s="77">
        <f t="shared" si="26"/>
        <v>0</v>
      </c>
      <c r="F44" s="204">
        <f>IFERROR(INDEX(#REF!,MATCH($B44,#REF!,0)),0)</f>
        <v>0</v>
      </c>
      <c r="G44" s="77">
        <f t="shared" si="3"/>
        <v>0</v>
      </c>
      <c r="H44" s="494">
        <f t="shared" si="1"/>
        <v>0</v>
      </c>
      <c r="I44" s="204">
        <v>65266.25</v>
      </c>
      <c r="J44" s="204">
        <v>4444117.08</v>
      </c>
      <c r="K44" s="827">
        <f t="shared" si="4"/>
        <v>-4509383.33</v>
      </c>
      <c r="L44" s="1050"/>
      <c r="M44" s="1132"/>
      <c r="N44" s="1132"/>
    </row>
    <row r="45" spans="1:14">
      <c r="A45" s="935">
        <f t="shared" si="2"/>
        <v>1.3500000000000003</v>
      </c>
      <c r="B45" s="1620" t="s">
        <v>1686</v>
      </c>
      <c r="C45" s="204">
        <f>IFERROR(INDEX(#REF!,MATCH($B45,#REF!,0)),0)</f>
        <v>0</v>
      </c>
      <c r="D45" s="204">
        <f>IFERROR(INDEX(#REF!,MATCH($B45,#REF!,0)),0)</f>
        <v>0</v>
      </c>
      <c r="E45" s="77">
        <f t="shared" si="26"/>
        <v>0</v>
      </c>
      <c r="F45" s="204">
        <f>IFERROR(INDEX(#REF!,MATCH($B45,#REF!,0)),0)</f>
        <v>0</v>
      </c>
      <c r="G45" s="77">
        <f t="shared" si="3"/>
        <v>0</v>
      </c>
      <c r="H45" s="494">
        <f t="shared" si="1"/>
        <v>0</v>
      </c>
      <c r="I45" s="204">
        <v>5.35</v>
      </c>
      <c r="J45" s="204">
        <v>-8.4</v>
      </c>
      <c r="K45" s="827">
        <f t="shared" si="4"/>
        <v>3.0500000000000007</v>
      </c>
      <c r="L45" s="1050"/>
      <c r="M45" s="1132"/>
      <c r="N45" s="1132"/>
    </row>
    <row r="46" spans="1:14" ht="14.25" customHeight="1">
      <c r="A46" s="935">
        <f t="shared" si="2"/>
        <v>1.3600000000000003</v>
      </c>
      <c r="B46" s="1620" t="s">
        <v>1687</v>
      </c>
      <c r="C46" s="204">
        <f>IFERROR(INDEX(#REF!,MATCH($B46,#REF!,0)),0)</f>
        <v>0</v>
      </c>
      <c r="D46" s="204">
        <f>IFERROR(INDEX(#REF!,MATCH($B46,#REF!,0)),0)</f>
        <v>0</v>
      </c>
      <c r="E46" s="77">
        <f t="shared" ref="E46:E52" si="31">+C46+D46</f>
        <v>0</v>
      </c>
      <c r="F46" s="204">
        <f>IFERROR(INDEX(#REF!,MATCH($B46,#REF!,0)),0)</f>
        <v>0</v>
      </c>
      <c r="G46" s="77">
        <f t="shared" si="3"/>
        <v>0</v>
      </c>
      <c r="H46" s="494">
        <f t="shared" si="1"/>
        <v>0</v>
      </c>
      <c r="I46" s="204">
        <v>0.55000000000000004</v>
      </c>
      <c r="J46" s="204">
        <v>62.16</v>
      </c>
      <c r="K46" s="827">
        <f t="shared" si="4"/>
        <v>-62.709999999999994</v>
      </c>
      <c r="L46" s="1050"/>
      <c r="M46" s="1132"/>
      <c r="N46" s="1132"/>
    </row>
    <row r="47" spans="1:14" ht="14.25" customHeight="1">
      <c r="A47" s="935">
        <f t="shared" si="2"/>
        <v>1.3700000000000003</v>
      </c>
      <c r="B47" s="1620" t="s">
        <v>1688</v>
      </c>
      <c r="C47" s="204">
        <f>IFERROR(INDEX(#REF!,MATCH($B47,#REF!,0)),0)</f>
        <v>0</v>
      </c>
      <c r="D47" s="204">
        <f>IFERROR(INDEX(#REF!,MATCH($B47,#REF!,0)),0)</f>
        <v>0</v>
      </c>
      <c r="E47" s="77">
        <f t="shared" si="31"/>
        <v>0</v>
      </c>
      <c r="F47" s="204">
        <f>IFERROR(INDEX(#REF!,MATCH($B47,#REF!,0)),0)</f>
        <v>0</v>
      </c>
      <c r="G47" s="77">
        <f t="shared" si="3"/>
        <v>0</v>
      </c>
      <c r="H47" s="494">
        <f t="shared" si="1"/>
        <v>0</v>
      </c>
      <c r="I47" s="204">
        <v>16589.900000000001</v>
      </c>
      <c r="J47" s="204">
        <v>1101628.2</v>
      </c>
      <c r="K47" s="827">
        <f t="shared" si="4"/>
        <v>-1118218.0999999999</v>
      </c>
      <c r="L47" s="1050"/>
      <c r="M47" s="1132"/>
      <c r="N47" s="1132"/>
    </row>
    <row r="48" spans="1:14" ht="14.25" customHeight="1">
      <c r="A48" s="935">
        <f t="shared" si="2"/>
        <v>1.3800000000000003</v>
      </c>
      <c r="B48" s="1620" t="s">
        <v>1689</v>
      </c>
      <c r="C48" s="204">
        <f>IFERROR(INDEX(#REF!,MATCH($B48,#REF!,0)),0)</f>
        <v>0</v>
      </c>
      <c r="D48" s="204">
        <f>IFERROR(INDEX(#REF!,MATCH($B48,#REF!,0)),0)</f>
        <v>0</v>
      </c>
      <c r="E48" s="77">
        <f t="shared" si="31"/>
        <v>0</v>
      </c>
      <c r="F48" s="204">
        <f>IFERROR(INDEX(#REF!,MATCH($B48,#REF!,0)),0)</f>
        <v>0</v>
      </c>
      <c r="G48" s="827">
        <f t="shared" si="3"/>
        <v>0</v>
      </c>
      <c r="H48" s="494">
        <f t="shared" si="1"/>
        <v>0</v>
      </c>
      <c r="I48" s="204">
        <v>9149.2000000000007</v>
      </c>
      <c r="J48" s="204">
        <v>1002178.5600000001</v>
      </c>
      <c r="K48" s="827">
        <f t="shared" si="4"/>
        <v>-1011327.76</v>
      </c>
      <c r="L48" s="1050"/>
      <c r="M48" s="1132"/>
      <c r="N48" s="1132"/>
    </row>
    <row r="49" spans="1:14" ht="14.25" customHeight="1">
      <c r="A49" s="935">
        <f t="shared" si="2"/>
        <v>1.3900000000000003</v>
      </c>
      <c r="B49" s="1620" t="s">
        <v>1690</v>
      </c>
      <c r="C49" s="204">
        <f>IFERROR(INDEX(#REF!,MATCH($B49,#REF!,0)),0)</f>
        <v>0</v>
      </c>
      <c r="D49" s="204">
        <f>IFERROR(INDEX(#REF!,MATCH($B49,#REF!,0)),0)</f>
        <v>0</v>
      </c>
      <c r="E49" s="77">
        <f t="shared" si="31"/>
        <v>0</v>
      </c>
      <c r="F49" s="204">
        <f>IFERROR(INDEX(#REF!,MATCH($B49,#REF!,0)),0)</f>
        <v>0</v>
      </c>
      <c r="G49" s="827">
        <f t="shared" si="3"/>
        <v>0</v>
      </c>
      <c r="H49" s="494">
        <f t="shared" si="1"/>
        <v>0</v>
      </c>
      <c r="I49" s="204">
        <v>602.4</v>
      </c>
      <c r="J49" s="204">
        <v>10174.68</v>
      </c>
      <c r="K49" s="827">
        <f t="shared" si="4"/>
        <v>-10777.08</v>
      </c>
      <c r="L49" s="1050"/>
      <c r="M49" s="1132"/>
      <c r="N49" s="1132"/>
    </row>
    <row r="50" spans="1:14">
      <c r="A50" s="935">
        <f t="shared" si="2"/>
        <v>1.4000000000000004</v>
      </c>
      <c r="B50" s="1620" t="s">
        <v>1691</v>
      </c>
      <c r="C50" s="204">
        <f>IFERROR(INDEX(#REF!,MATCH($B50,#REF!,0)),0)</f>
        <v>0</v>
      </c>
      <c r="D50" s="204">
        <f>IFERROR(INDEX(#REF!,MATCH($B50,#REF!,0)),0)</f>
        <v>0</v>
      </c>
      <c r="E50" s="77">
        <f t="shared" si="31"/>
        <v>0</v>
      </c>
      <c r="F50" s="204">
        <f>IFERROR(INDEX(#REF!,MATCH($B50,#REF!,0)),0)</f>
        <v>0</v>
      </c>
      <c r="G50" s="77">
        <f t="shared" si="3"/>
        <v>0</v>
      </c>
      <c r="H50" s="494">
        <f t="shared" si="1"/>
        <v>0</v>
      </c>
      <c r="I50" s="204">
        <v>1629.55</v>
      </c>
      <c r="J50" s="204">
        <v>47308.92</v>
      </c>
      <c r="K50" s="827">
        <f t="shared" si="4"/>
        <v>-48938.47</v>
      </c>
      <c r="L50" s="1050"/>
      <c r="N50" s="1132"/>
    </row>
    <row r="51" spans="1:14">
      <c r="A51" s="935">
        <f t="shared" si="2"/>
        <v>1.4100000000000004</v>
      </c>
      <c r="B51" s="1620" t="s">
        <v>1692</v>
      </c>
      <c r="C51" s="204">
        <f>IFERROR(INDEX(#REF!,MATCH($B51,#REF!,0)),0)</f>
        <v>0</v>
      </c>
      <c r="D51" s="204">
        <f>IFERROR(INDEX(#REF!,MATCH($B51,#REF!,0)),0)</f>
        <v>0</v>
      </c>
      <c r="E51" s="77">
        <f t="shared" si="31"/>
        <v>0</v>
      </c>
      <c r="F51" s="204">
        <f>IFERROR(INDEX(#REF!,MATCH($B51,#REF!,0)),0)</f>
        <v>0</v>
      </c>
      <c r="G51" s="77">
        <f t="shared" si="3"/>
        <v>0</v>
      </c>
      <c r="H51" s="494">
        <f t="shared" si="1"/>
        <v>0</v>
      </c>
      <c r="I51" s="204">
        <v>33.299999999999997</v>
      </c>
      <c r="J51" s="204">
        <v>2542.1999999999998</v>
      </c>
      <c r="K51" s="827">
        <f t="shared" si="4"/>
        <v>-2575.5</v>
      </c>
      <c r="N51" s="1132"/>
    </row>
    <row r="52" spans="1:14">
      <c r="A52" s="935">
        <f t="shared" si="2"/>
        <v>1.4200000000000004</v>
      </c>
      <c r="B52" s="1620" t="s">
        <v>1693</v>
      </c>
      <c r="C52" s="204">
        <f>IFERROR(INDEX(#REF!,MATCH($B52,#REF!,0)),0)</f>
        <v>0</v>
      </c>
      <c r="D52" s="204">
        <f>IFERROR(INDEX(#REF!,MATCH($B52,#REF!,0)),0)</f>
        <v>0</v>
      </c>
      <c r="E52" s="77">
        <f t="shared" si="31"/>
        <v>0</v>
      </c>
      <c r="F52" s="204">
        <f>IFERROR(INDEX(#REF!,MATCH($B52,#REF!,0)),0)</f>
        <v>0</v>
      </c>
      <c r="G52" s="77">
        <f t="shared" ref="G52" si="32">-E52-F52</f>
        <v>0</v>
      </c>
      <c r="H52" s="494">
        <f t="shared" ref="H52" si="33">G52*IF($E52=0,0,+ABS($D52)/(ABS($C52)+ABS($D52)))</f>
        <v>0</v>
      </c>
      <c r="I52" s="204">
        <v>5.5</v>
      </c>
      <c r="J52" s="204">
        <v>-8.76</v>
      </c>
      <c r="K52" s="827">
        <f t="shared" si="4"/>
        <v>3.26</v>
      </c>
      <c r="N52" s="1132"/>
    </row>
    <row r="53" spans="1:14">
      <c r="A53" s="1310">
        <f t="shared" si="2"/>
        <v>1.4300000000000004</v>
      </c>
      <c r="B53" s="1271" t="s">
        <v>936</v>
      </c>
      <c r="C53" s="204">
        <v>0</v>
      </c>
      <c r="D53" s="204">
        <v>0</v>
      </c>
      <c r="E53" s="204">
        <f t="shared" ref="E53:E55" si="34">+C53+D53</f>
        <v>0</v>
      </c>
      <c r="F53" s="1309">
        <v>0</v>
      </c>
      <c r="G53" s="204">
        <f t="shared" ref="G53:G55" si="35">-E53-F53</f>
        <v>0</v>
      </c>
      <c r="H53" s="1311">
        <f t="shared" ref="H53:H55" si="36">G53*IF($E53=0,0,+ABS($D53)/(ABS($C53)+ABS($D53)))</f>
        <v>0</v>
      </c>
      <c r="I53" s="1309">
        <v>0</v>
      </c>
      <c r="J53" s="1309">
        <v>0</v>
      </c>
      <c r="K53" s="827">
        <f t="shared" ref="K53:K54" si="37">+G53-I53-J53</f>
        <v>0</v>
      </c>
      <c r="N53" s="1132"/>
    </row>
    <row r="54" spans="1:14">
      <c r="A54" s="1310" t="s">
        <v>927</v>
      </c>
      <c r="B54" s="1271" t="s">
        <v>936</v>
      </c>
      <c r="C54" s="204">
        <v>0</v>
      </c>
      <c r="D54" s="204">
        <v>0</v>
      </c>
      <c r="E54" s="204">
        <f t="shared" si="34"/>
        <v>0</v>
      </c>
      <c r="F54" s="1309">
        <v>0</v>
      </c>
      <c r="G54" s="204">
        <f t="shared" si="35"/>
        <v>0</v>
      </c>
      <c r="H54" s="1311">
        <f t="shared" si="36"/>
        <v>0</v>
      </c>
      <c r="I54" s="1309">
        <v>0</v>
      </c>
      <c r="J54" s="1309">
        <v>0</v>
      </c>
      <c r="K54" s="827">
        <f t="shared" si="37"/>
        <v>0</v>
      </c>
      <c r="N54" s="1132"/>
    </row>
    <row r="55" spans="1:14">
      <c r="A55" s="1310" t="s">
        <v>931</v>
      </c>
      <c r="B55" s="1271" t="s">
        <v>936</v>
      </c>
      <c r="C55" s="204">
        <v>0</v>
      </c>
      <c r="D55" s="204">
        <v>0</v>
      </c>
      <c r="E55" s="204">
        <f t="shared" si="34"/>
        <v>0</v>
      </c>
      <c r="F55" s="1309">
        <v>0</v>
      </c>
      <c r="G55" s="204">
        <f t="shared" si="35"/>
        <v>0</v>
      </c>
      <c r="H55" s="1311">
        <f t="shared" si="36"/>
        <v>0</v>
      </c>
      <c r="I55" s="1309">
        <v>0</v>
      </c>
      <c r="J55" s="1309">
        <v>0</v>
      </c>
      <c r="K55" s="827">
        <f t="shared" ref="K55" si="38">+G55-I55-J55</f>
        <v>0</v>
      </c>
      <c r="N55" s="1132"/>
    </row>
    <row r="56" spans="1:14" ht="13.8" thickBot="1">
      <c r="A56" s="934">
        <f>+A10+1</f>
        <v>2</v>
      </c>
      <c r="B56" s="812" t="str">
        <f>+"Total  Sum (Ln "&amp;A10&amp;" Subparts"&amp;")"</f>
        <v>Total  Sum (Ln 1 Subparts)</v>
      </c>
      <c r="C56" s="828">
        <f>SUM(C11:C55)</f>
        <v>0</v>
      </c>
      <c r="D56" s="828">
        <f>SUM(D11:D55)</f>
        <v>0</v>
      </c>
      <c r="E56" s="828">
        <f>SUM(E11:E55)</f>
        <v>0</v>
      </c>
      <c r="F56" s="828">
        <f>SUM(F11:F55)</f>
        <v>0</v>
      </c>
      <c r="G56" s="828">
        <f>SUM(G11:G55)</f>
        <v>0</v>
      </c>
      <c r="H56" s="828">
        <f t="shared" ref="H56:K56" si="39">SUM(H11:H55)</f>
        <v>0</v>
      </c>
      <c r="I56" s="828">
        <f t="shared" si="39"/>
        <v>277579.25</v>
      </c>
      <c r="J56" s="828">
        <f t="shared" si="39"/>
        <v>9159138.1199999992</v>
      </c>
      <c r="K56" s="828">
        <f t="shared" si="39"/>
        <v>-9436717.370000001</v>
      </c>
    </row>
    <row r="57" spans="1:14" ht="13.8" thickTop="1">
      <c r="A57" s="934">
        <f t="shared" ref="A57:A78" si="40">+A56+1</f>
        <v>3</v>
      </c>
      <c r="B57" s="812"/>
      <c r="C57" s="829"/>
      <c r="D57" s="829"/>
      <c r="E57" s="829"/>
      <c r="F57" s="829"/>
      <c r="G57" s="829"/>
      <c r="H57" s="829"/>
      <c r="I57" s="829"/>
      <c r="J57" s="829"/>
      <c r="K57" s="829"/>
      <c r="L57" s="846"/>
    </row>
    <row r="58" spans="1:14">
      <c r="A58" s="934">
        <f t="shared" si="40"/>
        <v>4</v>
      </c>
      <c r="B58" s="812" t="s">
        <v>570</v>
      </c>
      <c r="C58" s="812"/>
      <c r="D58" s="812"/>
      <c r="E58" s="813"/>
      <c r="F58" s="813"/>
      <c r="G58" s="813"/>
      <c r="I58" s="813"/>
      <c r="J58" s="813"/>
      <c r="K58" s="813"/>
      <c r="L58" s="846"/>
    </row>
    <row r="59" spans="1:14">
      <c r="A59" s="934">
        <f t="shared" si="40"/>
        <v>5</v>
      </c>
      <c r="B59" s="814" t="s">
        <v>668</v>
      </c>
      <c r="C59" s="827">
        <f>+SUM(C25:C28)</f>
        <v>0</v>
      </c>
      <c r="D59" s="827">
        <f>+SUM(D25:D28)</f>
        <v>0</v>
      </c>
      <c r="E59" s="827">
        <f>+C59+D59</f>
        <v>0</v>
      </c>
      <c r="F59" s="827">
        <f>+SUM(F25:F28)</f>
        <v>0</v>
      </c>
      <c r="G59" s="77">
        <f t="shared" ref="G59:G62" si="41">-E59-F59</f>
        <v>0</v>
      </c>
      <c r="H59" s="1364">
        <f>IF(E59=0, 0,+G59*D59/E59)</f>
        <v>0</v>
      </c>
      <c r="I59" s="827">
        <f>+SUM(I25:I28)</f>
        <v>1065.75</v>
      </c>
      <c r="J59" s="827">
        <f t="shared" ref="J59" si="42">+SUM(J25:J28)</f>
        <v>2536.8000000000002</v>
      </c>
      <c r="K59" s="827">
        <f>+SUM(K25:K28)</f>
        <v>-3602.55</v>
      </c>
      <c r="L59" s="846"/>
    </row>
    <row r="60" spans="1:14" ht="15">
      <c r="A60" s="934">
        <f t="shared" si="40"/>
        <v>6</v>
      </c>
      <c r="B60" s="814" t="s">
        <v>513</v>
      </c>
      <c r="C60" s="667">
        <f>+C29</f>
        <v>0</v>
      </c>
      <c r="D60" s="667">
        <f>+D29</f>
        <v>0</v>
      </c>
      <c r="E60" s="667">
        <f t="shared" ref="E60:E62" si="43">+C60+D60</f>
        <v>0</v>
      </c>
      <c r="F60" s="667">
        <f>+F29</f>
        <v>0</v>
      </c>
      <c r="G60" s="475">
        <f t="shared" si="41"/>
        <v>0</v>
      </c>
      <c r="H60" s="667">
        <f>+H29</f>
        <v>0</v>
      </c>
      <c r="I60" s="667">
        <f t="shared" ref="I60:J60" si="44">+I29</f>
        <v>47.65</v>
      </c>
      <c r="J60" s="667">
        <f t="shared" si="44"/>
        <v>228.72</v>
      </c>
      <c r="K60" s="667">
        <f>+K29</f>
        <v>-276.37</v>
      </c>
      <c r="L60" s="846"/>
    </row>
    <row r="61" spans="1:14">
      <c r="A61" s="934">
        <f t="shared" si="40"/>
        <v>7</v>
      </c>
      <c r="B61" s="1006" t="str">
        <f>+"Total Lines "&amp;A59&amp;" + "&amp;A60</f>
        <v>Total Lines 5 + 6</v>
      </c>
      <c r="C61" s="827">
        <f t="shared" ref="C61:G61" si="45">SUM(C59:C60)</f>
        <v>0</v>
      </c>
      <c r="D61" s="827">
        <f t="shared" si="45"/>
        <v>0</v>
      </c>
      <c r="E61" s="827">
        <f t="shared" si="45"/>
        <v>0</v>
      </c>
      <c r="F61" s="827">
        <f t="shared" si="45"/>
        <v>0</v>
      </c>
      <c r="G61" s="827">
        <f t="shared" si="45"/>
        <v>0</v>
      </c>
      <c r="H61" s="827">
        <f t="shared" ref="H61:K61" si="46">SUM(H59:H60)</f>
        <v>0</v>
      </c>
      <c r="I61" s="827">
        <f t="shared" si="46"/>
        <v>1113.4000000000001</v>
      </c>
      <c r="J61" s="827">
        <f t="shared" si="46"/>
        <v>2765.52</v>
      </c>
      <c r="K61" s="827">
        <f t="shared" si="46"/>
        <v>-3878.92</v>
      </c>
      <c r="L61" s="846"/>
    </row>
    <row r="62" spans="1:14" ht="15">
      <c r="A62" s="934">
        <f t="shared" si="40"/>
        <v>8</v>
      </c>
      <c r="B62" s="1129" t="s">
        <v>818</v>
      </c>
      <c r="C62" s="667">
        <f>+SUM(C24:C36)-SUM(C25:C29)</f>
        <v>0</v>
      </c>
      <c r="D62" s="667">
        <f>+SUM(D24:D36)-SUM(D25:D29)</f>
        <v>0</v>
      </c>
      <c r="E62" s="667">
        <f t="shared" si="43"/>
        <v>0</v>
      </c>
      <c r="F62" s="667">
        <f>+SUM(F24:F36)-SUM(F25:F29)</f>
        <v>0</v>
      </c>
      <c r="G62" s="475">
        <f t="shared" si="41"/>
        <v>0</v>
      </c>
      <c r="H62" s="667">
        <f>+SUM(H24:H36)-SUM(H25:H29)</f>
        <v>0</v>
      </c>
      <c r="I62" s="667">
        <f>+SUM(I24:I36)-SUM(I25:I29)</f>
        <v>149769.05000000002</v>
      </c>
      <c r="J62" s="667">
        <f>+SUM(J24:J37)-SUM(J25:J29)</f>
        <v>635071.55999999994</v>
      </c>
      <c r="K62" s="667">
        <f>+SUM(K24:K36)-SUM(K25:K29)</f>
        <v>-783817.49</v>
      </c>
    </row>
    <row r="63" spans="1:14">
      <c r="A63" s="934">
        <f t="shared" si="40"/>
        <v>9</v>
      </c>
      <c r="B63" s="812" t="s">
        <v>1116</v>
      </c>
      <c r="C63" s="827">
        <f t="shared" ref="C63:J63" si="47">+C61+C62</f>
        <v>0</v>
      </c>
      <c r="D63" s="827">
        <f t="shared" si="47"/>
        <v>0</v>
      </c>
      <c r="E63" s="827">
        <f t="shared" si="47"/>
        <v>0</v>
      </c>
      <c r="F63" s="827">
        <f t="shared" si="47"/>
        <v>0</v>
      </c>
      <c r="G63" s="827">
        <f t="shared" si="47"/>
        <v>0</v>
      </c>
      <c r="H63" s="827">
        <f t="shared" si="47"/>
        <v>0</v>
      </c>
      <c r="I63" s="827">
        <f t="shared" si="47"/>
        <v>150882.45000000001</v>
      </c>
      <c r="J63" s="827">
        <f t="shared" si="47"/>
        <v>637837.07999999996</v>
      </c>
      <c r="K63" s="827">
        <f>+K61+K62</f>
        <v>-787696.41</v>
      </c>
    </row>
    <row r="64" spans="1:14">
      <c r="A64" s="934">
        <f t="shared" si="40"/>
        <v>10</v>
      </c>
      <c r="B64" s="812"/>
      <c r="C64" s="827"/>
      <c r="D64" s="827"/>
      <c r="E64" s="827"/>
      <c r="F64" s="827"/>
      <c r="G64" s="827"/>
      <c r="I64" s="827"/>
      <c r="J64" s="827"/>
      <c r="K64" s="827"/>
    </row>
    <row r="65" spans="1:12">
      <c r="A65" s="934">
        <f t="shared" si="40"/>
        <v>11</v>
      </c>
      <c r="B65" s="812" t="s">
        <v>51</v>
      </c>
      <c r="C65" s="827"/>
      <c r="D65" s="827"/>
      <c r="E65" s="827"/>
      <c r="F65" s="827"/>
      <c r="G65" s="827"/>
      <c r="I65" s="827"/>
      <c r="J65" s="827"/>
      <c r="K65" s="827"/>
    </row>
    <row r="66" spans="1:12">
      <c r="A66" s="934">
        <f t="shared" si="40"/>
        <v>12</v>
      </c>
      <c r="B66" s="814" t="s">
        <v>691</v>
      </c>
      <c r="C66" s="815">
        <f>+SUM(C11:C14)</f>
        <v>0</v>
      </c>
      <c r="D66" s="815">
        <f t="shared" ref="D66:H66" si="48">+SUM(D11:D14)</f>
        <v>0</v>
      </c>
      <c r="E66" s="815">
        <f t="shared" si="48"/>
        <v>0</v>
      </c>
      <c r="F66" s="815">
        <f t="shared" si="48"/>
        <v>0</v>
      </c>
      <c r="G66" s="815">
        <f t="shared" si="48"/>
        <v>0</v>
      </c>
      <c r="H66" s="815">
        <f t="shared" si="48"/>
        <v>0</v>
      </c>
      <c r="I66" s="815">
        <f>+SUM(I11:I14)+I17</f>
        <v>0</v>
      </c>
      <c r="J66" s="815">
        <f>+SUM(J11:J14)+J17</f>
        <v>-1172923.68</v>
      </c>
      <c r="K66" s="815">
        <f>+SUM(K11:K14)+K17</f>
        <v>1172923.68</v>
      </c>
    </row>
    <row r="67" spans="1:12">
      <c r="A67" s="934">
        <f t="shared" si="40"/>
        <v>13</v>
      </c>
      <c r="B67" s="814" t="s">
        <v>690</v>
      </c>
      <c r="C67" s="816">
        <f>+C15</f>
        <v>0</v>
      </c>
      <c r="D67" s="816">
        <f t="shared" ref="D67:K67" si="49">+D15</f>
        <v>0</v>
      </c>
      <c r="E67" s="816">
        <f t="shared" si="49"/>
        <v>0</v>
      </c>
      <c r="F67" s="816">
        <f t="shared" si="49"/>
        <v>0</v>
      </c>
      <c r="G67" s="816">
        <f t="shared" si="49"/>
        <v>0</v>
      </c>
      <c r="H67" s="816">
        <f t="shared" si="49"/>
        <v>0</v>
      </c>
      <c r="I67" s="816">
        <f t="shared" si="49"/>
        <v>4069.3</v>
      </c>
      <c r="J67" s="816">
        <f t="shared" si="49"/>
        <v>285235.08</v>
      </c>
      <c r="K67" s="816">
        <f t="shared" si="49"/>
        <v>-289304.38</v>
      </c>
    </row>
    <row r="68" spans="1:12">
      <c r="A68" s="934">
        <f t="shared" si="40"/>
        <v>14</v>
      </c>
      <c r="B68" s="814" t="s">
        <v>689</v>
      </c>
      <c r="C68" s="816">
        <f>+C16</f>
        <v>0</v>
      </c>
      <c r="D68" s="816">
        <f t="shared" ref="D68:K68" si="50">+D16</f>
        <v>0</v>
      </c>
      <c r="E68" s="816">
        <f t="shared" si="50"/>
        <v>0</v>
      </c>
      <c r="F68" s="816">
        <f t="shared" si="50"/>
        <v>0</v>
      </c>
      <c r="G68" s="816">
        <f t="shared" si="50"/>
        <v>0</v>
      </c>
      <c r="H68" s="816">
        <f t="shared" si="50"/>
        <v>0</v>
      </c>
      <c r="I68" s="816">
        <f t="shared" si="50"/>
        <v>2240.85</v>
      </c>
      <c r="J68" s="816">
        <f t="shared" si="50"/>
        <v>148338.12</v>
      </c>
      <c r="K68" s="816">
        <f t="shared" si="50"/>
        <v>-150578.97</v>
      </c>
    </row>
    <row r="69" spans="1:12">
      <c r="A69" s="934">
        <f t="shared" si="40"/>
        <v>15</v>
      </c>
      <c r="B69" s="814" t="s">
        <v>683</v>
      </c>
      <c r="C69" s="815">
        <f>+SUM(C18:C23)</f>
        <v>0</v>
      </c>
      <c r="D69" s="815">
        <f t="shared" ref="D69:K69" si="51">+SUM(D18:D23)</f>
        <v>0</v>
      </c>
      <c r="E69" s="815">
        <f t="shared" si="51"/>
        <v>0</v>
      </c>
      <c r="F69" s="815">
        <f t="shared" si="51"/>
        <v>0</v>
      </c>
      <c r="G69" s="815">
        <f t="shared" si="51"/>
        <v>0</v>
      </c>
      <c r="H69" s="815">
        <f t="shared" si="51"/>
        <v>0</v>
      </c>
      <c r="I69" s="815">
        <f t="shared" si="51"/>
        <v>0</v>
      </c>
      <c r="J69" s="815">
        <f t="shared" si="51"/>
        <v>903307.2</v>
      </c>
      <c r="K69" s="815">
        <f t="shared" si="51"/>
        <v>-903307.2</v>
      </c>
    </row>
    <row r="70" spans="1:12">
      <c r="A70" s="934">
        <f t="shared" si="40"/>
        <v>16</v>
      </c>
      <c r="B70" s="814" t="s">
        <v>682</v>
      </c>
      <c r="C70" s="815">
        <f>+SUM(C24:C36)</f>
        <v>0</v>
      </c>
      <c r="D70" s="815">
        <f t="shared" ref="D70:J70" si="52">+SUM(D24:D36)</f>
        <v>0</v>
      </c>
      <c r="E70" s="815">
        <f t="shared" si="52"/>
        <v>0</v>
      </c>
      <c r="F70" s="815">
        <f t="shared" si="52"/>
        <v>0</v>
      </c>
      <c r="G70" s="815">
        <f t="shared" si="52"/>
        <v>0</v>
      </c>
      <c r="H70" s="815">
        <f t="shared" si="52"/>
        <v>0</v>
      </c>
      <c r="I70" s="815">
        <f t="shared" si="52"/>
        <v>150882.45000000001</v>
      </c>
      <c r="J70" s="815">
        <f t="shared" si="52"/>
        <v>636813.96</v>
      </c>
      <c r="K70" s="815">
        <f>+SUM(K24:K36)</f>
        <v>-787696.41</v>
      </c>
    </row>
    <row r="71" spans="1:12">
      <c r="A71" s="934">
        <f t="shared" si="40"/>
        <v>17</v>
      </c>
      <c r="B71" s="814" t="s">
        <v>684</v>
      </c>
      <c r="C71" s="815">
        <f>+C37</f>
        <v>0</v>
      </c>
      <c r="D71" s="815">
        <f t="shared" ref="D71:K71" si="53">+D37</f>
        <v>0</v>
      </c>
      <c r="E71" s="815">
        <f t="shared" si="53"/>
        <v>0</v>
      </c>
      <c r="F71" s="815">
        <f t="shared" si="53"/>
        <v>0</v>
      </c>
      <c r="G71" s="815">
        <f t="shared" si="53"/>
        <v>0</v>
      </c>
      <c r="H71" s="815">
        <f t="shared" si="53"/>
        <v>0</v>
      </c>
      <c r="I71" s="815">
        <f t="shared" si="53"/>
        <v>0</v>
      </c>
      <c r="J71" s="815">
        <f t="shared" si="53"/>
        <v>1023.12</v>
      </c>
      <c r="K71" s="815">
        <f t="shared" si="53"/>
        <v>-1023.12</v>
      </c>
    </row>
    <row r="72" spans="1:12">
      <c r="A72" s="934">
        <f t="shared" si="40"/>
        <v>18</v>
      </c>
      <c r="B72" s="814" t="s">
        <v>685</v>
      </c>
      <c r="C72" s="815"/>
      <c r="D72" s="815"/>
      <c r="E72" s="815"/>
      <c r="F72" s="815"/>
      <c r="G72" s="815"/>
      <c r="H72" s="815"/>
      <c r="I72" s="815"/>
      <c r="J72" s="815"/>
      <c r="K72" s="815"/>
    </row>
    <row r="73" spans="1:12">
      <c r="A73" s="934">
        <f t="shared" si="40"/>
        <v>19</v>
      </c>
      <c r="B73" s="814" t="s">
        <v>686</v>
      </c>
      <c r="C73" s="815">
        <f>SUM(C38:C39)</f>
        <v>0</v>
      </c>
      <c r="D73" s="815">
        <f t="shared" ref="D73:K73" si="54">SUM(D38:D39)</f>
        <v>0</v>
      </c>
      <c r="E73" s="815">
        <f t="shared" si="54"/>
        <v>0</v>
      </c>
      <c r="F73" s="815">
        <f t="shared" si="54"/>
        <v>0</v>
      </c>
      <c r="G73" s="815">
        <f t="shared" si="54"/>
        <v>0</v>
      </c>
      <c r="H73" s="815">
        <f t="shared" si="54"/>
        <v>0</v>
      </c>
      <c r="I73" s="815">
        <f t="shared" si="54"/>
        <v>0</v>
      </c>
      <c r="J73" s="815">
        <f t="shared" si="54"/>
        <v>1011.72</v>
      </c>
      <c r="K73" s="815">
        <f t="shared" si="54"/>
        <v>-1011.72</v>
      </c>
    </row>
    <row r="74" spans="1:12">
      <c r="A74" s="934">
        <f t="shared" si="40"/>
        <v>20</v>
      </c>
      <c r="B74" s="814" t="s">
        <v>687</v>
      </c>
      <c r="C74" s="815">
        <f>+SUM(C40:C41)</f>
        <v>0</v>
      </c>
      <c r="D74" s="815">
        <f t="shared" ref="D74:K74" si="55">+SUM(D40:D41)</f>
        <v>0</v>
      </c>
      <c r="E74" s="815">
        <f t="shared" si="55"/>
        <v>0</v>
      </c>
      <c r="F74" s="815">
        <f t="shared" si="55"/>
        <v>0</v>
      </c>
      <c r="G74" s="815">
        <f t="shared" si="55"/>
        <v>0</v>
      </c>
      <c r="H74" s="815">
        <f t="shared" si="55"/>
        <v>0</v>
      </c>
      <c r="I74" s="815">
        <f t="shared" si="55"/>
        <v>0</v>
      </c>
      <c r="J74" s="815">
        <f t="shared" si="55"/>
        <v>113.52</v>
      </c>
      <c r="K74" s="815">
        <f t="shared" si="55"/>
        <v>-113.52</v>
      </c>
    </row>
    <row r="75" spans="1:12" s="965" customFormat="1">
      <c r="A75" s="934">
        <f t="shared" si="40"/>
        <v>21</v>
      </c>
      <c r="B75" s="814" t="s">
        <v>688</v>
      </c>
      <c r="C75" s="817">
        <f>SUM(C42:C55)</f>
        <v>0</v>
      </c>
      <c r="D75" s="817">
        <f t="shared" ref="D75:J75" si="56">SUM(D42:D55)</f>
        <v>0</v>
      </c>
      <c r="E75" s="817">
        <f t="shared" si="56"/>
        <v>0</v>
      </c>
      <c r="F75" s="817">
        <f t="shared" si="56"/>
        <v>0</v>
      </c>
      <c r="G75" s="817">
        <f t="shared" si="56"/>
        <v>0</v>
      </c>
      <c r="H75" s="817">
        <f t="shared" si="56"/>
        <v>0</v>
      </c>
      <c r="I75" s="817">
        <f t="shared" si="56"/>
        <v>120386.65000000001</v>
      </c>
      <c r="J75" s="817">
        <f t="shared" si="56"/>
        <v>8356219.0799999991</v>
      </c>
      <c r="K75" s="817">
        <f>SUM(K42:K55)</f>
        <v>-8476605.7300000004</v>
      </c>
      <c r="L75" s="603"/>
    </row>
    <row r="76" spans="1:12" ht="13.8" thickBot="1">
      <c r="A76" s="896">
        <f>+A75+1</f>
        <v>22</v>
      </c>
      <c r="B76" s="812" t="str">
        <f>+"Total  Sum (Ln "&amp;A66&amp;" to Ln "&amp;A75&amp;")"</f>
        <v>Total  Sum (Ln 12 to Ln 21)</v>
      </c>
      <c r="C76" s="818">
        <f t="shared" ref="C76" si="57">SUM(C66:C75)</f>
        <v>0</v>
      </c>
      <c r="D76" s="818">
        <f t="shared" ref="D76:K76" si="58">SUM(D66:D75)</f>
        <v>0</v>
      </c>
      <c r="E76" s="818">
        <f t="shared" si="58"/>
        <v>0</v>
      </c>
      <c r="F76" s="818">
        <f t="shared" si="58"/>
        <v>0</v>
      </c>
      <c r="G76" s="818">
        <f t="shared" si="58"/>
        <v>0</v>
      </c>
      <c r="H76" s="818">
        <f t="shared" si="58"/>
        <v>0</v>
      </c>
      <c r="I76" s="818">
        <f t="shared" si="58"/>
        <v>277579.25</v>
      </c>
      <c r="J76" s="818">
        <f t="shared" si="58"/>
        <v>9159138.1199999992</v>
      </c>
      <c r="K76" s="818">
        <f t="shared" si="58"/>
        <v>-9436717.370000001</v>
      </c>
    </row>
    <row r="77" spans="1:12" ht="13.8" thickTop="1">
      <c r="A77" s="934">
        <f t="shared" si="40"/>
        <v>23</v>
      </c>
      <c r="B77" s="812"/>
      <c r="C77" s="812"/>
      <c r="D77" s="812"/>
      <c r="E77" s="819"/>
      <c r="F77" s="813"/>
      <c r="G77" s="819"/>
      <c r="I77" s="813"/>
      <c r="J77" s="813"/>
      <c r="K77" s="813"/>
    </row>
    <row r="78" spans="1:12">
      <c r="A78" s="934">
        <f t="shared" si="40"/>
        <v>24</v>
      </c>
      <c r="B78" s="812" t="str">
        <f>+"Payroll O&amp;M Excl A&amp;G  Sum (Ln "&amp;A66&amp;" To Ln "&amp;A74&amp;")"</f>
        <v>Payroll O&amp;M Excl A&amp;G  Sum (Ln 12 To Ln 20)</v>
      </c>
      <c r="C78" s="815"/>
      <c r="D78" s="815"/>
      <c r="E78" s="815"/>
      <c r="F78" s="815"/>
      <c r="G78" s="815"/>
      <c r="H78" s="815">
        <f>+SUM(H66:H74)</f>
        <v>0</v>
      </c>
      <c r="I78" s="815"/>
      <c r="J78" s="815"/>
      <c r="K78" s="815"/>
    </row>
    <row r="79" spans="1:12">
      <c r="A79" s="933"/>
      <c r="B79" s="812"/>
      <c r="C79" s="812"/>
      <c r="D79" s="815"/>
      <c r="E79" s="813"/>
      <c r="F79" s="813"/>
      <c r="G79" s="813"/>
      <c r="I79" s="813"/>
      <c r="J79" s="813"/>
      <c r="K79" s="813"/>
      <c r="L79" s="965"/>
    </row>
    <row r="80" spans="1:12">
      <c r="A80" s="933" t="s">
        <v>666</v>
      </c>
      <c r="B80" s="812"/>
      <c r="C80" s="812"/>
      <c r="D80" s="812"/>
      <c r="E80" s="819"/>
      <c r="F80" s="819"/>
      <c r="G80" s="819"/>
      <c r="I80" s="819"/>
      <c r="J80" s="819"/>
      <c r="K80" s="819"/>
    </row>
    <row r="81" spans="1:11" ht="39.6" customHeight="1">
      <c r="A81" s="1010" t="s">
        <v>167</v>
      </c>
      <c r="B81" s="2057" t="s">
        <v>861</v>
      </c>
      <c r="C81" s="2057"/>
      <c r="D81" s="2057"/>
      <c r="E81" s="2057"/>
      <c r="F81" s="2057"/>
      <c r="G81" s="2057"/>
      <c r="H81" s="2057"/>
      <c r="I81" s="2057"/>
      <c r="J81" s="2057"/>
      <c r="K81" s="2057"/>
    </row>
    <row r="82" spans="1:11">
      <c r="A82" s="1009" t="s">
        <v>319</v>
      </c>
      <c r="B82" s="812" t="s">
        <v>667</v>
      </c>
      <c r="C82" s="812"/>
      <c r="D82" s="812"/>
      <c r="E82" s="819"/>
      <c r="F82" s="819"/>
      <c r="G82" s="819"/>
      <c r="I82" s="819"/>
      <c r="J82" s="819"/>
      <c r="K82" s="819"/>
    </row>
    <row r="83" spans="1:11" ht="12.75" customHeight="1">
      <c r="A83" s="1010" t="s">
        <v>320</v>
      </c>
      <c r="B83" s="1911" t="s">
        <v>813</v>
      </c>
      <c r="C83" s="1911"/>
      <c r="D83" s="1911"/>
      <c r="E83" s="1911"/>
      <c r="F83" s="1911"/>
      <c r="G83" s="1911"/>
      <c r="H83" s="1911"/>
      <c r="I83" s="1911"/>
      <c r="J83" s="1911"/>
      <c r="K83" s="1911"/>
    </row>
    <row r="84" spans="1:11">
      <c r="A84" s="1127" t="s">
        <v>321</v>
      </c>
      <c r="B84" s="1412" t="s">
        <v>857</v>
      </c>
      <c r="C84" s="1412"/>
      <c r="D84" s="1412"/>
      <c r="E84" s="1412"/>
      <c r="F84" s="1412"/>
      <c r="G84" s="1412"/>
      <c r="H84" s="1412"/>
      <c r="I84" s="1412"/>
      <c r="J84" s="1412"/>
      <c r="K84" s="1412"/>
    </row>
    <row r="85" spans="1:11">
      <c r="A85" s="1126"/>
      <c r="B85" s="812"/>
      <c r="C85" s="812"/>
      <c r="D85" s="812"/>
      <c r="E85" s="812"/>
      <c r="F85" s="812"/>
      <c r="G85" s="812"/>
      <c r="I85" s="812"/>
      <c r="J85" s="812"/>
      <c r="K85" s="812"/>
    </row>
    <row r="86" spans="1:11">
      <c r="B86" s="812"/>
      <c r="C86" s="812"/>
      <c r="D86" s="812"/>
      <c r="E86" s="812"/>
      <c r="F86" s="812"/>
      <c r="G86" s="812"/>
      <c r="I86" s="812"/>
      <c r="J86" s="812"/>
      <c r="K86" s="812"/>
    </row>
  </sheetData>
  <mergeCells count="9">
    <mergeCell ref="B83:K83"/>
    <mergeCell ref="A1:K1"/>
    <mergeCell ref="A2:K2"/>
    <mergeCell ref="I9:J9"/>
    <mergeCell ref="C9:E9"/>
    <mergeCell ref="G9:H9"/>
    <mergeCell ref="A3:K3"/>
    <mergeCell ref="A5:K5"/>
    <mergeCell ref="B81:K81"/>
  </mergeCells>
  <phoneticPr fontId="106" type="noConversion"/>
  <printOptions horizontalCentered="1"/>
  <pageMargins left="0.7" right="0.7" top="0.5" bottom="0.5" header="0.3" footer="0.5"/>
  <pageSetup scale="65" orientation="portrait" r:id="rId1"/>
  <headerFooter>
    <oddFooter>&amp;R&amp;A</oddFooter>
  </headerFooter>
  <ignoredErrors>
    <ignoredError sqref="E59:H69 C32:F36" formula="1"/>
    <ignoredError sqref="I59:J69" formula="1" formulaRange="1"/>
    <ignoredError sqref="I70:J75" formulaRange="1"/>
    <ignoredError sqref="A81:A84"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K75"/>
  <sheetViews>
    <sheetView zoomScaleNormal="100" zoomScaleSheetLayoutView="90" workbookViewId="0">
      <selection activeCell="A21" sqref="A21"/>
    </sheetView>
  </sheetViews>
  <sheetFormatPr defaultColWidth="8.88671875" defaultRowHeight="13.2"/>
  <cols>
    <col min="1" max="1" width="5.33203125" style="614" customWidth="1"/>
    <col min="2" max="2" width="44.6640625" style="168" customWidth="1"/>
    <col min="3" max="3" width="18.88671875" style="168" customWidth="1"/>
    <col min="4" max="4" width="16.109375" style="168" bestFit="1" customWidth="1"/>
    <col min="5" max="5" width="13.109375" style="168" bestFit="1" customWidth="1"/>
    <col min="6" max="6" width="17.109375" style="168" customWidth="1"/>
    <col min="7" max="8" width="8.88671875" style="168"/>
    <col min="9" max="9" width="10.88671875" style="168" bestFit="1" customWidth="1"/>
    <col min="10" max="16384" width="8.88671875" style="168"/>
  </cols>
  <sheetData>
    <row r="1" spans="1:10">
      <c r="A1" s="2000" t="str">
        <f>'MISO Cover'!C6</f>
        <v>Entergy Louisiana, LLC</v>
      </c>
      <c r="B1" s="2000"/>
      <c r="C1" s="2000"/>
      <c r="D1" s="2000"/>
      <c r="E1" s="2000"/>
      <c r="F1" s="2000"/>
      <c r="G1" s="820"/>
      <c r="I1" s="821"/>
    </row>
    <row r="2" spans="1:10">
      <c r="A2" s="2001" t="s">
        <v>858</v>
      </c>
      <c r="B2" s="2001"/>
      <c r="C2" s="2001"/>
      <c r="D2" s="2001"/>
      <c r="E2" s="2001"/>
      <c r="F2" s="2001"/>
      <c r="G2" s="958"/>
    </row>
    <row r="3" spans="1:10">
      <c r="A3" s="2000" t="str">
        <f>'MISO Cover'!K4</f>
        <v>For  the 12 Months Ended 12/31/2016</v>
      </c>
      <c r="B3" s="2000"/>
      <c r="C3" s="2000"/>
      <c r="D3" s="2000"/>
      <c r="E3" s="2000"/>
      <c r="F3" s="2000"/>
      <c r="G3" s="822"/>
    </row>
    <row r="4" spans="1:10">
      <c r="A4" s="605"/>
      <c r="B4" s="605"/>
      <c r="C4" s="605"/>
      <c r="D4" s="605"/>
      <c r="E4" s="605"/>
      <c r="F4" s="605"/>
      <c r="G4" s="605"/>
    </row>
    <row r="5" spans="1:10">
      <c r="A5" s="1039"/>
      <c r="B5" s="823"/>
      <c r="C5" s="756"/>
      <c r="D5" s="1259"/>
      <c r="E5" s="1259"/>
      <c r="F5" s="1259" t="s">
        <v>669</v>
      </c>
    </row>
    <row r="6" spans="1:10">
      <c r="A6" s="604" t="s">
        <v>279</v>
      </c>
      <c r="B6" s="1040" t="s">
        <v>67</v>
      </c>
      <c r="C6" s="170"/>
      <c r="D6" s="1040" t="s">
        <v>114</v>
      </c>
      <c r="E6" s="1040" t="s">
        <v>55</v>
      </c>
      <c r="F6" s="1314" t="s">
        <v>68</v>
      </c>
    </row>
    <row r="7" spans="1:10">
      <c r="A7" s="896">
        <v>1</v>
      </c>
      <c r="B7" s="1485" t="s">
        <v>171</v>
      </c>
      <c r="C7" s="1486"/>
      <c r="D7" s="1485" t="s">
        <v>922</v>
      </c>
      <c r="E7" s="1485" t="s">
        <v>483</v>
      </c>
      <c r="F7" s="1485" t="s">
        <v>522</v>
      </c>
      <c r="H7" s="169"/>
      <c r="I7" s="169"/>
    </row>
    <row r="8" spans="1:10">
      <c r="A8" s="935">
        <f>A7+0.01</f>
        <v>1.01</v>
      </c>
      <c r="B8" s="1262" t="s">
        <v>837</v>
      </c>
      <c r="C8" s="607"/>
      <c r="D8" s="1315">
        <v>0</v>
      </c>
      <c r="E8" s="1315">
        <v>0</v>
      </c>
      <c r="F8" s="608">
        <f>SUM(D8:E8)</f>
        <v>0</v>
      </c>
      <c r="G8" s="170"/>
      <c r="H8" s="169"/>
      <c r="I8" s="169"/>
      <c r="J8" s="170"/>
    </row>
    <row r="9" spans="1:10" s="170" customFormat="1">
      <c r="A9" s="935">
        <f t="shared" ref="A9:A42" si="0">A8+0.01</f>
        <v>1.02</v>
      </c>
      <c r="B9" s="1262" t="s">
        <v>838</v>
      </c>
      <c r="C9" s="607"/>
      <c r="D9" s="1315">
        <v>0</v>
      </c>
      <c r="E9" s="1315">
        <v>0</v>
      </c>
      <c r="F9" s="608">
        <f t="shared" ref="F9:F42" si="1">SUM(D9:E9)</f>
        <v>0</v>
      </c>
      <c r="G9" s="607"/>
      <c r="H9" s="169" t="s">
        <v>1966</v>
      </c>
      <c r="I9" s="169"/>
      <c r="J9" s="169"/>
    </row>
    <row r="10" spans="1:10" s="169" customFormat="1">
      <c r="A10" s="935">
        <f t="shared" si="0"/>
        <v>1.03</v>
      </c>
      <c r="B10" s="1622" t="s">
        <v>1657</v>
      </c>
      <c r="C10" s="607"/>
      <c r="D10" s="1315">
        <f>IFERROR(INDEX(#REF!,MATCH($B10,#REF!,0)),0)</f>
        <v>0</v>
      </c>
      <c r="E10" s="1315">
        <f>IFERROR(INDEX(#REF!,MATCH($B10,#REF!,0)),0)</f>
        <v>0</v>
      </c>
      <c r="F10" s="608">
        <f t="shared" si="1"/>
        <v>0</v>
      </c>
      <c r="G10" s="607"/>
    </row>
    <row r="11" spans="1:10" s="169" customFormat="1">
      <c r="A11" s="935">
        <f t="shared" si="0"/>
        <v>1.04</v>
      </c>
      <c r="B11" s="1622" t="s">
        <v>1658</v>
      </c>
      <c r="C11" s="607"/>
      <c r="D11" s="1315">
        <f>IFERROR(INDEX(#REF!,MATCH($B11,#REF!,0)),0)</f>
        <v>0</v>
      </c>
      <c r="E11" s="1315">
        <f>IFERROR(INDEX(#REF!,MATCH($B11,#REF!,0)),0)</f>
        <v>0</v>
      </c>
      <c r="F11" s="608">
        <f t="shared" si="1"/>
        <v>0</v>
      </c>
      <c r="G11" s="607"/>
    </row>
    <row r="12" spans="1:10" s="169" customFormat="1">
      <c r="A12" s="935">
        <f t="shared" si="0"/>
        <v>1.05</v>
      </c>
      <c r="B12" s="1263" t="s">
        <v>1701</v>
      </c>
      <c r="C12" s="607"/>
      <c r="D12" s="1315">
        <f>IFERROR(INDEX(#REF!,MATCH($B12,#REF!,0)),0)</f>
        <v>0</v>
      </c>
      <c r="E12" s="1315">
        <f>IFERROR(INDEX(#REF!,MATCH($B12,#REF!,0)),0)</f>
        <v>0</v>
      </c>
      <c r="F12" s="608">
        <f t="shared" si="1"/>
        <v>0</v>
      </c>
      <c r="G12" s="607"/>
    </row>
    <row r="13" spans="1:10" s="169" customFormat="1">
      <c r="A13" s="935">
        <f t="shared" si="0"/>
        <v>1.06</v>
      </c>
      <c r="B13" s="1263" t="s">
        <v>1702</v>
      </c>
      <c r="C13" s="607"/>
      <c r="D13" s="1315">
        <f>IFERROR(INDEX(#REF!,MATCH($B13,#REF!,0)),0)</f>
        <v>0</v>
      </c>
      <c r="E13" s="1315">
        <f>IFERROR(INDEX(#REF!,MATCH($B13,#REF!,0)),0)</f>
        <v>0</v>
      </c>
      <c r="F13" s="608">
        <f t="shared" si="1"/>
        <v>0</v>
      </c>
      <c r="G13" s="607"/>
    </row>
    <row r="14" spans="1:10" s="169" customFormat="1">
      <c r="A14" s="935">
        <f t="shared" si="0"/>
        <v>1.07</v>
      </c>
      <c r="B14" s="1622" t="s">
        <v>1659</v>
      </c>
      <c r="C14" s="607"/>
      <c r="D14" s="1315">
        <f>IFERROR(INDEX(#REF!,MATCH($B14,#REF!,0)),0)</f>
        <v>0</v>
      </c>
      <c r="E14" s="1315">
        <f>IFERROR(INDEX(#REF!,MATCH($B14,#REF!,0)),0)</f>
        <v>0</v>
      </c>
      <c r="F14" s="608">
        <f t="shared" si="1"/>
        <v>0</v>
      </c>
      <c r="G14" s="607"/>
    </row>
    <row r="15" spans="1:10" s="169" customFormat="1">
      <c r="A15" s="935">
        <f t="shared" si="0"/>
        <v>1.08</v>
      </c>
      <c r="B15" s="1263" t="s">
        <v>1660</v>
      </c>
      <c r="C15" s="607"/>
      <c r="D15" s="1315">
        <f>IFERROR(INDEX(#REF!,MATCH($B15,#REF!,0)),0)</f>
        <v>0</v>
      </c>
      <c r="E15" s="1315">
        <f>IFERROR(INDEX(#REF!,MATCH($B15,#REF!,0)),0)</f>
        <v>0</v>
      </c>
      <c r="F15" s="608">
        <f t="shared" si="1"/>
        <v>0</v>
      </c>
      <c r="G15" s="607"/>
    </row>
    <row r="16" spans="1:10" s="169" customFormat="1">
      <c r="A16" s="935">
        <f t="shared" si="0"/>
        <v>1.0900000000000001</v>
      </c>
      <c r="B16" s="1263" t="s">
        <v>1694</v>
      </c>
      <c r="C16" s="607"/>
      <c r="D16" s="1315">
        <f>IFERROR(INDEX(#REF!,MATCH($B16,#REF!,0)),0)</f>
        <v>0</v>
      </c>
      <c r="E16" s="1315">
        <f>IFERROR(INDEX(#REF!,MATCH($B16,#REF!,0)),0)</f>
        <v>0</v>
      </c>
      <c r="F16" s="608">
        <f t="shared" si="1"/>
        <v>0</v>
      </c>
      <c r="G16" s="607"/>
    </row>
    <row r="17" spans="1:7" s="169" customFormat="1">
      <c r="A17" s="935">
        <f t="shared" si="0"/>
        <v>1.1000000000000001</v>
      </c>
      <c r="B17" s="1263" t="s">
        <v>1695</v>
      </c>
      <c r="C17" s="607"/>
      <c r="D17" s="1315">
        <f>IFERROR(INDEX(#REF!,MATCH($B17,#REF!,0)),0)</f>
        <v>0</v>
      </c>
      <c r="E17" s="1315">
        <f>IFERROR(INDEX(#REF!,MATCH($B17,#REF!,0)),0)</f>
        <v>0</v>
      </c>
      <c r="F17" s="608">
        <f t="shared" si="1"/>
        <v>0</v>
      </c>
      <c r="G17" s="607"/>
    </row>
    <row r="18" spans="1:7" s="169" customFormat="1">
      <c r="A18" s="935">
        <f t="shared" si="0"/>
        <v>1.1100000000000001</v>
      </c>
      <c r="B18" s="1622" t="s">
        <v>1696</v>
      </c>
      <c r="C18" s="607"/>
      <c r="D18" s="1315">
        <f>IFERROR(INDEX(#REF!,MATCH($B18,#REF!,0)),0)</f>
        <v>0</v>
      </c>
      <c r="E18" s="1315">
        <f>IFERROR(INDEX(#REF!,MATCH($B18,#REF!,0)),0)</f>
        <v>0</v>
      </c>
      <c r="F18" s="608">
        <f t="shared" si="1"/>
        <v>0</v>
      </c>
      <c r="G18" s="607"/>
    </row>
    <row r="19" spans="1:7" s="169" customFormat="1">
      <c r="A19" s="935">
        <f t="shared" si="0"/>
        <v>1.1200000000000001</v>
      </c>
      <c r="B19" s="1263" t="s">
        <v>1697</v>
      </c>
      <c r="C19" s="607"/>
      <c r="D19" s="1315">
        <f>IFERROR(INDEX(#REF!,MATCH($B19,#REF!,0)),0)</f>
        <v>0</v>
      </c>
      <c r="E19" s="1315">
        <f>IFERROR(INDEX(#REF!,MATCH($B19,#REF!,0)),0)</f>
        <v>0</v>
      </c>
      <c r="F19" s="608">
        <f t="shared" si="1"/>
        <v>0</v>
      </c>
      <c r="G19" s="607"/>
    </row>
    <row r="20" spans="1:7" s="169" customFormat="1">
      <c r="A20" s="935">
        <f t="shared" si="0"/>
        <v>1.1300000000000001</v>
      </c>
      <c r="B20" s="1263" t="s">
        <v>1698</v>
      </c>
      <c r="C20" s="607"/>
      <c r="D20" s="1315">
        <f>IFERROR(INDEX(#REF!,MATCH($B20,#REF!,0)),0)</f>
        <v>0</v>
      </c>
      <c r="E20" s="1315">
        <f>IFERROR(INDEX(#REF!,MATCH($B20,#REF!,0)),0)</f>
        <v>0</v>
      </c>
      <c r="F20" s="608">
        <f t="shared" si="1"/>
        <v>0</v>
      </c>
      <c r="G20" s="607"/>
    </row>
    <row r="21" spans="1:7" s="169" customFormat="1">
      <c r="A21" s="935">
        <f t="shared" si="0"/>
        <v>1.1400000000000001</v>
      </c>
      <c r="B21" s="1263" t="s">
        <v>1699</v>
      </c>
      <c r="C21" s="607"/>
      <c r="D21" s="1315">
        <f>IFERROR(INDEX(#REF!,MATCH($B21,#REF!,0)),0)</f>
        <v>0</v>
      </c>
      <c r="E21" s="1315">
        <f>IFERROR(INDEX(#REF!,MATCH($B21,#REF!,0)),0)</f>
        <v>0</v>
      </c>
      <c r="F21" s="608">
        <f t="shared" si="1"/>
        <v>0</v>
      </c>
      <c r="G21" s="607"/>
    </row>
    <row r="22" spans="1:7" s="169" customFormat="1">
      <c r="A22" s="935">
        <f t="shared" si="0"/>
        <v>1.1500000000000001</v>
      </c>
      <c r="B22" s="1622" t="s">
        <v>1665</v>
      </c>
      <c r="C22" s="607"/>
      <c r="D22" s="1315">
        <f>IFERROR(INDEX(#REF!,MATCH($B22,#REF!,0)),0)</f>
        <v>0</v>
      </c>
      <c r="E22" s="1315">
        <f>IFERROR(INDEX(#REF!,MATCH($B22,#REF!,0)),0)</f>
        <v>0</v>
      </c>
      <c r="F22" s="608">
        <f t="shared" si="1"/>
        <v>0</v>
      </c>
      <c r="G22" s="607"/>
    </row>
    <row r="23" spans="1:7" s="169" customFormat="1">
      <c r="A23" s="935">
        <f t="shared" si="0"/>
        <v>1.1600000000000001</v>
      </c>
      <c r="B23" s="1263" t="s">
        <v>1670</v>
      </c>
      <c r="C23" s="607"/>
      <c r="D23" s="1315">
        <f>IFERROR(INDEX(#REF!,MATCH($B23,#REF!,0)),0)</f>
        <v>0</v>
      </c>
      <c r="E23" s="1315">
        <f>IFERROR(INDEX(#REF!,MATCH($B23,#REF!,0)),0)</f>
        <v>0</v>
      </c>
      <c r="F23" s="608">
        <f t="shared" si="1"/>
        <v>0</v>
      </c>
      <c r="G23" s="607"/>
    </row>
    <row r="24" spans="1:7" s="169" customFormat="1">
      <c r="A24" s="935">
        <f t="shared" si="0"/>
        <v>1.1700000000000002</v>
      </c>
      <c r="B24" s="1622" t="s">
        <v>1672</v>
      </c>
      <c r="C24" s="607"/>
      <c r="D24" s="1315">
        <f>IFERROR(INDEX(#REF!,MATCH($B24,#REF!,0)),0)</f>
        <v>0</v>
      </c>
      <c r="E24" s="1315">
        <f>IFERROR(INDEX(#REF!,MATCH($B24,#REF!,0)),0)</f>
        <v>0</v>
      </c>
      <c r="F24" s="608">
        <f t="shared" si="1"/>
        <v>0</v>
      </c>
      <c r="G24" s="607"/>
    </row>
    <row r="25" spans="1:7" s="169" customFormat="1">
      <c r="A25" s="935">
        <f t="shared" si="0"/>
        <v>1.1800000000000002</v>
      </c>
      <c r="B25" s="1622" t="s">
        <v>1674</v>
      </c>
      <c r="C25" s="607"/>
      <c r="D25" s="1315">
        <f>IFERROR(INDEX(#REF!,MATCH($B25,#REF!,0)),0)</f>
        <v>0</v>
      </c>
      <c r="E25" s="1315">
        <f>IFERROR(INDEX(#REF!,MATCH($B25,#REF!,0)),0)</f>
        <v>0</v>
      </c>
      <c r="F25" s="608">
        <f t="shared" si="1"/>
        <v>0</v>
      </c>
      <c r="G25" s="607"/>
    </row>
    <row r="26" spans="1:7" s="169" customFormat="1">
      <c r="A26" s="935">
        <f t="shared" si="0"/>
        <v>1.1900000000000002</v>
      </c>
      <c r="B26" s="1263" t="s">
        <v>1675</v>
      </c>
      <c r="C26" s="607"/>
      <c r="D26" s="1315">
        <f>IFERROR(INDEX(#REF!,MATCH($B26,#REF!,0)),0)</f>
        <v>0</v>
      </c>
      <c r="E26" s="1315">
        <f>IFERROR(INDEX(#REF!,MATCH($B26,#REF!,0)),0)</f>
        <v>0</v>
      </c>
      <c r="F26" s="608">
        <f t="shared" si="1"/>
        <v>0</v>
      </c>
      <c r="G26" s="607"/>
    </row>
    <row r="27" spans="1:7" s="169" customFormat="1">
      <c r="A27" s="935">
        <f t="shared" si="0"/>
        <v>1.2000000000000002</v>
      </c>
      <c r="B27" s="1263" t="s">
        <v>1700</v>
      </c>
      <c r="C27" s="607"/>
      <c r="D27" s="1315">
        <f>IFERROR(INDEX(#REF!,MATCH($B27,#REF!,0)),0)</f>
        <v>0</v>
      </c>
      <c r="E27" s="1315">
        <f>IFERROR(INDEX(#REF!,MATCH($B27,#REF!,0)),0)</f>
        <v>0</v>
      </c>
      <c r="F27" s="608">
        <f t="shared" si="1"/>
        <v>0</v>
      </c>
      <c r="G27" s="607"/>
    </row>
    <row r="28" spans="1:7" s="169" customFormat="1">
      <c r="A28" s="935">
        <f t="shared" si="0"/>
        <v>1.2100000000000002</v>
      </c>
      <c r="B28" s="1264" t="s">
        <v>799</v>
      </c>
      <c r="C28" s="607"/>
      <c r="D28" s="1315">
        <v>0</v>
      </c>
      <c r="E28" s="1315">
        <v>0</v>
      </c>
      <c r="F28" s="608">
        <f t="shared" si="1"/>
        <v>0</v>
      </c>
      <c r="G28" s="964"/>
    </row>
    <row r="29" spans="1:7" s="169" customFormat="1">
      <c r="A29" s="935">
        <f t="shared" si="0"/>
        <v>1.2200000000000002</v>
      </c>
      <c r="B29" s="1264" t="s">
        <v>839</v>
      </c>
      <c r="C29" s="607"/>
      <c r="D29" s="1315">
        <v>0</v>
      </c>
      <c r="E29" s="1315">
        <v>0</v>
      </c>
      <c r="F29" s="608">
        <f t="shared" si="1"/>
        <v>0</v>
      </c>
      <c r="G29" s="964"/>
    </row>
    <row r="30" spans="1:7" s="169" customFormat="1">
      <c r="A30" s="935">
        <f t="shared" si="0"/>
        <v>1.2300000000000002</v>
      </c>
      <c r="B30" s="1264" t="s">
        <v>175</v>
      </c>
      <c r="C30" s="607"/>
      <c r="D30" s="1315">
        <v>0</v>
      </c>
      <c r="E30" s="1315">
        <v>0</v>
      </c>
      <c r="F30" s="608">
        <f t="shared" si="1"/>
        <v>0</v>
      </c>
      <c r="G30" s="607"/>
    </row>
    <row r="31" spans="1:7" s="169" customFormat="1">
      <c r="A31" s="935">
        <f t="shared" si="0"/>
        <v>1.2400000000000002</v>
      </c>
      <c r="B31" s="1264" t="s">
        <v>859</v>
      </c>
      <c r="C31" s="607"/>
      <c r="D31" s="1315">
        <v>0</v>
      </c>
      <c r="E31" s="1315">
        <v>0</v>
      </c>
      <c r="F31" s="608">
        <f t="shared" si="1"/>
        <v>0</v>
      </c>
      <c r="G31" s="607"/>
    </row>
    <row r="32" spans="1:7" s="169" customFormat="1">
      <c r="A32" s="935">
        <f t="shared" si="0"/>
        <v>1.2500000000000002</v>
      </c>
      <c r="B32" s="606" t="s">
        <v>176</v>
      </c>
      <c r="C32" s="607"/>
      <c r="D32" s="1315">
        <v>0</v>
      </c>
      <c r="E32" s="1315">
        <v>0</v>
      </c>
      <c r="F32" s="608">
        <f t="shared" si="1"/>
        <v>0</v>
      </c>
      <c r="G32" s="607"/>
    </row>
    <row r="33" spans="1:10" s="169" customFormat="1">
      <c r="A33" s="935">
        <f t="shared" si="0"/>
        <v>1.2600000000000002</v>
      </c>
      <c r="B33" s="606" t="s">
        <v>177</v>
      </c>
      <c r="C33" s="607"/>
      <c r="D33" s="1315">
        <v>0</v>
      </c>
      <c r="E33" s="1315">
        <v>0</v>
      </c>
      <c r="F33" s="608">
        <f t="shared" si="1"/>
        <v>0</v>
      </c>
      <c r="G33" s="607"/>
    </row>
    <row r="34" spans="1:10" s="169" customFormat="1">
      <c r="A34" s="935">
        <f t="shared" si="0"/>
        <v>1.2700000000000002</v>
      </c>
      <c r="B34" s="606" t="s">
        <v>178</v>
      </c>
      <c r="C34" s="607"/>
      <c r="D34" s="1315">
        <v>0</v>
      </c>
      <c r="E34" s="1315">
        <v>0</v>
      </c>
      <c r="F34" s="608">
        <f t="shared" si="1"/>
        <v>0</v>
      </c>
      <c r="G34" s="607"/>
    </row>
    <row r="35" spans="1:10" s="169" customFormat="1">
      <c r="A35" s="935">
        <f t="shared" si="0"/>
        <v>1.2800000000000002</v>
      </c>
      <c r="B35" s="606" t="s">
        <v>179</v>
      </c>
      <c r="C35" s="607"/>
      <c r="D35" s="1315">
        <v>0</v>
      </c>
      <c r="E35" s="1315">
        <v>0</v>
      </c>
      <c r="F35" s="608">
        <f t="shared" si="1"/>
        <v>0</v>
      </c>
      <c r="G35" s="607"/>
    </row>
    <row r="36" spans="1:10" s="169" customFormat="1">
      <c r="A36" s="935">
        <f t="shared" si="0"/>
        <v>1.2900000000000003</v>
      </c>
      <c r="B36" s="606" t="s">
        <v>180</v>
      </c>
      <c r="C36" s="607"/>
      <c r="D36" s="1315">
        <v>0</v>
      </c>
      <c r="E36" s="1315">
        <v>0</v>
      </c>
      <c r="F36" s="608">
        <f t="shared" si="1"/>
        <v>0</v>
      </c>
      <c r="G36" s="607"/>
    </row>
    <row r="37" spans="1:10" s="169" customFormat="1">
      <c r="A37" s="935">
        <f t="shared" si="0"/>
        <v>1.3000000000000003</v>
      </c>
      <c r="B37" s="606" t="s">
        <v>181</v>
      </c>
      <c r="C37" s="607"/>
      <c r="D37" s="1315">
        <v>0</v>
      </c>
      <c r="E37" s="1315">
        <v>0</v>
      </c>
      <c r="F37" s="608">
        <f t="shared" si="1"/>
        <v>0</v>
      </c>
      <c r="G37" s="607"/>
    </row>
    <row r="38" spans="1:10" s="169" customFormat="1">
      <c r="A38" s="935">
        <f t="shared" si="0"/>
        <v>1.3100000000000003</v>
      </c>
      <c r="B38" s="606" t="s">
        <v>182</v>
      </c>
      <c r="C38" s="607"/>
      <c r="D38" s="1315">
        <v>0</v>
      </c>
      <c r="E38" s="1315">
        <v>0</v>
      </c>
      <c r="F38" s="608">
        <f t="shared" si="1"/>
        <v>0</v>
      </c>
      <c r="G38" s="607"/>
    </row>
    <row r="39" spans="1:10" s="169" customFormat="1">
      <c r="A39" s="935">
        <f t="shared" si="0"/>
        <v>1.3200000000000003</v>
      </c>
      <c r="B39" s="606" t="s">
        <v>293</v>
      </c>
      <c r="C39" s="607"/>
      <c r="D39" s="1315">
        <v>0</v>
      </c>
      <c r="E39" s="1315">
        <v>0</v>
      </c>
      <c r="F39" s="608">
        <f t="shared" si="1"/>
        <v>0</v>
      </c>
      <c r="G39" s="607"/>
    </row>
    <row r="40" spans="1:10" s="169" customFormat="1">
      <c r="A40" s="935">
        <f t="shared" si="0"/>
        <v>1.3300000000000003</v>
      </c>
      <c r="B40" s="606" t="s">
        <v>183</v>
      </c>
      <c r="C40" s="607"/>
      <c r="D40" s="1315">
        <v>0</v>
      </c>
      <c r="E40" s="1315">
        <v>0</v>
      </c>
      <c r="F40" s="608">
        <f t="shared" si="1"/>
        <v>0</v>
      </c>
      <c r="G40" s="607"/>
    </row>
    <row r="41" spans="1:10" s="169" customFormat="1">
      <c r="A41" s="935">
        <f t="shared" si="0"/>
        <v>1.3400000000000003</v>
      </c>
      <c r="B41" s="606" t="s">
        <v>294</v>
      </c>
      <c r="C41" s="607"/>
      <c r="D41" s="1315">
        <v>0</v>
      </c>
      <c r="E41" s="1315">
        <v>0</v>
      </c>
      <c r="F41" s="608">
        <f t="shared" si="1"/>
        <v>0</v>
      </c>
      <c r="G41" s="607"/>
    </row>
    <row r="42" spans="1:10" s="169" customFormat="1">
      <c r="A42" s="935">
        <f t="shared" si="0"/>
        <v>1.3500000000000003</v>
      </c>
      <c r="B42" s="1263" t="s">
        <v>184</v>
      </c>
      <c r="C42" s="607"/>
      <c r="D42" s="1315">
        <v>0</v>
      </c>
      <c r="E42" s="1315">
        <v>0</v>
      </c>
      <c r="F42" s="608">
        <f t="shared" si="1"/>
        <v>0</v>
      </c>
      <c r="G42" s="607"/>
    </row>
    <row r="43" spans="1:10" s="169" customFormat="1" ht="13.8" thickBot="1">
      <c r="A43" s="896">
        <f>A7+1</f>
        <v>2</v>
      </c>
      <c r="B43" s="636" t="s">
        <v>825</v>
      </c>
      <c r="C43" s="607"/>
      <c r="D43" s="637">
        <f>SUM(D8:D42)</f>
        <v>0</v>
      </c>
      <c r="E43" s="637">
        <f>SUM(E8:E42)</f>
        <v>0</v>
      </c>
      <c r="F43" s="637">
        <f>SUM(F8:F42)</f>
        <v>0</v>
      </c>
      <c r="G43" s="607"/>
    </row>
    <row r="44" spans="1:10" s="169" customFormat="1" ht="13.8" thickTop="1">
      <c r="A44" s="896">
        <f>A43+1</f>
        <v>3</v>
      </c>
      <c r="B44" s="1041"/>
      <c r="C44" s="1041"/>
      <c r="D44" s="1041"/>
      <c r="E44" s="1042"/>
      <c r="F44" s="1042"/>
      <c r="G44" s="813"/>
      <c r="H44" s="603"/>
      <c r="I44" s="603"/>
      <c r="J44" s="603"/>
    </row>
    <row r="45" spans="1:10" s="603" customFormat="1">
      <c r="A45" s="896">
        <f t="shared" ref="A45:A50" si="2">A44+1</f>
        <v>4</v>
      </c>
      <c r="B45" s="1041" t="s">
        <v>570</v>
      </c>
      <c r="C45" s="1041"/>
      <c r="D45" s="1041"/>
      <c r="E45" s="1042"/>
      <c r="F45" s="1042"/>
      <c r="G45" s="813"/>
    </row>
    <row r="46" spans="1:10" s="603" customFormat="1">
      <c r="A46" s="896">
        <f t="shared" si="2"/>
        <v>5</v>
      </c>
      <c r="B46" s="1043" t="s">
        <v>668</v>
      </c>
      <c r="C46" s="1044"/>
      <c r="D46" s="1044"/>
      <c r="E46" s="1044"/>
      <c r="F46" s="1044"/>
      <c r="G46" s="827"/>
    </row>
    <row r="47" spans="1:10" s="603" customFormat="1" ht="15">
      <c r="A47" s="896">
        <f t="shared" si="2"/>
        <v>6</v>
      </c>
      <c r="B47" s="1043" t="s">
        <v>513</v>
      </c>
      <c r="C47" s="667"/>
      <c r="D47" s="667">
        <f>D23</f>
        <v>0</v>
      </c>
      <c r="E47" s="667">
        <f>E23</f>
        <v>0</v>
      </c>
      <c r="F47" s="667">
        <f>F23</f>
        <v>0</v>
      </c>
      <c r="G47" s="667"/>
    </row>
    <row r="48" spans="1:10" s="603" customFormat="1">
      <c r="A48" s="896">
        <f t="shared" si="2"/>
        <v>7</v>
      </c>
      <c r="B48" s="1045" t="s">
        <v>800</v>
      </c>
      <c r="C48" s="1044"/>
      <c r="D48" s="1044">
        <f>SUM(D46:D47)</f>
        <v>0</v>
      </c>
      <c r="E48" s="1044">
        <f>SUM(E46:E47)</f>
        <v>0</v>
      </c>
      <c r="F48" s="1044">
        <f>SUM(F46:F47)</f>
        <v>0</v>
      </c>
      <c r="G48" s="827"/>
    </row>
    <row r="49" spans="1:10" s="603" customFormat="1" ht="15">
      <c r="A49" s="896">
        <f t="shared" si="2"/>
        <v>8</v>
      </c>
      <c r="B49" s="1041" t="s">
        <v>840</v>
      </c>
      <c r="C49" s="667"/>
      <c r="D49" s="667">
        <f>SUM(D22:D27)-D23</f>
        <v>0</v>
      </c>
      <c r="E49" s="667">
        <f t="shared" ref="E49:F49" si="3">SUM(E22:E27)-E23</f>
        <v>0</v>
      </c>
      <c r="F49" s="667">
        <f t="shared" si="3"/>
        <v>0</v>
      </c>
      <c r="G49" s="846"/>
    </row>
    <row r="50" spans="1:10" s="603" customFormat="1">
      <c r="A50" s="896">
        <f t="shared" si="2"/>
        <v>9</v>
      </c>
      <c r="B50" s="1041" t="s">
        <v>759</v>
      </c>
      <c r="C50" s="1044"/>
      <c r="D50" s="1044">
        <f>+D48+D49</f>
        <v>0</v>
      </c>
      <c r="E50" s="1044">
        <f>+E48+E49</f>
        <v>0</v>
      </c>
      <c r="F50" s="1044">
        <f>+F48+F49</f>
        <v>0</v>
      </c>
      <c r="G50" s="827"/>
    </row>
    <row r="51" spans="1:10" s="603" customFormat="1">
      <c r="A51" s="896">
        <f t="shared" ref="A51:A62" si="4">+A50+1</f>
        <v>10</v>
      </c>
      <c r="B51" s="606"/>
      <c r="C51" s="607"/>
      <c r="D51" s="276"/>
      <c r="E51" s="276"/>
      <c r="F51" s="276"/>
      <c r="G51" s="607"/>
      <c r="H51" s="169"/>
      <c r="I51" s="169"/>
      <c r="J51" s="169"/>
    </row>
    <row r="52" spans="1:10" s="169" customFormat="1">
      <c r="A52" s="896">
        <f t="shared" si="4"/>
        <v>11</v>
      </c>
      <c r="B52" s="1041" t="s">
        <v>51</v>
      </c>
      <c r="C52" s="1041"/>
      <c r="D52" s="1041"/>
      <c r="E52" s="1042"/>
      <c r="F52" s="1042"/>
      <c r="G52" s="808"/>
    </row>
    <row r="53" spans="1:10" s="169" customFormat="1">
      <c r="A53" s="896">
        <f t="shared" si="4"/>
        <v>12</v>
      </c>
      <c r="B53" s="1043" t="s">
        <v>691</v>
      </c>
      <c r="D53" s="1046">
        <f>D8+D9+D12+D13</f>
        <v>0</v>
      </c>
      <c r="E53" s="1046">
        <f>E8+E9</f>
        <v>0</v>
      </c>
      <c r="F53" s="1046">
        <f>F8+F9+F12+F13</f>
        <v>0</v>
      </c>
    </row>
    <row r="54" spans="1:10" s="169" customFormat="1">
      <c r="A54" s="896">
        <f t="shared" si="4"/>
        <v>13</v>
      </c>
      <c r="B54" s="1043" t="s">
        <v>690</v>
      </c>
      <c r="D54" s="1047">
        <f t="shared" ref="D54:F55" si="5">D10</f>
        <v>0</v>
      </c>
      <c r="E54" s="1047">
        <f t="shared" si="5"/>
        <v>0</v>
      </c>
      <c r="F54" s="1047">
        <f t="shared" si="5"/>
        <v>0</v>
      </c>
    </row>
    <row r="55" spans="1:10" s="169" customFormat="1">
      <c r="A55" s="896">
        <f t="shared" si="4"/>
        <v>14</v>
      </c>
      <c r="B55" s="1043" t="s">
        <v>689</v>
      </c>
      <c r="D55" s="1047">
        <f t="shared" si="5"/>
        <v>0</v>
      </c>
      <c r="E55" s="1047">
        <f t="shared" si="5"/>
        <v>0</v>
      </c>
      <c r="F55" s="1047">
        <f t="shared" si="5"/>
        <v>0</v>
      </c>
    </row>
    <row r="56" spans="1:10" s="169" customFormat="1">
      <c r="A56" s="896">
        <f t="shared" si="4"/>
        <v>15</v>
      </c>
      <c r="B56" s="1043" t="s">
        <v>683</v>
      </c>
      <c r="D56" s="1046">
        <f>SUM(D14:D21)</f>
        <v>0</v>
      </c>
      <c r="E56" s="1046">
        <f>SUM(E14:E21)</f>
        <v>0</v>
      </c>
      <c r="F56" s="1046">
        <f>SUM(F14:F21)</f>
        <v>0</v>
      </c>
    </row>
    <row r="57" spans="1:10" s="169" customFormat="1">
      <c r="A57" s="896">
        <f t="shared" si="4"/>
        <v>16</v>
      </c>
      <c r="B57" s="1043" t="s">
        <v>682</v>
      </c>
      <c r="D57" s="1046">
        <f>SUM(D22:D27)</f>
        <v>0</v>
      </c>
      <c r="E57" s="1046">
        <f>SUM(E22:E27)</f>
        <v>0</v>
      </c>
      <c r="F57" s="1046">
        <f>SUM(F22:F27)</f>
        <v>0</v>
      </c>
    </row>
    <row r="58" spans="1:10" s="169" customFormat="1">
      <c r="A58" s="896">
        <f t="shared" si="4"/>
        <v>17</v>
      </c>
      <c r="B58" s="1043" t="s">
        <v>684</v>
      </c>
      <c r="D58" s="1046">
        <f t="shared" ref="D58:F59" si="6">D28</f>
        <v>0</v>
      </c>
      <c r="E58" s="1046">
        <f t="shared" si="6"/>
        <v>0</v>
      </c>
      <c r="F58" s="1046">
        <f t="shared" si="6"/>
        <v>0</v>
      </c>
    </row>
    <row r="59" spans="1:10" s="169" customFormat="1">
      <c r="A59" s="896">
        <f t="shared" si="4"/>
        <v>18</v>
      </c>
      <c r="B59" s="1043" t="s">
        <v>685</v>
      </c>
      <c r="D59" s="1046">
        <f t="shared" si="6"/>
        <v>0</v>
      </c>
      <c r="E59" s="1046">
        <f t="shared" si="6"/>
        <v>0</v>
      </c>
      <c r="F59" s="1046">
        <f t="shared" si="6"/>
        <v>0</v>
      </c>
    </row>
    <row r="60" spans="1:10" s="169" customFormat="1">
      <c r="A60" s="896">
        <f t="shared" si="4"/>
        <v>19</v>
      </c>
      <c r="B60" s="1043" t="s">
        <v>686</v>
      </c>
      <c r="D60" s="1046">
        <f>D31</f>
        <v>0</v>
      </c>
      <c r="E60" s="1046">
        <f t="shared" ref="E60:F60" si="7">E31</f>
        <v>0</v>
      </c>
      <c r="F60" s="1046">
        <f t="shared" si="7"/>
        <v>0</v>
      </c>
    </row>
    <row r="61" spans="1:10" s="169" customFormat="1">
      <c r="A61" s="896">
        <f t="shared" si="4"/>
        <v>20</v>
      </c>
      <c r="B61" s="1043" t="s">
        <v>687</v>
      </c>
      <c r="D61" s="1046">
        <f>D30</f>
        <v>0</v>
      </c>
      <c r="E61" s="1046">
        <f t="shared" ref="E61:F61" si="8">E30</f>
        <v>0</v>
      </c>
      <c r="F61" s="1046">
        <f t="shared" si="8"/>
        <v>0</v>
      </c>
    </row>
    <row r="62" spans="1:10" s="169" customFormat="1">
      <c r="A62" s="896">
        <f t="shared" si="4"/>
        <v>21</v>
      </c>
      <c r="B62" s="1043" t="s">
        <v>688</v>
      </c>
      <c r="D62" s="1047">
        <f>SUM(D32:D42)</f>
        <v>0</v>
      </c>
      <c r="E62" s="1047">
        <f>SUM(E32:E42)</f>
        <v>0</v>
      </c>
      <c r="F62" s="1047">
        <f>SUM(F32:F42)</f>
        <v>0</v>
      </c>
    </row>
    <row r="63" spans="1:10" s="169" customFormat="1" ht="13.8" thickBot="1">
      <c r="A63" s="896">
        <f>A62+1</f>
        <v>22</v>
      </c>
      <c r="B63" s="1041" t="str">
        <f>B43</f>
        <v>Total  Sum Line 1 Subparts</v>
      </c>
      <c r="D63" s="1048">
        <f>SUM(D53:D62)</f>
        <v>0</v>
      </c>
      <c r="E63" s="1048">
        <f>SUM(E53:E62)</f>
        <v>0</v>
      </c>
      <c r="F63" s="1048">
        <f>SUM(F53:F62)</f>
        <v>0</v>
      </c>
    </row>
    <row r="64" spans="1:10" s="169" customFormat="1" ht="13.8" thickTop="1">
      <c r="A64" s="934">
        <f>A63+1</f>
        <v>23</v>
      </c>
      <c r="B64" s="1041"/>
      <c r="D64" s="1041"/>
      <c r="E64" s="1041"/>
      <c r="F64" s="1049"/>
      <c r="G64" s="815"/>
    </row>
    <row r="65" spans="1:11" s="169" customFormat="1">
      <c r="A65" s="934">
        <f>A64+1</f>
        <v>24</v>
      </c>
      <c r="B65" s="1125" t="s">
        <v>855</v>
      </c>
      <c r="D65" s="1046"/>
      <c r="E65" s="1046">
        <f>SUM(E53:E61)</f>
        <v>0</v>
      </c>
      <c r="F65" s="1046"/>
      <c r="G65" s="168"/>
    </row>
    <row r="66" spans="1:11" s="169" customFormat="1">
      <c r="A66" s="934"/>
      <c r="B66" s="1125"/>
      <c r="D66" s="1046"/>
      <c r="E66" s="1046"/>
      <c r="F66" s="1046"/>
      <c r="G66" s="168"/>
    </row>
    <row r="67" spans="1:11" s="169" customFormat="1">
      <c r="A67" s="934"/>
      <c r="B67" s="1045"/>
      <c r="D67" s="1046"/>
      <c r="E67" s="1046"/>
      <c r="F67" s="1046"/>
      <c r="G67" s="168"/>
    </row>
    <row r="68" spans="1:11" s="169" customFormat="1">
      <c r="A68" s="169" t="s">
        <v>190</v>
      </c>
      <c r="B68" s="606"/>
      <c r="D68" s="276"/>
      <c r="E68" s="276"/>
      <c r="F68" s="276"/>
      <c r="G68" s="168"/>
      <c r="H68" s="168"/>
      <c r="I68" s="168"/>
      <c r="J68" s="168"/>
    </row>
    <row r="69" spans="1:11">
      <c r="A69" s="1124" t="s">
        <v>167</v>
      </c>
      <c r="B69" s="169" t="s">
        <v>748</v>
      </c>
      <c r="C69" s="169"/>
      <c r="D69" s="169"/>
      <c r="E69" s="169"/>
      <c r="F69" s="169"/>
    </row>
    <row r="70" spans="1:11" s="603" customFormat="1">
      <c r="A70" s="1127" t="s">
        <v>319</v>
      </c>
      <c r="B70" s="1962" t="s">
        <v>856</v>
      </c>
      <c r="C70" s="1962"/>
      <c r="D70" s="1962"/>
      <c r="E70" s="1962"/>
      <c r="F70" s="1962"/>
      <c r="G70" s="2059"/>
      <c r="H70" s="1012"/>
      <c r="I70" s="1011"/>
      <c r="J70" s="1011"/>
      <c r="K70" s="1011"/>
    </row>
    <row r="71" spans="1:11" s="603" customFormat="1" ht="26.4" customHeight="1">
      <c r="A71" s="1010" t="s">
        <v>320</v>
      </c>
      <c r="B71" s="2058" t="s">
        <v>857</v>
      </c>
      <c r="C71" s="2058"/>
      <c r="D71" s="2058"/>
      <c r="E71" s="2058"/>
      <c r="F71" s="2058"/>
      <c r="G71" s="1011"/>
      <c r="H71" s="1012"/>
      <c r="I71" s="1011"/>
      <c r="J71" s="1011"/>
      <c r="K71" s="1011"/>
    </row>
    <row r="72" spans="1:11">
      <c r="A72" s="1013"/>
      <c r="B72" s="636"/>
      <c r="C72" s="636"/>
      <c r="D72" s="636"/>
      <c r="E72" s="636"/>
      <c r="F72" s="636"/>
    </row>
    <row r="73" spans="1:11">
      <c r="A73" s="1013"/>
      <c r="B73" s="636"/>
      <c r="C73" s="636"/>
      <c r="D73" s="636"/>
      <c r="E73" s="636"/>
      <c r="F73" s="636"/>
    </row>
    <row r="74" spans="1:11">
      <c r="A74" s="1013"/>
      <c r="B74" s="636"/>
      <c r="C74" s="636"/>
      <c r="D74" s="636"/>
      <c r="E74" s="636"/>
      <c r="F74" s="636"/>
    </row>
    <row r="75" spans="1:11">
      <c r="A75" s="168"/>
    </row>
  </sheetData>
  <mergeCells count="5">
    <mergeCell ref="B71:F71"/>
    <mergeCell ref="A3:F3"/>
    <mergeCell ref="A1:F1"/>
    <mergeCell ref="A2:F2"/>
    <mergeCell ref="B70:G70"/>
  </mergeCells>
  <phoneticPr fontId="106" type="noConversion"/>
  <printOptions horizontalCentered="1"/>
  <pageMargins left="0.7" right="0.7" top="0.4" bottom="0.4" header="0.3" footer="0.5"/>
  <pageSetup scale="75" fitToHeight="2" orientation="portrait" r:id="rId1"/>
  <headerFooter>
    <oddFooter>&amp;R&amp;A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63"/>
  <sheetViews>
    <sheetView zoomScaleNormal="100" workbookViewId="0">
      <selection activeCell="A21" sqref="A21"/>
    </sheetView>
  </sheetViews>
  <sheetFormatPr defaultColWidth="8.88671875" defaultRowHeight="13.2"/>
  <cols>
    <col min="1" max="1" width="4.88671875" style="1033" customWidth="1"/>
    <col min="2" max="2" width="43.109375" style="1023" customWidth="1"/>
    <col min="3" max="3" width="11.6640625" style="1023" bestFit="1" customWidth="1"/>
    <col min="4" max="6" width="11" style="1023" customWidth="1"/>
    <col min="7" max="7" width="14.109375" style="1023" customWidth="1"/>
    <col min="8" max="11" width="12.44140625" style="1023" customWidth="1"/>
    <col min="12" max="12" width="10.44140625" style="1023" customWidth="1"/>
    <col min="13" max="16384" width="8.88671875" style="1023"/>
  </cols>
  <sheetData>
    <row r="1" spans="1:14" s="42" customFormat="1">
      <c r="A1" s="1972" t="str">
        <f>+'MISO Cover'!C6</f>
        <v>Entergy Louisiana, LLC</v>
      </c>
      <c r="B1" s="1972"/>
      <c r="C1" s="1972"/>
      <c r="D1" s="1972"/>
      <c r="E1" s="1972"/>
      <c r="F1" s="1972"/>
      <c r="G1" s="1972"/>
      <c r="H1" s="821"/>
    </row>
    <row r="2" spans="1:14" s="42" customFormat="1">
      <c r="A2" s="2036" t="s">
        <v>170</v>
      </c>
      <c r="B2" s="2036"/>
      <c r="C2" s="2036"/>
      <c r="D2" s="2036"/>
      <c r="E2" s="2036"/>
      <c r="F2" s="2036"/>
      <c r="G2" s="2036"/>
    </row>
    <row r="3" spans="1:14" s="42" customFormat="1">
      <c r="A3" s="2061" t="s">
        <v>952</v>
      </c>
      <c r="B3" s="2061"/>
      <c r="C3" s="2061"/>
      <c r="D3" s="2061"/>
      <c r="E3" s="2061"/>
      <c r="F3" s="2061"/>
      <c r="G3" s="2061"/>
    </row>
    <row r="4" spans="1:14" s="42" customFormat="1">
      <c r="A4" s="2036" t="str">
        <f>+'MISO Cover'!K4</f>
        <v>For  the 12 Months Ended 12/31/2016</v>
      </c>
      <c r="B4" s="2036"/>
      <c r="C4" s="2036"/>
      <c r="D4" s="2036"/>
      <c r="E4" s="2036"/>
      <c r="F4" s="2036"/>
      <c r="G4" s="2036"/>
      <c r="H4" s="793"/>
      <c r="I4" s="793"/>
      <c r="J4" s="793"/>
      <c r="K4" s="793"/>
      <c r="L4" s="793"/>
      <c r="M4" s="793"/>
      <c r="N4" s="793"/>
    </row>
    <row r="5" spans="1:14" s="42" customFormat="1">
      <c r="A5" s="1021"/>
      <c r="B5" s="1021"/>
      <c r="C5" s="588"/>
      <c r="D5" s="588"/>
      <c r="E5" s="588"/>
      <c r="F5" s="1022" t="s">
        <v>879</v>
      </c>
      <c r="G5" s="1312" t="s">
        <v>880</v>
      </c>
      <c r="H5" s="793"/>
      <c r="I5" s="793"/>
      <c r="J5" s="793"/>
      <c r="K5" s="793"/>
      <c r="L5" s="793"/>
      <c r="M5" s="793"/>
      <c r="N5" s="793"/>
    </row>
    <row r="6" spans="1:14" s="168" customFormat="1">
      <c r="A6" s="604" t="s">
        <v>279</v>
      </c>
      <c r="B6" s="1022" t="s">
        <v>67</v>
      </c>
      <c r="C6" s="1022" t="s">
        <v>114</v>
      </c>
      <c r="D6" s="1022" t="s">
        <v>55</v>
      </c>
      <c r="E6" s="1022" t="s">
        <v>68</v>
      </c>
      <c r="F6" s="1022" t="s">
        <v>66</v>
      </c>
      <c r="G6" s="1312" t="s">
        <v>154</v>
      </c>
      <c r="H6" s="793"/>
      <c r="I6" s="793"/>
      <c r="J6" s="793"/>
      <c r="K6" s="793"/>
      <c r="L6" s="793"/>
    </row>
    <row r="7" spans="1:14" s="168" customFormat="1" ht="15">
      <c r="A7" s="604"/>
      <c r="B7" s="1022"/>
      <c r="C7" s="1022"/>
      <c r="D7" s="2056" t="s">
        <v>824</v>
      </c>
      <c r="E7" s="2056"/>
      <c r="F7" s="2056"/>
      <c r="G7" s="1312"/>
      <c r="H7" s="793"/>
      <c r="I7" s="793"/>
      <c r="J7" s="793"/>
      <c r="K7" s="793"/>
      <c r="L7" s="793"/>
    </row>
    <row r="8" spans="1:14" s="168" customFormat="1">
      <c r="A8" s="934">
        <v>1</v>
      </c>
      <c r="B8" s="1485" t="s">
        <v>171</v>
      </c>
      <c r="C8" s="1485" t="s">
        <v>823</v>
      </c>
      <c r="D8" s="1485" t="s">
        <v>873</v>
      </c>
      <c r="E8" s="1485" t="s">
        <v>874</v>
      </c>
      <c r="F8" s="1485" t="s">
        <v>113</v>
      </c>
      <c r="G8" s="1485" t="s">
        <v>522</v>
      </c>
      <c r="H8" s="169"/>
    </row>
    <row r="9" spans="1:14">
      <c r="A9" s="935">
        <f>+A8+0.01</f>
        <v>1.01</v>
      </c>
      <c r="B9" s="1623" t="s">
        <v>1703</v>
      </c>
      <c r="C9" s="204">
        <v>0</v>
      </c>
      <c r="D9" s="204">
        <f>IFERROR(INDEX(#REF!,MATCH($B9,#REF!,0)),0)</f>
        <v>0</v>
      </c>
      <c r="E9" s="204">
        <v>467094.24</v>
      </c>
      <c r="F9" s="1028">
        <f>+D9+E9</f>
        <v>467094.24</v>
      </c>
      <c r="G9" s="77">
        <f>+C9+F9</f>
        <v>467094.24</v>
      </c>
      <c r="H9" s="1026"/>
    </row>
    <row r="10" spans="1:14">
      <c r="A10" s="935">
        <f>+A9+0.01</f>
        <v>1.02</v>
      </c>
      <c r="B10" s="1620" t="s">
        <v>1658</v>
      </c>
      <c r="C10" s="204">
        <v>0</v>
      </c>
      <c r="D10" s="204">
        <f>IFERROR(INDEX(#REF!,MATCH($B10,#REF!,0)),0)</f>
        <v>0</v>
      </c>
      <c r="E10" s="204">
        <v>264741.59999999998</v>
      </c>
      <c r="F10" s="1028">
        <f t="shared" ref="F10:F33" si="0">+D10+E10</f>
        <v>264741.59999999998</v>
      </c>
      <c r="G10" s="77">
        <f t="shared" ref="G10:G33" si="1">+C10+F10</f>
        <v>264741.59999999998</v>
      </c>
      <c r="H10" s="1026"/>
    </row>
    <row r="11" spans="1:14">
      <c r="A11" s="935">
        <f>+A9+0.01</f>
        <v>1.02</v>
      </c>
      <c r="B11" s="1620" t="s">
        <v>1659</v>
      </c>
      <c r="C11" s="204">
        <v>0</v>
      </c>
      <c r="D11" s="204">
        <f>IFERROR(INDEX(#REF!,MATCH($B11,#REF!,0)),0)</f>
        <v>0</v>
      </c>
      <c r="E11" s="204">
        <v>101330.4</v>
      </c>
      <c r="F11" s="1028">
        <f t="shared" si="0"/>
        <v>101330.4</v>
      </c>
      <c r="G11" s="77">
        <f t="shared" si="1"/>
        <v>101330.4</v>
      </c>
      <c r="H11" s="1026"/>
    </row>
    <row r="12" spans="1:14">
      <c r="A12" s="935">
        <f t="shared" ref="A12:A29" si="2">+A11+0.01</f>
        <v>1.03</v>
      </c>
      <c r="B12" s="1620" t="s">
        <v>1660</v>
      </c>
      <c r="C12" s="204">
        <v>0</v>
      </c>
      <c r="D12" s="204">
        <f>IFERROR(INDEX(#REF!,MATCH($B12,#REF!,0)),0)</f>
        <v>0</v>
      </c>
      <c r="E12" s="204">
        <v>118.08</v>
      </c>
      <c r="F12" s="1028">
        <f t="shared" si="0"/>
        <v>118.08</v>
      </c>
      <c r="G12" s="77">
        <f t="shared" si="1"/>
        <v>118.08</v>
      </c>
      <c r="H12" s="1026"/>
    </row>
    <row r="13" spans="1:14">
      <c r="A13" s="935">
        <f t="shared" si="2"/>
        <v>1.04</v>
      </c>
      <c r="B13" s="1620" t="s">
        <v>1696</v>
      </c>
      <c r="C13" s="204">
        <v>0</v>
      </c>
      <c r="D13" s="204">
        <f>IFERROR(INDEX(#REF!,MATCH($B13,#REF!,0)),0)</f>
        <v>0</v>
      </c>
      <c r="E13" s="204">
        <v>1383026.64</v>
      </c>
      <c r="F13" s="1028">
        <f t="shared" si="0"/>
        <v>1383026.64</v>
      </c>
      <c r="G13" s="77">
        <f t="shared" si="1"/>
        <v>1383026.64</v>
      </c>
      <c r="H13" s="1026"/>
    </row>
    <row r="14" spans="1:14">
      <c r="A14" s="935">
        <f t="shared" si="2"/>
        <v>1.05</v>
      </c>
      <c r="B14" s="1620" t="s">
        <v>1697</v>
      </c>
      <c r="C14" s="204">
        <v>0</v>
      </c>
      <c r="D14" s="204">
        <f>IFERROR(INDEX(#REF!,MATCH($B14,#REF!,0)),0)</f>
        <v>0</v>
      </c>
      <c r="E14" s="204">
        <v>0</v>
      </c>
      <c r="F14" s="1028">
        <f t="shared" si="0"/>
        <v>0</v>
      </c>
      <c r="G14" s="77">
        <f t="shared" si="1"/>
        <v>0</v>
      </c>
      <c r="H14" s="1026"/>
    </row>
    <row r="15" spans="1:14">
      <c r="A15" s="935">
        <f t="shared" si="2"/>
        <v>1.06</v>
      </c>
      <c r="B15" s="1620" t="s">
        <v>1704</v>
      </c>
      <c r="C15" s="204">
        <v>0</v>
      </c>
      <c r="D15" s="204">
        <f>IFERROR(INDEX(#REF!,MATCH($B15,#REF!,0)),0)</f>
        <v>0</v>
      </c>
      <c r="E15" s="204">
        <v>30061.8</v>
      </c>
      <c r="F15" s="1028">
        <f t="shared" si="0"/>
        <v>30061.8</v>
      </c>
      <c r="G15" s="77">
        <f t="shared" si="1"/>
        <v>30061.8</v>
      </c>
      <c r="H15" s="1026"/>
    </row>
    <row r="16" spans="1:14">
      <c r="A16" s="935">
        <f t="shared" si="2"/>
        <v>1.07</v>
      </c>
      <c r="B16" s="1620" t="s">
        <v>1698</v>
      </c>
      <c r="C16" s="204">
        <v>0</v>
      </c>
      <c r="D16" s="204">
        <f>IFERROR(INDEX(#REF!,MATCH($B16,#REF!,0)),0)</f>
        <v>0</v>
      </c>
      <c r="E16" s="204">
        <v>0</v>
      </c>
      <c r="F16" s="1028">
        <f t="shared" si="0"/>
        <v>0</v>
      </c>
      <c r="G16" s="77">
        <f t="shared" si="1"/>
        <v>0</v>
      </c>
      <c r="H16" s="1026"/>
    </row>
    <row r="17" spans="1:8">
      <c r="A17" s="935">
        <f t="shared" si="2"/>
        <v>1.08</v>
      </c>
      <c r="B17" s="1620" t="s">
        <v>1665</v>
      </c>
      <c r="C17" s="204">
        <v>0</v>
      </c>
      <c r="D17" s="204">
        <f>IFERROR(INDEX(#REF!,MATCH($B17,#REF!,0)),0)</f>
        <v>0</v>
      </c>
      <c r="E17" s="204">
        <v>21624.48</v>
      </c>
      <c r="F17" s="1028">
        <f t="shared" si="0"/>
        <v>21624.48</v>
      </c>
      <c r="G17" s="77">
        <f t="shared" si="1"/>
        <v>21624.48</v>
      </c>
      <c r="H17" s="1026"/>
    </row>
    <row r="18" spans="1:8">
      <c r="A18" s="935">
        <f t="shared" si="2"/>
        <v>1.0900000000000001</v>
      </c>
      <c r="B18" s="1620" t="s">
        <v>1672</v>
      </c>
      <c r="C18" s="204">
        <v>0</v>
      </c>
      <c r="D18" s="204">
        <f>IFERROR(INDEX(#REF!,MATCH($B18,#REF!,0)),0)</f>
        <v>0</v>
      </c>
      <c r="E18" s="204">
        <v>0</v>
      </c>
      <c r="F18" s="1028">
        <f t="shared" si="0"/>
        <v>0</v>
      </c>
      <c r="G18" s="77">
        <f t="shared" si="1"/>
        <v>0</v>
      </c>
      <c r="H18" s="1026"/>
    </row>
    <row r="19" spans="1:8">
      <c r="A19" s="935">
        <f t="shared" si="2"/>
        <v>1.1000000000000001</v>
      </c>
      <c r="B19" s="1620" t="s">
        <v>1675</v>
      </c>
      <c r="C19" s="204">
        <v>0</v>
      </c>
      <c r="D19" s="204">
        <f>IFERROR(INDEX(#REF!,MATCH($B19,#REF!,0)),0)</f>
        <v>0</v>
      </c>
      <c r="E19" s="204">
        <v>0</v>
      </c>
      <c r="F19" s="1028">
        <f t="shared" si="0"/>
        <v>0</v>
      </c>
      <c r="G19" s="77">
        <f t="shared" si="1"/>
        <v>0</v>
      </c>
      <c r="H19" s="1026"/>
    </row>
    <row r="20" spans="1:8">
      <c r="A20" s="935">
        <f t="shared" si="2"/>
        <v>1.1100000000000001</v>
      </c>
      <c r="B20" s="1620" t="s">
        <v>1677</v>
      </c>
      <c r="C20" s="204">
        <v>0</v>
      </c>
      <c r="D20" s="204">
        <f>IFERROR(INDEX(#REF!,MATCH($B20,#REF!,0)),0)</f>
        <v>0</v>
      </c>
      <c r="E20" s="204">
        <v>0</v>
      </c>
      <c r="F20" s="1028">
        <f t="shared" si="0"/>
        <v>0</v>
      </c>
      <c r="G20" s="77">
        <f t="shared" si="1"/>
        <v>0</v>
      </c>
      <c r="H20" s="1026"/>
    </row>
    <row r="21" spans="1:8">
      <c r="A21" s="935">
        <f t="shared" si="2"/>
        <v>1.1200000000000001</v>
      </c>
      <c r="B21" s="1620" t="s">
        <v>1705</v>
      </c>
      <c r="C21" s="204">
        <v>0</v>
      </c>
      <c r="D21" s="204">
        <f>IFERROR(INDEX(#REF!,MATCH($B21,#REF!,0)),0)</f>
        <v>0</v>
      </c>
      <c r="E21" s="204">
        <v>184103.16</v>
      </c>
      <c r="F21" s="1028">
        <f t="shared" si="0"/>
        <v>184103.16</v>
      </c>
      <c r="G21" s="77">
        <f t="shared" si="1"/>
        <v>184103.16</v>
      </c>
      <c r="H21" s="1026"/>
    </row>
    <row r="22" spans="1:8">
      <c r="A22" s="935">
        <f t="shared" si="2"/>
        <v>1.1300000000000001</v>
      </c>
      <c r="B22" s="1620" t="s">
        <v>1706</v>
      </c>
      <c r="C22" s="204">
        <v>0</v>
      </c>
      <c r="D22" s="204">
        <f>IFERROR(INDEX(#REF!,MATCH($B22,#REF!,0)),0)</f>
        <v>0</v>
      </c>
      <c r="E22" s="204">
        <v>0</v>
      </c>
      <c r="F22" s="1028">
        <f t="shared" si="0"/>
        <v>0</v>
      </c>
      <c r="G22" s="77">
        <f t="shared" si="1"/>
        <v>0</v>
      </c>
      <c r="H22" s="1026"/>
    </row>
    <row r="23" spans="1:8">
      <c r="A23" s="935">
        <f t="shared" si="2"/>
        <v>1.1400000000000001</v>
      </c>
      <c r="B23" s="1620" t="s">
        <v>1707</v>
      </c>
      <c r="C23" s="204">
        <v>0</v>
      </c>
      <c r="D23" s="204">
        <f>IFERROR(INDEX(#REF!,MATCH($B23,#REF!,0)),0)</f>
        <v>0</v>
      </c>
      <c r="E23" s="204">
        <v>0</v>
      </c>
      <c r="F23" s="1028">
        <f t="shared" si="0"/>
        <v>0</v>
      </c>
      <c r="G23" s="77">
        <f t="shared" si="1"/>
        <v>0</v>
      </c>
      <c r="H23" s="1026"/>
    </row>
    <row r="24" spans="1:8" s="1759" customFormat="1">
      <c r="A24" s="1904">
        <f t="shared" si="2"/>
        <v>1.1500000000000001</v>
      </c>
      <c r="B24" s="277" t="s">
        <v>1964</v>
      </c>
      <c r="C24" s="204">
        <v>142343.9</v>
      </c>
      <c r="D24" s="204">
        <f>IFERROR(INDEX(#REF!,MATCH($B24,#REF!,0)),0)</f>
        <v>0</v>
      </c>
      <c r="E24" s="204">
        <v>0</v>
      </c>
      <c r="F24" s="77">
        <f t="shared" ref="F24:F25" si="3">+D24+E24</f>
        <v>0</v>
      </c>
      <c r="G24" s="77">
        <f t="shared" ref="G24:G25" si="4">+C24+F24</f>
        <v>142343.9</v>
      </c>
      <c r="H24" s="1758"/>
    </row>
    <row r="25" spans="1:8" s="1759" customFormat="1">
      <c r="A25" s="1904">
        <f t="shared" si="2"/>
        <v>1.1600000000000001</v>
      </c>
      <c r="B25" s="277" t="s">
        <v>1965</v>
      </c>
      <c r="C25" s="204">
        <v>9037.57</v>
      </c>
      <c r="D25" s="204">
        <f>IFERROR(INDEX(#REF!,MATCH($B25,#REF!,0)),0)</f>
        <v>0</v>
      </c>
      <c r="E25" s="204">
        <v>0</v>
      </c>
      <c r="F25" s="77">
        <f t="shared" si="3"/>
        <v>0</v>
      </c>
      <c r="G25" s="77">
        <f t="shared" si="4"/>
        <v>9037.57</v>
      </c>
      <c r="H25" s="1758"/>
    </row>
    <row r="26" spans="1:8">
      <c r="A26" s="935">
        <f t="shared" si="2"/>
        <v>1.1700000000000002</v>
      </c>
      <c r="B26" s="1620" t="s">
        <v>1708</v>
      </c>
      <c r="C26" s="204">
        <v>0</v>
      </c>
      <c r="D26" s="204">
        <f>IFERROR(INDEX(#REF!,MATCH($B26,#REF!,0)),0)</f>
        <v>0</v>
      </c>
      <c r="E26" s="204">
        <v>776282.28</v>
      </c>
      <c r="F26" s="1028">
        <f t="shared" si="0"/>
        <v>776282.28</v>
      </c>
      <c r="G26" s="77">
        <f t="shared" si="1"/>
        <v>776282.28</v>
      </c>
      <c r="H26" s="1026"/>
    </row>
    <row r="27" spans="1:8">
      <c r="A27" s="935">
        <f t="shared" si="2"/>
        <v>1.1800000000000002</v>
      </c>
      <c r="B27" s="1623" t="s">
        <v>1709</v>
      </c>
      <c r="C27" s="204">
        <v>0</v>
      </c>
      <c r="D27" s="204">
        <f>IFERROR(INDEX(#REF!,MATCH($B27,#REF!,0)),0)</f>
        <v>0</v>
      </c>
      <c r="E27" s="204">
        <v>0</v>
      </c>
      <c r="F27" s="1028">
        <f t="shared" si="0"/>
        <v>0</v>
      </c>
      <c r="G27" s="77">
        <f t="shared" si="1"/>
        <v>0</v>
      </c>
      <c r="H27" s="1026"/>
    </row>
    <row r="28" spans="1:8">
      <c r="A28" s="935">
        <f t="shared" si="2"/>
        <v>1.1900000000000002</v>
      </c>
      <c r="B28" s="1623" t="s">
        <v>1683</v>
      </c>
      <c r="C28" s="204">
        <v>0</v>
      </c>
      <c r="D28" s="204">
        <f>IFERROR(INDEX(#REF!,MATCH($B28,#REF!,0)),0)</f>
        <v>0</v>
      </c>
      <c r="E28" s="204">
        <v>921429.6</v>
      </c>
      <c r="F28" s="1028">
        <f t="shared" si="0"/>
        <v>921429.6</v>
      </c>
      <c r="G28" s="77">
        <f t="shared" si="1"/>
        <v>921429.6</v>
      </c>
      <c r="H28" s="1026"/>
    </row>
    <row r="29" spans="1:8">
      <c r="A29" s="935">
        <f t="shared" si="2"/>
        <v>1.2000000000000002</v>
      </c>
      <c r="B29" s="1623" t="s">
        <v>1684</v>
      </c>
      <c r="C29" s="204">
        <v>0</v>
      </c>
      <c r="D29" s="204">
        <f>IFERROR(INDEX(#REF!,MATCH($B29,#REF!,0)),0)</f>
        <v>0</v>
      </c>
      <c r="E29" s="204">
        <v>20432.52</v>
      </c>
      <c r="F29" s="1028">
        <f t="shared" si="0"/>
        <v>20432.52</v>
      </c>
      <c r="G29" s="77">
        <f t="shared" si="1"/>
        <v>20432.52</v>
      </c>
      <c r="H29" s="1026"/>
    </row>
    <row r="30" spans="1:8">
      <c r="A30" s="935">
        <f t="shared" ref="A30:A33" si="5">+A29+0.01</f>
        <v>1.2100000000000002</v>
      </c>
      <c r="B30" s="1623" t="s">
        <v>1685</v>
      </c>
      <c r="C30" s="204">
        <v>0</v>
      </c>
      <c r="D30" s="204">
        <f>IFERROR(INDEX(#REF!,MATCH($B30,#REF!,0)),0)</f>
        <v>0</v>
      </c>
      <c r="E30" s="204">
        <v>1627515.12</v>
      </c>
      <c r="F30" s="1028">
        <f t="shared" si="0"/>
        <v>1627515.12</v>
      </c>
      <c r="G30" s="77">
        <f t="shared" si="1"/>
        <v>1627515.12</v>
      </c>
      <c r="H30" s="1026"/>
    </row>
    <row r="31" spans="1:8">
      <c r="A31" s="935">
        <f t="shared" si="5"/>
        <v>1.2200000000000002</v>
      </c>
      <c r="B31" s="1623" t="s">
        <v>1688</v>
      </c>
      <c r="C31" s="204">
        <v>0</v>
      </c>
      <c r="D31" s="204">
        <f>IFERROR(INDEX(#REF!,MATCH($B31,#REF!,0)),0)</f>
        <v>0</v>
      </c>
      <c r="E31" s="204">
        <v>2405140.92</v>
      </c>
      <c r="F31" s="1028">
        <f t="shared" si="0"/>
        <v>2405140.92</v>
      </c>
      <c r="G31" s="77">
        <f t="shared" si="1"/>
        <v>2405140.92</v>
      </c>
      <c r="H31" s="1026"/>
    </row>
    <row r="32" spans="1:8">
      <c r="A32" s="935">
        <f t="shared" si="5"/>
        <v>1.2300000000000002</v>
      </c>
      <c r="B32" s="1623" t="s">
        <v>1692</v>
      </c>
      <c r="C32" s="204">
        <v>0</v>
      </c>
      <c r="D32" s="204">
        <f>IFERROR(INDEX(#REF!,MATCH($B32,#REF!,0)),0)</f>
        <v>0</v>
      </c>
      <c r="E32" s="204">
        <v>0</v>
      </c>
      <c r="F32" s="1028">
        <f t="shared" si="0"/>
        <v>0</v>
      </c>
      <c r="G32" s="77">
        <f t="shared" si="1"/>
        <v>0</v>
      </c>
      <c r="H32" s="1026"/>
    </row>
    <row r="33" spans="1:9">
      <c r="A33" s="935">
        <f t="shared" si="5"/>
        <v>1.2400000000000002</v>
      </c>
      <c r="B33" s="1623" t="s">
        <v>1693</v>
      </c>
      <c r="C33" s="204">
        <v>0</v>
      </c>
      <c r="D33" s="204">
        <f>IFERROR(INDEX(#REF!,MATCH($B33,#REF!,0)),0)</f>
        <v>0</v>
      </c>
      <c r="E33" s="204">
        <v>0</v>
      </c>
      <c r="F33" s="77">
        <f t="shared" si="0"/>
        <v>0</v>
      </c>
      <c r="G33" s="77">
        <f t="shared" si="1"/>
        <v>0</v>
      </c>
      <c r="H33" s="1026"/>
    </row>
    <row r="34" spans="1:9" ht="13.8" thickBot="1">
      <c r="A34" s="1034">
        <f>+A8+1</f>
        <v>2</v>
      </c>
      <c r="B34" s="1026" t="str">
        <f>+"Total  (Sum of Line "&amp;A8&amp; " Subparts)"</f>
        <v>Total  (Sum of Line 1 Subparts)</v>
      </c>
      <c r="C34" s="1024">
        <f>SUM(C9:C33)</f>
        <v>151381.47</v>
      </c>
      <c r="D34" s="1024">
        <f>SUM(D9:D33)</f>
        <v>0</v>
      </c>
      <c r="E34" s="1024">
        <f>SUM(E9:E33)</f>
        <v>8202900.8399999999</v>
      </c>
      <c r="F34" s="1025">
        <f>SUM(F9:F33)</f>
        <v>8202900.8399999999</v>
      </c>
      <c r="G34" s="1025">
        <f>SUM(G9:G33)</f>
        <v>8354282.3099999987</v>
      </c>
    </row>
    <row r="35" spans="1:9" s="603" customFormat="1" ht="13.8" thickTop="1">
      <c r="A35" s="934">
        <f t="shared" ref="A35:A56" si="6">+A34+1</f>
        <v>3</v>
      </c>
      <c r="B35" s="1026"/>
      <c r="C35" s="1026"/>
      <c r="D35" s="1026"/>
      <c r="E35" s="1026"/>
      <c r="F35" s="1026"/>
      <c r="G35" s="1027"/>
      <c r="H35" s="1027"/>
      <c r="I35" s="1027"/>
    </row>
    <row r="36" spans="1:9" s="603" customFormat="1">
      <c r="A36" s="934">
        <f t="shared" si="6"/>
        <v>4</v>
      </c>
      <c r="B36" s="1026" t="s">
        <v>570</v>
      </c>
      <c r="C36" s="1026"/>
      <c r="D36" s="1026"/>
      <c r="E36" s="1026"/>
      <c r="F36" s="1026"/>
      <c r="G36" s="1027"/>
      <c r="H36" s="1028"/>
      <c r="I36" s="1028"/>
    </row>
    <row r="37" spans="1:9" s="603" customFormat="1" ht="15">
      <c r="A37" s="934">
        <f t="shared" si="6"/>
        <v>5</v>
      </c>
      <c r="B37" s="1029" t="s">
        <v>668</v>
      </c>
      <c r="C37" s="1028"/>
      <c r="D37" s="1028"/>
      <c r="E37" s="1028"/>
      <c r="F37" s="1028"/>
      <c r="G37" s="1028">
        <f>SUM(C37:E37)</f>
        <v>0</v>
      </c>
      <c r="H37" s="667"/>
      <c r="I37" s="667"/>
    </row>
    <row r="38" spans="1:9" s="603" customFormat="1">
      <c r="A38" s="934">
        <f t="shared" si="6"/>
        <v>6</v>
      </c>
      <c r="B38" s="1029" t="s">
        <v>513</v>
      </c>
      <c r="C38" s="1051"/>
      <c r="D38" s="1051"/>
      <c r="E38" s="1051"/>
      <c r="F38" s="1051"/>
      <c r="G38" s="1051">
        <f>SUM(C38:E38)</f>
        <v>0</v>
      </c>
      <c r="H38" s="1028"/>
      <c r="I38" s="1028"/>
    </row>
    <row r="39" spans="1:9" s="603" customFormat="1" ht="15">
      <c r="A39" s="934">
        <f t="shared" si="6"/>
        <v>7</v>
      </c>
      <c r="B39" s="1034" t="str">
        <f>+"Total Lines "&amp;A37&amp;" + "&amp;A38</f>
        <v>Total Lines 5 + 6</v>
      </c>
      <c r="C39" s="1028">
        <f>SUM(C37:C38)</f>
        <v>0</v>
      </c>
      <c r="D39" s="1028">
        <f>SUM(D37:D38)</f>
        <v>0</v>
      </c>
      <c r="E39" s="1028">
        <f>SUM(E37:E38)</f>
        <v>0</v>
      </c>
      <c r="F39" s="1028">
        <f>+D39+E39</f>
        <v>0</v>
      </c>
      <c r="G39" s="1028">
        <f>SUM(G37:G38)</f>
        <v>0</v>
      </c>
      <c r="H39" s="667"/>
      <c r="I39" s="667"/>
    </row>
    <row r="40" spans="1:9" s="603" customFormat="1">
      <c r="A40" s="934">
        <f t="shared" si="6"/>
        <v>8</v>
      </c>
      <c r="B40" s="1129" t="s">
        <v>818</v>
      </c>
      <c r="C40" s="1051">
        <f>+SUM(C17:C20)-C39</f>
        <v>0</v>
      </c>
      <c r="D40" s="1051">
        <f>+SUM(D17:D20)-D39</f>
        <v>0</v>
      </c>
      <c r="E40" s="1051">
        <f>+SUM(E17:E20)-E39</f>
        <v>21624.48</v>
      </c>
      <c r="F40" s="1051">
        <f>+D40+E40</f>
        <v>21624.48</v>
      </c>
      <c r="G40" s="1051">
        <f>+C40+F40</f>
        <v>21624.48</v>
      </c>
      <c r="H40" s="846"/>
      <c r="I40" s="1028"/>
    </row>
    <row r="41" spans="1:9">
      <c r="A41" s="934">
        <f t="shared" si="6"/>
        <v>9</v>
      </c>
      <c r="B41" s="1026" t="str">
        <f>+"Total Transmission Sum of (Line "&amp;A39&amp;" &amp; "&amp;A40&amp;")"</f>
        <v>Total Transmission Sum of (Line 7 &amp; 8)</v>
      </c>
      <c r="C41" s="1028">
        <f>+C39+C40</f>
        <v>0</v>
      </c>
      <c r="D41" s="1028">
        <f>+D39+D40</f>
        <v>0</v>
      </c>
      <c r="E41" s="1028">
        <f>+E39+E40</f>
        <v>21624.48</v>
      </c>
      <c r="F41" s="1028">
        <f>+F39+F40</f>
        <v>21624.48</v>
      </c>
      <c r="G41" s="1028">
        <f>+G39+G40</f>
        <v>21624.48</v>
      </c>
    </row>
    <row r="42" spans="1:9">
      <c r="A42" s="934">
        <f t="shared" si="6"/>
        <v>10</v>
      </c>
      <c r="B42" s="1026"/>
      <c r="C42" s="1030"/>
      <c r="D42" s="1030"/>
      <c r="E42" s="1030"/>
      <c r="F42" s="1030"/>
      <c r="G42" s="77"/>
    </row>
    <row r="43" spans="1:9">
      <c r="A43" s="934">
        <f t="shared" si="6"/>
        <v>11</v>
      </c>
      <c r="B43" s="1026" t="s">
        <v>51</v>
      </c>
      <c r="C43" s="1028"/>
      <c r="D43" s="1028"/>
      <c r="E43" s="1028"/>
      <c r="F43" s="1028"/>
      <c r="G43" s="1028"/>
    </row>
    <row r="44" spans="1:9">
      <c r="A44" s="934">
        <f t="shared" si="6"/>
        <v>12</v>
      </c>
      <c r="B44" s="1029" t="s">
        <v>691</v>
      </c>
      <c r="C44" s="1177">
        <f>+C9+C24+C25</f>
        <v>151381.47</v>
      </c>
      <c r="D44" s="1177">
        <f t="shared" ref="D44:F44" si="7">+D9+D24+D25</f>
        <v>0</v>
      </c>
      <c r="E44" s="1177">
        <f t="shared" si="7"/>
        <v>467094.24</v>
      </c>
      <c r="F44" s="1177">
        <f t="shared" si="7"/>
        <v>467094.24</v>
      </c>
      <c r="G44" s="1178">
        <f t="shared" ref="G44:G53" si="8">+C44+F44</f>
        <v>618475.71</v>
      </c>
    </row>
    <row r="45" spans="1:9">
      <c r="A45" s="934">
        <f t="shared" si="6"/>
        <v>13</v>
      </c>
      <c r="B45" s="1029" t="s">
        <v>690</v>
      </c>
      <c r="C45" s="1178"/>
      <c r="D45" s="1178"/>
      <c r="E45" s="1178"/>
      <c r="F45" s="1177">
        <f t="shared" ref="F45:F53" si="9">+D45+E45</f>
        <v>0</v>
      </c>
      <c r="G45" s="1178">
        <f t="shared" si="8"/>
        <v>0</v>
      </c>
    </row>
    <row r="46" spans="1:9">
      <c r="A46" s="934">
        <f t="shared" si="6"/>
        <v>14</v>
      </c>
      <c r="B46" s="1029" t="s">
        <v>689</v>
      </c>
      <c r="C46" s="1178">
        <f>+C10</f>
        <v>0</v>
      </c>
      <c r="D46" s="1178">
        <f>+D10</f>
        <v>0</v>
      </c>
      <c r="E46" s="1178">
        <f>+E10</f>
        <v>264741.59999999998</v>
      </c>
      <c r="F46" s="1177">
        <f t="shared" si="9"/>
        <v>264741.59999999998</v>
      </c>
      <c r="G46" s="1178">
        <f t="shared" si="8"/>
        <v>264741.59999999998</v>
      </c>
    </row>
    <row r="47" spans="1:9">
      <c r="A47" s="934">
        <f t="shared" si="6"/>
        <v>15</v>
      </c>
      <c r="B47" s="1029" t="s">
        <v>683</v>
      </c>
      <c r="C47" s="1177">
        <f>+SUM(C11:C16)</f>
        <v>0</v>
      </c>
      <c r="D47" s="1177">
        <f>+SUM(D11:D16)</f>
        <v>0</v>
      </c>
      <c r="E47" s="1177">
        <f>+SUM(E11:E16)</f>
        <v>1514536.92</v>
      </c>
      <c r="F47" s="1177">
        <f t="shared" si="9"/>
        <v>1514536.92</v>
      </c>
      <c r="G47" s="1178">
        <f t="shared" si="8"/>
        <v>1514536.92</v>
      </c>
    </row>
    <row r="48" spans="1:9">
      <c r="A48" s="934">
        <f t="shared" si="6"/>
        <v>16</v>
      </c>
      <c r="B48" s="1029" t="s">
        <v>682</v>
      </c>
      <c r="C48" s="1177">
        <f>+SUM(C17:C20)</f>
        <v>0</v>
      </c>
      <c r="D48" s="1177">
        <f>+SUM(D17:D20)</f>
        <v>0</v>
      </c>
      <c r="E48" s="1177">
        <f>+SUM(E17:E20)</f>
        <v>21624.48</v>
      </c>
      <c r="F48" s="1177">
        <f t="shared" si="9"/>
        <v>21624.48</v>
      </c>
      <c r="G48" s="1178">
        <f t="shared" si="8"/>
        <v>21624.48</v>
      </c>
    </row>
    <row r="49" spans="1:13">
      <c r="A49" s="934">
        <f t="shared" si="6"/>
        <v>17</v>
      </c>
      <c r="B49" s="1029" t="s">
        <v>684</v>
      </c>
      <c r="C49" s="1177"/>
      <c r="D49" s="1177"/>
      <c r="E49" s="1177"/>
      <c r="F49" s="1177">
        <f t="shared" si="9"/>
        <v>0</v>
      </c>
      <c r="G49" s="1178">
        <f t="shared" si="8"/>
        <v>0</v>
      </c>
    </row>
    <row r="50" spans="1:13">
      <c r="A50" s="934">
        <f t="shared" si="6"/>
        <v>18</v>
      </c>
      <c r="B50" s="1029" t="s">
        <v>685</v>
      </c>
      <c r="C50" s="1177">
        <f>+SUM(C21:C23)</f>
        <v>0</v>
      </c>
      <c r="D50" s="1177">
        <f>+SUM(D21:D23)</f>
        <v>0</v>
      </c>
      <c r="E50" s="1177">
        <f>+SUM(E21:E23)</f>
        <v>184103.16</v>
      </c>
      <c r="F50" s="1177">
        <f t="shared" si="9"/>
        <v>184103.16</v>
      </c>
      <c r="G50" s="1178">
        <f t="shared" si="8"/>
        <v>184103.16</v>
      </c>
    </row>
    <row r="51" spans="1:13">
      <c r="A51" s="934">
        <f t="shared" si="6"/>
        <v>19</v>
      </c>
      <c r="B51" s="1029" t="s">
        <v>686</v>
      </c>
      <c r="C51" s="1177"/>
      <c r="D51" s="1177"/>
      <c r="E51" s="1177"/>
      <c r="F51" s="1177">
        <f t="shared" si="9"/>
        <v>0</v>
      </c>
      <c r="G51" s="1178">
        <f t="shared" si="8"/>
        <v>0</v>
      </c>
    </row>
    <row r="52" spans="1:13">
      <c r="A52" s="934">
        <f t="shared" si="6"/>
        <v>20</v>
      </c>
      <c r="B52" s="1029" t="s">
        <v>687</v>
      </c>
      <c r="C52" s="1177">
        <f>+SUM(C26:C27)</f>
        <v>0</v>
      </c>
      <c r="D52" s="1177">
        <f>+SUM(D26:D27)</f>
        <v>0</v>
      </c>
      <c r="E52" s="1177">
        <f>+SUM(E26:E27)</f>
        <v>776282.28</v>
      </c>
      <c r="F52" s="1177">
        <f t="shared" si="9"/>
        <v>776282.28</v>
      </c>
      <c r="G52" s="1178">
        <f t="shared" si="8"/>
        <v>776282.28</v>
      </c>
    </row>
    <row r="53" spans="1:13">
      <c r="A53" s="934">
        <f t="shared" si="6"/>
        <v>21</v>
      </c>
      <c r="B53" s="1029" t="s">
        <v>688</v>
      </c>
      <c r="C53" s="1179">
        <f>+SUM(C28:C33)</f>
        <v>0</v>
      </c>
      <c r="D53" s="1179">
        <f>+SUM(D28:D33)</f>
        <v>0</v>
      </c>
      <c r="E53" s="1179">
        <f>+SUM(E28:E33)</f>
        <v>4974518.16</v>
      </c>
      <c r="F53" s="1177">
        <f t="shared" si="9"/>
        <v>4974518.16</v>
      </c>
      <c r="G53" s="1179">
        <f t="shared" si="8"/>
        <v>4974518.16</v>
      </c>
    </row>
    <row r="54" spans="1:13" ht="13.8" thickBot="1">
      <c r="A54" s="934">
        <f t="shared" si="6"/>
        <v>22</v>
      </c>
      <c r="B54" s="1026" t="str">
        <f>+"Total Sum of (Line "&amp;A44&amp;" to Line "&amp;A53&amp;")"</f>
        <v>Total Sum of (Line 12 to Line 21)</v>
      </c>
      <c r="C54" s="1031">
        <f>SUM(C44:C53)</f>
        <v>151381.47</v>
      </c>
      <c r="D54" s="1031">
        <f>SUM(D44:D53)</f>
        <v>0</v>
      </c>
      <c r="E54" s="1031">
        <f>SUM(E44:E53)</f>
        <v>8202900.8399999999</v>
      </c>
      <c r="F54" s="1031">
        <f>SUM(F44:F53)</f>
        <v>8202900.8399999999</v>
      </c>
      <c r="G54" s="1031">
        <f>SUM(G44:G53)</f>
        <v>8354282.3100000005</v>
      </c>
    </row>
    <row r="55" spans="1:13" ht="13.8" thickTop="1">
      <c r="A55" s="934">
        <f t="shared" si="6"/>
        <v>23</v>
      </c>
      <c r="B55" s="1026"/>
      <c r="C55" s="1028"/>
      <c r="D55" s="1028"/>
      <c r="E55" s="1028"/>
      <c r="F55" s="1028"/>
      <c r="G55" s="1028"/>
    </row>
    <row r="56" spans="1:13">
      <c r="A56" s="934">
        <f t="shared" si="6"/>
        <v>24</v>
      </c>
      <c r="B56" s="1026" t="str">
        <f>+"Payroll O&amp;M Excl A&amp;G  Sum (Ln "&amp;A44&amp;" To Ln "&amp;A52&amp;")"</f>
        <v>Payroll O&amp;M Excl A&amp;G  Sum (Ln 12 To Ln 20)</v>
      </c>
      <c r="C56" s="1028"/>
      <c r="D56" s="1028"/>
      <c r="E56" s="1028"/>
      <c r="F56" s="1028">
        <f>+SUM(F44:F52)</f>
        <v>3228382.6799999997</v>
      </c>
      <c r="G56" s="1028"/>
    </row>
    <row r="57" spans="1:13">
      <c r="A57" s="604"/>
      <c r="C57" s="1030"/>
      <c r="D57" s="1030"/>
      <c r="E57" s="1030"/>
      <c r="F57" s="1030"/>
      <c r="G57" s="1030"/>
    </row>
    <row r="59" spans="1:13">
      <c r="A59" s="1023" t="s">
        <v>298</v>
      </c>
    </row>
    <row r="60" spans="1:13" ht="15" customHeight="1">
      <c r="A60" s="1032" t="s">
        <v>167</v>
      </c>
      <c r="B60" s="2062" t="s">
        <v>968</v>
      </c>
      <c r="C60" s="2062"/>
      <c r="D60" s="2062"/>
      <c r="E60" s="2062"/>
      <c r="F60" s="2062"/>
      <c r="G60" s="2062"/>
    </row>
    <row r="61" spans="1:13" ht="27.6" customHeight="1">
      <c r="A61" s="1032" t="s">
        <v>319</v>
      </c>
      <c r="B61" s="2060" t="s">
        <v>860</v>
      </c>
      <c r="C61" s="2060"/>
      <c r="D61" s="2060"/>
      <c r="E61" s="2060"/>
      <c r="F61" s="2060"/>
      <c r="G61" s="2060"/>
    </row>
    <row r="62" spans="1:13" ht="39" customHeight="1">
      <c r="A62" s="1128" t="s">
        <v>320</v>
      </c>
      <c r="B62" s="2060" t="s">
        <v>1087</v>
      </c>
      <c r="C62" s="2060"/>
      <c r="D62" s="2060"/>
      <c r="E62" s="2060"/>
      <c r="F62" s="2060"/>
      <c r="G62" s="2060"/>
    </row>
    <row r="63" spans="1:13" s="936" customFormat="1">
      <c r="A63" s="1127"/>
      <c r="B63" s="41"/>
      <c r="C63" s="1011"/>
      <c r="D63" s="1011"/>
      <c r="E63" s="1011"/>
      <c r="F63" s="1011"/>
      <c r="G63" s="1011"/>
      <c r="H63" s="1011"/>
      <c r="I63" s="1011"/>
      <c r="J63" s="1012"/>
      <c r="K63" s="1011"/>
      <c r="L63" s="1011"/>
      <c r="M63" s="1011"/>
    </row>
  </sheetData>
  <mergeCells count="8">
    <mergeCell ref="B62:G62"/>
    <mergeCell ref="A4:G4"/>
    <mergeCell ref="B61:G61"/>
    <mergeCell ref="A1:G1"/>
    <mergeCell ref="A2:G2"/>
    <mergeCell ref="A3:G3"/>
    <mergeCell ref="B60:G60"/>
    <mergeCell ref="D7:F7"/>
  </mergeCells>
  <printOptions horizontalCentered="1"/>
  <pageMargins left="0.7" right="0.7" top="0.7" bottom="0.7" header="0.3" footer="0.5"/>
  <pageSetup scale="84" orientation="portrait" r:id="rId1"/>
  <headerFooter>
    <oddFooter>&amp;R&amp;A</oddFooter>
  </headerFooter>
  <ignoredErrors>
    <ignoredError sqref="C40:E53" formulaRange="1"/>
    <ignoredError sqref="F39 A11" formula="1"/>
    <ignoredError sqref="A60:A62"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activeCell="A21" sqref="A21"/>
    </sheetView>
  </sheetViews>
  <sheetFormatPr defaultColWidth="8.88671875" defaultRowHeight="13.2"/>
  <cols>
    <col min="1" max="1" width="5.33203125" style="1243" customWidth="1"/>
    <col min="2" max="2" width="52.33203125" style="168" customWidth="1"/>
    <col min="3" max="3" width="11.109375" style="168" customWidth="1"/>
    <col min="4" max="4" width="10" style="168" customWidth="1"/>
    <col min="5" max="5" width="9.5546875" style="168" bestFit="1" customWidth="1"/>
    <col min="6" max="6" width="9.6640625" style="168" bestFit="1" customWidth="1"/>
    <col min="7" max="7" width="14.33203125" style="168" customWidth="1"/>
    <col min="8" max="9" width="8.88671875" style="168"/>
    <col min="10" max="10" width="10.88671875" style="168" bestFit="1" customWidth="1"/>
    <col min="11" max="16384" width="8.88671875" style="168"/>
  </cols>
  <sheetData>
    <row r="1" spans="1:13">
      <c r="A1" s="2000" t="s">
        <v>961</v>
      </c>
      <c r="B1" s="2000"/>
      <c r="C1" s="2000"/>
      <c r="D1" s="2000"/>
      <c r="E1" s="2000"/>
      <c r="F1" s="2000"/>
      <c r="G1" s="2000"/>
      <c r="H1" s="820"/>
      <c r="J1" s="1394"/>
    </row>
    <row r="2" spans="1:13">
      <c r="A2" s="2001" t="s">
        <v>963</v>
      </c>
      <c r="B2" s="2001"/>
      <c r="C2" s="2001"/>
      <c r="D2" s="2001"/>
      <c r="E2" s="2001"/>
      <c r="F2" s="2001"/>
      <c r="G2" s="2001"/>
      <c r="H2" s="1235"/>
    </row>
    <row r="3" spans="1:13">
      <c r="A3" s="2000" t="str">
        <f>+'MISO Cover'!K4</f>
        <v>For  the 12 Months Ended 12/31/2016</v>
      </c>
      <c r="B3" s="2000"/>
      <c r="C3" s="2000"/>
      <c r="D3" s="2000"/>
      <c r="E3" s="2000"/>
      <c r="F3" s="2000"/>
      <c r="G3" s="2000"/>
      <c r="H3" s="822"/>
    </row>
    <row r="4" spans="1:13">
      <c r="A4" s="605"/>
      <c r="B4" s="605"/>
      <c r="C4" s="605"/>
      <c r="D4" s="605"/>
      <c r="E4" s="605"/>
      <c r="F4" s="605"/>
      <c r="G4" s="605"/>
      <c r="H4" s="605"/>
    </row>
    <row r="5" spans="1:13">
      <c r="A5" s="1411"/>
      <c r="B5" s="823"/>
      <c r="C5" s="756"/>
      <c r="D5" s="756"/>
      <c r="E5" s="756"/>
      <c r="F5" s="756"/>
      <c r="G5" s="1633" t="s">
        <v>1764</v>
      </c>
    </row>
    <row r="6" spans="1:13">
      <c r="A6" s="1236" t="s">
        <v>279</v>
      </c>
      <c r="B6" s="1396" t="s">
        <v>67</v>
      </c>
      <c r="C6" s="1396" t="s">
        <v>114</v>
      </c>
      <c r="D6" s="1396" t="s">
        <v>55</v>
      </c>
      <c r="E6" s="1634" t="s">
        <v>68</v>
      </c>
      <c r="F6" s="1634" t="s">
        <v>66</v>
      </c>
      <c r="G6" s="1635" t="s">
        <v>154</v>
      </c>
    </row>
    <row r="7" spans="1:13" s="1769" customFormat="1" ht="25.95" customHeight="1">
      <c r="A7" s="1766">
        <v>1</v>
      </c>
      <c r="B7" s="1767" t="s">
        <v>171</v>
      </c>
      <c r="C7" s="1767" t="s">
        <v>964</v>
      </c>
      <c r="D7" s="1767" t="s">
        <v>483</v>
      </c>
      <c r="E7" s="1768" t="s">
        <v>822</v>
      </c>
      <c r="F7" s="1768" t="s">
        <v>1765</v>
      </c>
      <c r="G7" s="1768" t="s">
        <v>522</v>
      </c>
    </row>
    <row r="8" spans="1:13">
      <c r="A8" s="1238">
        <f>A7+0.01</f>
        <v>1.01</v>
      </c>
      <c r="B8" s="1013" t="s">
        <v>1710</v>
      </c>
      <c r="C8" s="1315">
        <v>0</v>
      </c>
      <c r="D8" s="1315">
        <v>0</v>
      </c>
      <c r="E8" s="1315">
        <v>0</v>
      </c>
      <c r="F8" s="1315">
        <v>0</v>
      </c>
      <c r="G8" s="927">
        <f>SUM(C8:F8)</f>
        <v>0</v>
      </c>
      <c r="H8" s="1413"/>
      <c r="K8" s="1413"/>
    </row>
    <row r="9" spans="1:13" s="1413" customFormat="1">
      <c r="A9" s="1238">
        <f t="shared" ref="A9:A38" si="0">A8+0.01</f>
        <v>1.02</v>
      </c>
      <c r="B9" s="1013" t="s">
        <v>1711</v>
      </c>
      <c r="C9" s="1315">
        <v>0</v>
      </c>
      <c r="D9" s="1315">
        <v>0</v>
      </c>
      <c r="E9" s="1315">
        <v>0</v>
      </c>
      <c r="F9" s="1315">
        <v>0</v>
      </c>
      <c r="G9" s="927">
        <f>SUM(C9:F9)</f>
        <v>0</v>
      </c>
      <c r="H9" s="607"/>
      <c r="I9" s="168"/>
      <c r="J9" s="168"/>
      <c r="K9" s="169"/>
      <c r="M9" s="168"/>
    </row>
    <row r="10" spans="1:13" s="169" customFormat="1">
      <c r="A10" s="1238">
        <f t="shared" si="0"/>
        <v>1.03</v>
      </c>
      <c r="B10" s="1013" t="s">
        <v>1657</v>
      </c>
      <c r="C10" s="1315">
        <v>36574.030000000006</v>
      </c>
      <c r="D10" s="1315">
        <v>0</v>
      </c>
      <c r="E10" s="1315">
        <v>0</v>
      </c>
      <c r="F10" s="1315">
        <v>0</v>
      </c>
      <c r="G10" s="927">
        <f>SUM(C10:F10)</f>
        <v>36574.030000000006</v>
      </c>
      <c r="H10" s="607"/>
      <c r="I10" s="168"/>
      <c r="J10" s="168"/>
      <c r="M10" s="168"/>
    </row>
    <row r="11" spans="1:13" s="169" customFormat="1">
      <c r="A11" s="1238">
        <f t="shared" si="0"/>
        <v>1.04</v>
      </c>
      <c r="B11" s="1013" t="s">
        <v>1766</v>
      </c>
      <c r="C11" s="1315">
        <v>0</v>
      </c>
      <c r="D11" s="1315">
        <v>0</v>
      </c>
      <c r="E11" s="1315">
        <v>0</v>
      </c>
      <c r="F11" s="1315">
        <v>9516</v>
      </c>
      <c r="G11" s="927">
        <f t="shared" ref="G11:G38" si="1">SUM(C11:F11)</f>
        <v>9516</v>
      </c>
      <c r="H11" s="607"/>
      <c r="I11" s="168"/>
      <c r="J11" s="168"/>
      <c r="M11" s="168"/>
    </row>
    <row r="12" spans="1:13" s="169" customFormat="1">
      <c r="A12" s="1238">
        <f t="shared" si="0"/>
        <v>1.05</v>
      </c>
      <c r="B12" s="1013" t="s">
        <v>1767</v>
      </c>
      <c r="C12" s="1315">
        <v>0</v>
      </c>
      <c r="D12" s="1315">
        <v>0</v>
      </c>
      <c r="E12" s="1315">
        <v>0</v>
      </c>
      <c r="F12" s="1315">
        <v>-2379</v>
      </c>
      <c r="G12" s="927">
        <f t="shared" si="1"/>
        <v>-2379</v>
      </c>
      <c r="H12" s="607"/>
      <c r="I12" s="168"/>
      <c r="J12" s="168"/>
      <c r="M12" s="168"/>
    </row>
    <row r="13" spans="1:13" s="169" customFormat="1">
      <c r="A13" s="1238">
        <f>A12+0.01</f>
        <v>1.06</v>
      </c>
      <c r="B13" s="1013" t="s">
        <v>1658</v>
      </c>
      <c r="C13" s="1315">
        <v>3606.2799999999997</v>
      </c>
      <c r="D13" s="1315">
        <v>0</v>
      </c>
      <c r="E13" s="1315">
        <v>0</v>
      </c>
      <c r="F13" s="1315">
        <v>0</v>
      </c>
      <c r="G13" s="927">
        <f t="shared" si="1"/>
        <v>3606.2799999999997</v>
      </c>
      <c r="H13" s="607"/>
      <c r="I13" s="168"/>
      <c r="J13" s="168"/>
      <c r="M13" s="168"/>
    </row>
    <row r="14" spans="1:13" s="169" customFormat="1">
      <c r="A14" s="1238">
        <f t="shared" si="0"/>
        <v>1.07</v>
      </c>
      <c r="B14" s="1013" t="s">
        <v>1712</v>
      </c>
      <c r="C14" s="1315">
        <v>-4505.9999999999973</v>
      </c>
      <c r="D14" s="1315">
        <v>-2046.9399999999989</v>
      </c>
      <c r="E14" s="1315">
        <v>-74</v>
      </c>
      <c r="F14" s="1315">
        <v>123845</v>
      </c>
      <c r="G14" s="927">
        <f t="shared" si="1"/>
        <v>117218.06</v>
      </c>
      <c r="H14" s="607"/>
      <c r="I14" s="636"/>
      <c r="J14" s="1413"/>
      <c r="M14" s="168"/>
    </row>
    <row r="15" spans="1:13" s="169" customFormat="1">
      <c r="A15" s="1238">
        <f t="shared" si="0"/>
        <v>1.08</v>
      </c>
      <c r="B15" s="1013" t="s">
        <v>1659</v>
      </c>
      <c r="C15" s="1315">
        <v>0</v>
      </c>
      <c r="D15" s="1315">
        <v>0</v>
      </c>
      <c r="E15" s="1315">
        <v>0</v>
      </c>
      <c r="F15" s="1315">
        <v>0</v>
      </c>
      <c r="G15" s="927">
        <f t="shared" si="1"/>
        <v>0</v>
      </c>
      <c r="H15" s="607"/>
      <c r="I15" s="1398"/>
      <c r="M15" s="168"/>
    </row>
    <row r="16" spans="1:13" s="169" customFormat="1">
      <c r="A16" s="1238">
        <f t="shared" si="0"/>
        <v>1.0900000000000001</v>
      </c>
      <c r="B16" s="1013" t="s">
        <v>1660</v>
      </c>
      <c r="C16" s="1315">
        <v>19.73</v>
      </c>
      <c r="D16" s="1315">
        <v>0.21999999999999531</v>
      </c>
      <c r="E16" s="1315">
        <v>0</v>
      </c>
      <c r="F16" s="1315">
        <v>0</v>
      </c>
      <c r="G16" s="927">
        <f t="shared" si="1"/>
        <v>19.949999999999996</v>
      </c>
      <c r="H16" s="607"/>
      <c r="I16" s="1398"/>
      <c r="M16" s="168"/>
    </row>
    <row r="17" spans="1:13" s="169" customFormat="1">
      <c r="A17" s="1238">
        <f t="shared" si="0"/>
        <v>1.1000000000000001</v>
      </c>
      <c r="B17" s="1013" t="s">
        <v>1663</v>
      </c>
      <c r="C17" s="1315">
        <v>25.06</v>
      </c>
      <c r="D17" s="1315">
        <v>-217.99999999999994</v>
      </c>
      <c r="E17" s="1315">
        <v>0</v>
      </c>
      <c r="F17" s="1315">
        <v>0</v>
      </c>
      <c r="G17" s="927">
        <f t="shared" si="1"/>
        <v>-192.93999999999994</v>
      </c>
      <c r="H17" s="607"/>
      <c r="I17" s="1398"/>
      <c r="M17" s="168"/>
    </row>
    <row r="18" spans="1:13" s="169" customFormat="1">
      <c r="A18" s="1238">
        <f t="shared" si="0"/>
        <v>1.1100000000000001</v>
      </c>
      <c r="B18" s="1013" t="s">
        <v>1664</v>
      </c>
      <c r="C18" s="1315">
        <v>0</v>
      </c>
      <c r="D18" s="1315">
        <v>0</v>
      </c>
      <c r="E18" s="1315">
        <v>0</v>
      </c>
      <c r="F18" s="1315">
        <v>0</v>
      </c>
      <c r="G18" s="927">
        <f t="shared" si="1"/>
        <v>0</v>
      </c>
      <c r="H18" s="607"/>
      <c r="I18" s="1398"/>
      <c r="M18" s="168"/>
    </row>
    <row r="19" spans="1:13" s="169" customFormat="1">
      <c r="A19" s="1238">
        <f t="shared" si="0"/>
        <v>1.1200000000000001</v>
      </c>
      <c r="B19" s="1013" t="s">
        <v>1665</v>
      </c>
      <c r="C19" s="1315">
        <v>0</v>
      </c>
      <c r="D19" s="1315">
        <v>0</v>
      </c>
      <c r="E19" s="1315">
        <v>0</v>
      </c>
      <c r="F19" s="1315">
        <v>0</v>
      </c>
      <c r="G19" s="927">
        <f t="shared" si="1"/>
        <v>0</v>
      </c>
      <c r="H19" s="607"/>
      <c r="I19" s="1398"/>
      <c r="M19" s="168"/>
    </row>
    <row r="20" spans="1:13" s="169" customFormat="1">
      <c r="A20" s="1238">
        <f t="shared" si="0"/>
        <v>1.1300000000000001</v>
      </c>
      <c r="B20" s="1013" t="s">
        <v>1667</v>
      </c>
      <c r="C20" s="1315">
        <v>12.649999999999999</v>
      </c>
      <c r="D20" s="1315">
        <v>-396.82</v>
      </c>
      <c r="E20" s="1315">
        <v>0</v>
      </c>
      <c r="F20" s="1315">
        <v>0</v>
      </c>
      <c r="G20" s="927">
        <f t="shared" si="1"/>
        <v>-384.17</v>
      </c>
      <c r="H20" s="607"/>
      <c r="I20" s="1398"/>
      <c r="M20" s="168"/>
    </row>
    <row r="21" spans="1:13" s="169" customFormat="1">
      <c r="A21" s="1238">
        <f t="shared" si="0"/>
        <v>1.1400000000000001</v>
      </c>
      <c r="B21" s="1013" t="s">
        <v>1670</v>
      </c>
      <c r="C21" s="1315">
        <v>0</v>
      </c>
      <c r="D21" s="1315">
        <v>0</v>
      </c>
      <c r="E21" s="1315">
        <v>0</v>
      </c>
      <c r="F21" s="1315">
        <v>0</v>
      </c>
      <c r="G21" s="927">
        <f t="shared" si="1"/>
        <v>0</v>
      </c>
      <c r="H21" s="607"/>
      <c r="M21" s="168"/>
    </row>
    <row r="22" spans="1:13" s="169" customFormat="1">
      <c r="A22" s="1238">
        <f t="shared" si="0"/>
        <v>1.1500000000000001</v>
      </c>
      <c r="B22" s="1013" t="s">
        <v>1672</v>
      </c>
      <c r="C22" s="1315">
        <v>0</v>
      </c>
      <c r="D22" s="1315">
        <v>-325.94</v>
      </c>
      <c r="E22" s="1315">
        <v>0</v>
      </c>
      <c r="F22" s="1315">
        <v>0</v>
      </c>
      <c r="G22" s="927">
        <f t="shared" si="1"/>
        <v>-325.94</v>
      </c>
      <c r="H22" s="607"/>
      <c r="M22" s="168"/>
    </row>
    <row r="23" spans="1:13" s="169" customFormat="1">
      <c r="A23" s="1238">
        <f t="shared" si="0"/>
        <v>1.1600000000000001</v>
      </c>
      <c r="B23" s="1013" t="s">
        <v>1674</v>
      </c>
      <c r="C23" s="1315">
        <v>0</v>
      </c>
      <c r="D23" s="1315">
        <v>0</v>
      </c>
      <c r="E23" s="1315">
        <v>0</v>
      </c>
      <c r="F23" s="1315">
        <v>0</v>
      </c>
      <c r="G23" s="927">
        <f t="shared" si="1"/>
        <v>0</v>
      </c>
      <c r="H23" s="607"/>
      <c r="M23" s="168"/>
    </row>
    <row r="24" spans="1:13" s="169" customFormat="1">
      <c r="A24" s="1238">
        <f t="shared" si="0"/>
        <v>1.1700000000000002</v>
      </c>
      <c r="B24" s="1013" t="s">
        <v>1705</v>
      </c>
      <c r="C24" s="1315">
        <v>0</v>
      </c>
      <c r="D24" s="1315">
        <v>0</v>
      </c>
      <c r="E24" s="1315">
        <v>0</v>
      </c>
      <c r="F24" s="1315">
        <v>0</v>
      </c>
      <c r="G24" s="927">
        <f t="shared" si="1"/>
        <v>0</v>
      </c>
      <c r="H24" s="964"/>
      <c r="M24" s="168"/>
    </row>
    <row r="25" spans="1:13" s="169" customFormat="1">
      <c r="A25" s="1238">
        <f t="shared" si="0"/>
        <v>1.1800000000000002</v>
      </c>
      <c r="B25" s="1013" t="s">
        <v>1706</v>
      </c>
      <c r="C25" s="1315">
        <v>0</v>
      </c>
      <c r="D25" s="1315">
        <v>0</v>
      </c>
      <c r="E25" s="1315">
        <v>0</v>
      </c>
      <c r="F25" s="1315">
        <v>0</v>
      </c>
      <c r="G25" s="927">
        <f t="shared" si="1"/>
        <v>0</v>
      </c>
      <c r="H25" s="964"/>
      <c r="M25" s="168"/>
    </row>
    <row r="26" spans="1:13" s="169" customFormat="1">
      <c r="A26" s="1238">
        <f t="shared" si="0"/>
        <v>1.1900000000000002</v>
      </c>
      <c r="B26" s="1013" t="s">
        <v>1707</v>
      </c>
      <c r="C26" s="1315">
        <v>165.61</v>
      </c>
      <c r="D26" s="1315">
        <v>53.75</v>
      </c>
      <c r="E26" s="1315">
        <v>0</v>
      </c>
      <c r="F26" s="1315">
        <v>0</v>
      </c>
      <c r="G26" s="927">
        <f t="shared" si="1"/>
        <v>219.36</v>
      </c>
      <c r="H26" s="607"/>
      <c r="M26" s="168"/>
    </row>
    <row r="27" spans="1:13" s="169" customFormat="1">
      <c r="A27" s="1238">
        <f t="shared" si="0"/>
        <v>1.2000000000000002</v>
      </c>
      <c r="B27" s="1013" t="s">
        <v>1713</v>
      </c>
      <c r="C27" s="1315">
        <v>0</v>
      </c>
      <c r="D27" s="1315">
        <v>0</v>
      </c>
      <c r="E27" s="1315">
        <v>0</v>
      </c>
      <c r="F27" s="1315">
        <v>0</v>
      </c>
      <c r="G27" s="927">
        <f t="shared" si="1"/>
        <v>0</v>
      </c>
      <c r="H27" s="607"/>
      <c r="M27" s="168"/>
    </row>
    <row r="28" spans="1:13" s="169" customFormat="1">
      <c r="A28" s="1238">
        <f t="shared" si="0"/>
        <v>1.2100000000000002</v>
      </c>
      <c r="B28" s="1013" t="s">
        <v>1714</v>
      </c>
      <c r="C28" s="1315">
        <v>0</v>
      </c>
      <c r="D28" s="1315">
        <v>0</v>
      </c>
      <c r="E28" s="1315">
        <v>0</v>
      </c>
      <c r="F28" s="1315">
        <v>0</v>
      </c>
      <c r="G28" s="927">
        <f t="shared" si="1"/>
        <v>0</v>
      </c>
      <c r="H28" s="607"/>
      <c r="M28" s="168"/>
    </row>
    <row r="29" spans="1:13" s="169" customFormat="1">
      <c r="A29" s="1238">
        <f t="shared" si="0"/>
        <v>1.2200000000000002</v>
      </c>
      <c r="B29" s="1013" t="s">
        <v>1679</v>
      </c>
      <c r="C29" s="1315">
        <v>20295</v>
      </c>
      <c r="D29" s="1315">
        <v>0</v>
      </c>
      <c r="E29" s="1315">
        <v>0</v>
      </c>
      <c r="F29" s="1315">
        <v>0</v>
      </c>
      <c r="G29" s="927">
        <f t="shared" si="1"/>
        <v>20295</v>
      </c>
      <c r="H29" s="607"/>
      <c r="M29" s="168"/>
    </row>
    <row r="30" spans="1:13" s="169" customFormat="1">
      <c r="A30" s="1238">
        <f t="shared" si="0"/>
        <v>1.2300000000000002</v>
      </c>
      <c r="B30" s="1013" t="s">
        <v>1708</v>
      </c>
      <c r="C30" s="1315">
        <v>0</v>
      </c>
      <c r="D30" s="1315">
        <v>0</v>
      </c>
      <c r="E30" s="1315">
        <v>0</v>
      </c>
      <c r="F30" s="1315">
        <v>0</v>
      </c>
      <c r="G30" s="927">
        <f t="shared" si="1"/>
        <v>0</v>
      </c>
      <c r="H30" s="607"/>
      <c r="M30" s="168"/>
    </row>
    <row r="31" spans="1:13" s="169" customFormat="1">
      <c r="A31" s="1238">
        <f t="shared" si="0"/>
        <v>1.2400000000000002</v>
      </c>
      <c r="B31" s="1013" t="s">
        <v>1681</v>
      </c>
      <c r="C31" s="1315">
        <v>0</v>
      </c>
      <c r="D31" s="1315">
        <v>-37.11</v>
      </c>
      <c r="E31" s="1315">
        <v>0</v>
      </c>
      <c r="F31" s="1315">
        <v>0</v>
      </c>
      <c r="G31" s="927">
        <f t="shared" si="1"/>
        <v>-37.11</v>
      </c>
      <c r="H31" s="607"/>
      <c r="M31" s="168"/>
    </row>
    <row r="32" spans="1:13" s="169" customFormat="1">
      <c r="A32" s="1238">
        <f t="shared" si="0"/>
        <v>1.2500000000000002</v>
      </c>
      <c r="B32" s="1013" t="s">
        <v>1709</v>
      </c>
      <c r="C32" s="1315">
        <v>-11975.7</v>
      </c>
      <c r="D32" s="1315">
        <v>0</v>
      </c>
      <c r="E32" s="1315">
        <v>0</v>
      </c>
      <c r="F32" s="1315">
        <v>0</v>
      </c>
      <c r="G32" s="927">
        <f t="shared" si="1"/>
        <v>-11975.7</v>
      </c>
      <c r="H32" s="607"/>
      <c r="M32" s="168"/>
    </row>
    <row r="33" spans="1:13" s="169" customFormat="1">
      <c r="A33" s="1238">
        <f>A32+0.01</f>
        <v>1.2600000000000002</v>
      </c>
      <c r="B33" s="1013" t="s">
        <v>1683</v>
      </c>
      <c r="C33" s="1315">
        <v>74456.42</v>
      </c>
      <c r="D33" s="1315">
        <v>82348.420000000042</v>
      </c>
      <c r="E33" s="1315">
        <v>0</v>
      </c>
      <c r="F33" s="1315">
        <v>0</v>
      </c>
      <c r="G33" s="927">
        <f t="shared" si="1"/>
        <v>156804.84000000003</v>
      </c>
      <c r="H33" s="607"/>
      <c r="M33" s="168"/>
    </row>
    <row r="34" spans="1:13" s="169" customFormat="1">
      <c r="A34" s="1238">
        <f t="shared" si="0"/>
        <v>1.2700000000000002</v>
      </c>
      <c r="B34" s="1013" t="s">
        <v>1684</v>
      </c>
      <c r="C34" s="1315">
        <v>8844.06</v>
      </c>
      <c r="D34" s="1315">
        <v>0</v>
      </c>
      <c r="E34" s="1315">
        <v>0</v>
      </c>
      <c r="F34" s="1315">
        <v>0</v>
      </c>
      <c r="G34" s="927">
        <f t="shared" si="1"/>
        <v>8844.06</v>
      </c>
      <c r="H34" s="607"/>
      <c r="M34" s="168"/>
    </row>
    <row r="35" spans="1:13" s="169" customFormat="1">
      <c r="A35" s="1238">
        <f t="shared" si="0"/>
        <v>1.2800000000000002</v>
      </c>
      <c r="B35" s="1013" t="s">
        <v>1685</v>
      </c>
      <c r="C35" s="1315">
        <v>357675.16999999987</v>
      </c>
      <c r="D35" s="1315">
        <v>0</v>
      </c>
      <c r="E35" s="1315">
        <v>-94953.07</v>
      </c>
      <c r="F35" s="1315">
        <v>803131</v>
      </c>
      <c r="G35" s="927">
        <f t="shared" si="1"/>
        <v>1065853.0999999999</v>
      </c>
      <c r="H35" s="607"/>
      <c r="M35" s="168"/>
    </row>
    <row r="36" spans="1:13" s="169" customFormat="1">
      <c r="A36" s="1238">
        <f t="shared" si="0"/>
        <v>1.2900000000000003</v>
      </c>
      <c r="B36" s="1013" t="s">
        <v>1688</v>
      </c>
      <c r="C36" s="1315">
        <v>39966.630000000012</v>
      </c>
      <c r="D36" s="1315">
        <v>41863.219999999994</v>
      </c>
      <c r="E36" s="1315">
        <v>0</v>
      </c>
      <c r="F36" s="1315">
        <v>0</v>
      </c>
      <c r="G36" s="927">
        <f t="shared" si="1"/>
        <v>81829.850000000006</v>
      </c>
      <c r="H36" s="607"/>
      <c r="M36" s="168"/>
    </row>
    <row r="37" spans="1:13" s="169" customFormat="1">
      <c r="A37" s="1238">
        <f t="shared" si="0"/>
        <v>1.3000000000000003</v>
      </c>
      <c r="B37" s="1013" t="s">
        <v>1689</v>
      </c>
      <c r="C37" s="1315">
        <v>9067.5</v>
      </c>
      <c r="D37" s="1315">
        <v>274.60999999999996</v>
      </c>
      <c r="E37" s="1315">
        <v>-6583.51</v>
      </c>
      <c r="F37" s="1315">
        <v>23485</v>
      </c>
      <c r="G37" s="927">
        <f t="shared" si="1"/>
        <v>26243.599999999999</v>
      </c>
      <c r="H37" s="607"/>
      <c r="M37" s="168"/>
    </row>
    <row r="38" spans="1:13" s="169" customFormat="1">
      <c r="A38" s="1238">
        <f t="shared" si="0"/>
        <v>1.3100000000000003</v>
      </c>
      <c r="B38" s="1013" t="s">
        <v>1691</v>
      </c>
      <c r="C38" s="1315">
        <v>0</v>
      </c>
      <c r="D38" s="1315">
        <v>0</v>
      </c>
      <c r="E38" s="1315">
        <v>-15500</v>
      </c>
      <c r="F38" s="1315">
        <v>20478</v>
      </c>
      <c r="G38" s="927">
        <f t="shared" si="1"/>
        <v>4978</v>
      </c>
      <c r="H38" s="607"/>
      <c r="M38" s="168"/>
    </row>
    <row r="39" spans="1:13" s="169" customFormat="1" ht="13.8" thickBot="1">
      <c r="A39" s="1237">
        <f>A7+1</f>
        <v>2</v>
      </c>
      <c r="B39" s="636" t="s">
        <v>825</v>
      </c>
      <c r="C39" s="637">
        <f>SUM(C8:C38)</f>
        <v>534226.43999999994</v>
      </c>
      <c r="D39" s="637">
        <f>SUM(D8:D38)</f>
        <v>121515.41000000005</v>
      </c>
      <c r="E39" s="637">
        <f>SUM(E8:E38)</f>
        <v>-117110.58</v>
      </c>
      <c r="F39" s="637">
        <f>SUM(F8:F38)</f>
        <v>978076</v>
      </c>
      <c r="G39" s="637">
        <f>SUM(G8:G38)</f>
        <v>1516707.27</v>
      </c>
      <c r="H39" s="607"/>
    </row>
    <row r="40" spans="1:13" s="169" customFormat="1" ht="13.8" thickTop="1">
      <c r="A40" s="1237">
        <f>A39+1</f>
        <v>3</v>
      </c>
      <c r="B40" s="1400"/>
      <c r="C40" s="1400"/>
      <c r="D40" s="1402"/>
      <c r="E40" s="1402"/>
      <c r="F40" s="1402"/>
      <c r="G40" s="1402"/>
      <c r="H40" s="1402"/>
      <c r="K40" s="1239"/>
      <c r="M40" s="1239"/>
    </row>
    <row r="41" spans="1:13" s="1239" customFormat="1">
      <c r="A41" s="1237">
        <f t="shared" ref="A41:A46" si="2">A40+1</f>
        <v>4</v>
      </c>
      <c r="B41" s="1400" t="s">
        <v>570</v>
      </c>
      <c r="C41" s="1400"/>
      <c r="D41" s="1402"/>
      <c r="E41" s="1402"/>
      <c r="F41" s="1402"/>
      <c r="G41" s="1402"/>
      <c r="H41" s="1402"/>
      <c r="I41" s="1405"/>
      <c r="J41" s="169"/>
    </row>
    <row r="42" spans="1:13" s="1239" customFormat="1">
      <c r="A42" s="1237">
        <f t="shared" si="2"/>
        <v>5</v>
      </c>
      <c r="B42" s="1403" t="s">
        <v>668</v>
      </c>
      <c r="C42" s="1636">
        <f>+C20</f>
        <v>12.649999999999999</v>
      </c>
      <c r="D42" s="1636">
        <f>+D20</f>
        <v>-396.82</v>
      </c>
      <c r="E42" s="1636">
        <v>0</v>
      </c>
      <c r="F42" s="1636">
        <v>0</v>
      </c>
      <c r="G42" s="1636">
        <f>SUM(C42:F42)</f>
        <v>-384.17</v>
      </c>
      <c r="H42" s="1404"/>
      <c r="I42" s="169"/>
      <c r="J42" s="169"/>
    </row>
    <row r="43" spans="1:13" s="1239" customFormat="1" ht="15">
      <c r="A43" s="1237">
        <f t="shared" si="2"/>
        <v>6</v>
      </c>
      <c r="B43" s="1403" t="s">
        <v>513</v>
      </c>
      <c r="C43" s="667">
        <f>+C21</f>
        <v>0</v>
      </c>
      <c r="D43" s="667">
        <f>+D21</f>
        <v>0</v>
      </c>
      <c r="E43" s="667">
        <v>0</v>
      </c>
      <c r="F43" s="667">
        <v>0</v>
      </c>
      <c r="G43" s="667">
        <f>SUM(C43:F43)</f>
        <v>0</v>
      </c>
      <c r="H43" s="667"/>
      <c r="I43" s="169"/>
      <c r="J43" s="169"/>
    </row>
    <row r="44" spans="1:13" s="1239" customFormat="1">
      <c r="A44" s="1237">
        <f t="shared" si="2"/>
        <v>7</v>
      </c>
      <c r="B44" s="1399" t="s">
        <v>800</v>
      </c>
      <c r="C44" s="1636">
        <f>SUM(C42:C43)</f>
        <v>12.649999999999999</v>
      </c>
      <c r="D44" s="1636">
        <f>SUM(D42:D43)</f>
        <v>-396.82</v>
      </c>
      <c r="E44" s="1636">
        <v>0</v>
      </c>
      <c r="F44" s="1636">
        <v>0</v>
      </c>
      <c r="G44" s="1636">
        <f>SUM(C44:F44)</f>
        <v>-384.17</v>
      </c>
      <c r="H44" s="1404"/>
      <c r="I44" s="169"/>
      <c r="J44" s="169"/>
      <c r="M44" s="1240"/>
    </row>
    <row r="45" spans="1:13" s="1240" customFormat="1" ht="15">
      <c r="A45" s="1237">
        <f t="shared" si="2"/>
        <v>8</v>
      </c>
      <c r="B45" s="1400" t="s">
        <v>965</v>
      </c>
      <c r="C45" s="667">
        <f>SUM(C19:C23)-C44</f>
        <v>0</v>
      </c>
      <c r="D45" s="667">
        <f>SUM(D19:D23)-D44</f>
        <v>-325.94</v>
      </c>
      <c r="E45" s="667">
        <v>0</v>
      </c>
      <c r="F45" s="667">
        <v>0</v>
      </c>
      <c r="G45" s="667">
        <f>SUM(C45:F45)</f>
        <v>-325.94</v>
      </c>
      <c r="H45" s="846"/>
      <c r="I45" s="1239"/>
      <c r="J45" s="1239"/>
      <c r="M45" s="1239"/>
    </row>
    <row r="46" spans="1:13" s="1239" customFormat="1">
      <c r="A46" s="1237">
        <f t="shared" si="2"/>
        <v>9</v>
      </c>
      <c r="B46" s="1400" t="s">
        <v>759</v>
      </c>
      <c r="C46" s="1636">
        <f>+C44+C45</f>
        <v>12.649999999999999</v>
      </c>
      <c r="D46" s="1636">
        <f>+D44+D45</f>
        <v>-722.76</v>
      </c>
      <c r="E46" s="1636">
        <v>0</v>
      </c>
      <c r="F46" s="1636">
        <v>0</v>
      </c>
      <c r="G46" s="1636">
        <f>SUM(C46:F46)</f>
        <v>-710.11</v>
      </c>
      <c r="H46" s="1404"/>
    </row>
    <row r="47" spans="1:13" s="1239" customFormat="1">
      <c r="A47" s="1237">
        <f t="shared" ref="A47:A58" si="3">+A46+1</f>
        <v>10</v>
      </c>
      <c r="B47" s="606"/>
      <c r="C47" s="276"/>
      <c r="D47" s="276"/>
      <c r="E47" s="276"/>
      <c r="F47" s="276"/>
      <c r="G47" s="276"/>
      <c r="H47" s="607"/>
      <c r="K47" s="169"/>
      <c r="M47" s="169"/>
    </row>
    <row r="48" spans="1:13" s="169" customFormat="1">
      <c r="A48" s="1237">
        <f t="shared" si="3"/>
        <v>11</v>
      </c>
      <c r="B48" s="1400" t="s">
        <v>51</v>
      </c>
      <c r="C48" s="1641"/>
      <c r="D48" s="1637"/>
      <c r="E48" s="1637"/>
      <c r="F48" s="1637"/>
      <c r="G48" s="1637"/>
      <c r="H48" s="1398"/>
      <c r="I48" s="1239"/>
      <c r="J48" s="1239"/>
    </row>
    <row r="49" spans="1:13" s="169" customFormat="1">
      <c r="A49" s="1237">
        <f t="shared" si="3"/>
        <v>12</v>
      </c>
      <c r="B49" s="1403" t="s">
        <v>691</v>
      </c>
      <c r="C49" s="1638">
        <f>+C8+C9+C14</f>
        <v>-4505.9999999999973</v>
      </c>
      <c r="D49" s="1638">
        <f>+D8+D9+D14</f>
        <v>-2046.9399999999989</v>
      </c>
      <c r="E49" s="1638">
        <f>SUM(E14)</f>
        <v>-74</v>
      </c>
      <c r="F49" s="1638">
        <f>SUM(F11:F14)</f>
        <v>130982</v>
      </c>
      <c r="G49" s="1638">
        <f>SUM(C49:F49)</f>
        <v>124355.06</v>
      </c>
      <c r="I49" s="1239"/>
      <c r="J49" s="1239"/>
    </row>
    <row r="50" spans="1:13" s="169" customFormat="1">
      <c r="A50" s="1237">
        <f t="shared" si="3"/>
        <v>13</v>
      </c>
      <c r="B50" s="1403" t="s">
        <v>690</v>
      </c>
      <c r="C50" s="1639">
        <f>+C10</f>
        <v>36574.030000000006</v>
      </c>
      <c r="D50" s="1639">
        <f>+D10</f>
        <v>0</v>
      </c>
      <c r="E50" s="1639">
        <v>0</v>
      </c>
      <c r="F50" s="1639">
        <v>0</v>
      </c>
      <c r="G50" s="1639">
        <f>SUM(C50:F50)</f>
        <v>36574.030000000006</v>
      </c>
      <c r="I50" s="1240"/>
      <c r="J50" s="1240"/>
    </row>
    <row r="51" spans="1:13" s="169" customFormat="1">
      <c r="A51" s="1237">
        <f t="shared" si="3"/>
        <v>14</v>
      </c>
      <c r="B51" s="1403" t="s">
        <v>689</v>
      </c>
      <c r="C51" s="1639">
        <f>+C13</f>
        <v>3606.2799999999997</v>
      </c>
      <c r="D51" s="1639">
        <f>+D13</f>
        <v>0</v>
      </c>
      <c r="E51" s="1639">
        <v>0</v>
      </c>
      <c r="F51" s="1639">
        <v>0</v>
      </c>
      <c r="G51" s="1639">
        <f>SUM(C51:F51)</f>
        <v>3606.2799999999997</v>
      </c>
      <c r="I51" s="1239"/>
      <c r="J51" s="1239"/>
    </row>
    <row r="52" spans="1:13" s="169" customFormat="1">
      <c r="A52" s="1237">
        <f t="shared" si="3"/>
        <v>15</v>
      </c>
      <c r="B52" s="1403" t="s">
        <v>902</v>
      </c>
      <c r="C52" s="1638">
        <f>SUM(C15:C18)</f>
        <v>44.79</v>
      </c>
      <c r="D52" s="1638">
        <f>SUM(D15:D18)</f>
        <v>-217.77999999999994</v>
      </c>
      <c r="E52" s="1638">
        <v>0</v>
      </c>
      <c r="F52" s="1638">
        <v>0</v>
      </c>
      <c r="G52" s="1638">
        <f>SUM(C52:F52)</f>
        <v>-172.98999999999995</v>
      </c>
    </row>
    <row r="53" spans="1:13" s="169" customFormat="1">
      <c r="A53" s="1237">
        <f t="shared" si="3"/>
        <v>16</v>
      </c>
      <c r="B53" s="1403" t="s">
        <v>682</v>
      </c>
      <c r="C53" s="1638">
        <f>SUM(C19:C23)</f>
        <v>12.649999999999999</v>
      </c>
      <c r="D53" s="1638">
        <f>SUM(D19:D23)</f>
        <v>-722.76</v>
      </c>
      <c r="E53" s="1638">
        <v>0</v>
      </c>
      <c r="F53" s="1638">
        <v>0</v>
      </c>
      <c r="G53" s="1638">
        <f>SUM(C53:F53)</f>
        <v>-710.11</v>
      </c>
    </row>
    <row r="54" spans="1:13" s="169" customFormat="1">
      <c r="A54" s="1237">
        <f t="shared" si="3"/>
        <v>17</v>
      </c>
      <c r="B54" s="1403" t="s">
        <v>684</v>
      </c>
      <c r="C54" s="1638">
        <v>0</v>
      </c>
      <c r="D54" s="1638">
        <v>0</v>
      </c>
      <c r="E54" s="1638">
        <v>0</v>
      </c>
      <c r="F54" s="1638">
        <v>0</v>
      </c>
      <c r="G54" s="1638">
        <v>0</v>
      </c>
    </row>
    <row r="55" spans="1:13" s="169" customFormat="1">
      <c r="A55" s="1237">
        <f t="shared" si="3"/>
        <v>18</v>
      </c>
      <c r="B55" s="1403" t="s">
        <v>685</v>
      </c>
      <c r="C55" s="1638">
        <f>+SUM(C24:C27)</f>
        <v>165.61</v>
      </c>
      <c r="D55" s="1638">
        <f>+SUM(D24:D27)</f>
        <v>53.75</v>
      </c>
      <c r="E55" s="1638">
        <v>0</v>
      </c>
      <c r="F55" s="1638">
        <v>0</v>
      </c>
      <c r="G55" s="1638">
        <f>SUM(C55:F55)</f>
        <v>219.36</v>
      </c>
    </row>
    <row r="56" spans="1:13" s="169" customFormat="1">
      <c r="A56" s="1237">
        <f t="shared" si="3"/>
        <v>19</v>
      </c>
      <c r="B56" s="1403" t="s">
        <v>686</v>
      </c>
      <c r="C56" s="1638">
        <f>+SUM(C28:C29)</f>
        <v>20295</v>
      </c>
      <c r="D56" s="1638">
        <f>+SUM(D28:D29)</f>
        <v>0</v>
      </c>
      <c r="E56" s="1638">
        <v>0</v>
      </c>
      <c r="F56" s="1638">
        <v>0</v>
      </c>
      <c r="G56" s="1638">
        <f>SUM(C56:F56)</f>
        <v>20295</v>
      </c>
    </row>
    <row r="57" spans="1:13" s="169" customFormat="1">
      <c r="A57" s="1237">
        <f t="shared" si="3"/>
        <v>20</v>
      </c>
      <c r="B57" s="1403" t="s">
        <v>687</v>
      </c>
      <c r="C57" s="1638">
        <f>+SUM(C30:C32)</f>
        <v>-11975.7</v>
      </c>
      <c r="D57" s="1638">
        <f>+SUM(D30:D31)</f>
        <v>-37.11</v>
      </c>
      <c r="E57" s="1638">
        <v>0</v>
      </c>
      <c r="F57" s="1638">
        <v>0</v>
      </c>
      <c r="G57" s="1638">
        <f>SUM(C57:F57)</f>
        <v>-12012.810000000001</v>
      </c>
    </row>
    <row r="58" spans="1:13" s="169" customFormat="1">
      <c r="A58" s="1237">
        <f t="shared" si="3"/>
        <v>21</v>
      </c>
      <c r="B58" s="1403" t="s">
        <v>688</v>
      </c>
      <c r="C58" s="1639">
        <f>SUM(C33:C38)</f>
        <v>490009.77999999985</v>
      </c>
      <c r="D58" s="1639">
        <f>SUM(D33:D38)</f>
        <v>124486.25000000004</v>
      </c>
      <c r="E58" s="1639">
        <f>SUM(E35:E38)</f>
        <v>-117036.58</v>
      </c>
      <c r="F58" s="1639">
        <f>SUM(F35:F38)</f>
        <v>847094</v>
      </c>
      <c r="G58" s="1639">
        <f>SUM(C58:F58)</f>
        <v>1344553.45</v>
      </c>
    </row>
    <row r="59" spans="1:13" s="169" customFormat="1" ht="13.8" thickBot="1">
      <c r="A59" s="1237">
        <f>A58+1</f>
        <v>22</v>
      </c>
      <c r="B59" s="1400" t="str">
        <f>B39</f>
        <v>Total  Sum Line 1 Subparts</v>
      </c>
      <c r="C59" s="1640">
        <f>SUM(C49:C58)</f>
        <v>534226.43999999983</v>
      </c>
      <c r="D59" s="1640">
        <f>SUM(D49:D58)</f>
        <v>121515.41000000005</v>
      </c>
      <c r="E59" s="1640">
        <f>SUM(E49:E58)</f>
        <v>-117110.58</v>
      </c>
      <c r="F59" s="1640">
        <f>SUM(F49:F58)</f>
        <v>978076</v>
      </c>
      <c r="G59" s="1640">
        <f>SUM(G49:G58)</f>
        <v>1516707.27</v>
      </c>
    </row>
    <row r="60" spans="1:13" s="169" customFormat="1" ht="13.8" thickTop="1">
      <c r="A60" s="1241">
        <f>A59+1</f>
        <v>23</v>
      </c>
      <c r="B60" s="1400"/>
      <c r="C60" s="1400"/>
      <c r="D60" s="1400"/>
      <c r="E60" s="1400"/>
      <c r="F60" s="1400"/>
      <c r="G60" s="1414"/>
      <c r="H60" s="1410"/>
    </row>
    <row r="61" spans="1:13" s="169" customFormat="1">
      <c r="A61" s="1241">
        <f>A60+1</f>
        <v>24</v>
      </c>
      <c r="B61" s="1399" t="s">
        <v>966</v>
      </c>
      <c r="C61" s="1410"/>
      <c r="D61" s="1410">
        <f>SUM(D49:D57)</f>
        <v>-2970.8399999999988</v>
      </c>
      <c r="E61" s="1410"/>
      <c r="F61" s="1410"/>
      <c r="G61" s="1410"/>
      <c r="H61" s="168"/>
    </row>
    <row r="62" spans="1:13" s="169" customFormat="1">
      <c r="A62" s="1241"/>
      <c r="B62" s="1399"/>
      <c r="C62" s="1410"/>
      <c r="D62" s="1410"/>
      <c r="E62" s="1410"/>
      <c r="F62" s="1410"/>
      <c r="G62" s="1410"/>
      <c r="H62" s="168"/>
    </row>
    <row r="63" spans="1:13" s="169" customFormat="1">
      <c r="A63" s="169" t="s">
        <v>190</v>
      </c>
      <c r="B63" s="606"/>
      <c r="C63" s="276"/>
      <c r="D63" s="276"/>
      <c r="E63" s="276"/>
      <c r="F63" s="276"/>
      <c r="G63" s="276"/>
      <c r="H63" s="168"/>
      <c r="K63" s="168"/>
      <c r="M63" s="168"/>
    </row>
    <row r="64" spans="1:13">
      <c r="A64" s="1124" t="s">
        <v>167</v>
      </c>
      <c r="B64" s="636" t="s">
        <v>967</v>
      </c>
      <c r="C64" s="636"/>
      <c r="D64" s="636"/>
      <c r="E64" s="636"/>
      <c r="F64" s="636"/>
      <c r="G64" s="636"/>
      <c r="I64" s="169"/>
      <c r="J64" s="169"/>
    </row>
    <row r="65" spans="1:10">
      <c r="A65" s="1124" t="s">
        <v>319</v>
      </c>
      <c r="B65" s="168" t="s">
        <v>1127</v>
      </c>
      <c r="C65" s="1242"/>
      <c r="D65" s="1242"/>
      <c r="E65" s="1242"/>
      <c r="F65" s="1242"/>
      <c r="G65" s="1242"/>
      <c r="I65" s="169"/>
      <c r="J65" s="169"/>
    </row>
    <row r="66" spans="1:10">
      <c r="A66" s="168"/>
      <c r="I66" s="169"/>
      <c r="J66" s="169"/>
    </row>
    <row r="67" spans="1:10">
      <c r="A67" s="168"/>
      <c r="I67" s="169"/>
      <c r="J67" s="169"/>
    </row>
  </sheetData>
  <mergeCells count="3">
    <mergeCell ref="A1:G1"/>
    <mergeCell ref="A2:G2"/>
    <mergeCell ref="A3:G3"/>
  </mergeCells>
  <printOptions horizontalCentered="1"/>
  <pageMargins left="0.7" right="0.7" top="0.7" bottom="0.7" header="0.3" footer="0.5"/>
  <pageSetup scale="80" orientation="portrait" r:id="rId1"/>
  <headerFooter>
    <oddFooter>&amp;R&amp;A</oddFooter>
  </headerFooter>
  <ignoredErrors>
    <ignoredError sqref="C45:F58" formulaRange="1"/>
    <ignoredError sqref="A64:A65" numberStoredAsText="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workbookViewId="0">
      <selection activeCell="A21" sqref="A21"/>
    </sheetView>
  </sheetViews>
  <sheetFormatPr defaultColWidth="8.88671875" defaultRowHeight="13.2"/>
  <cols>
    <col min="1" max="1" width="5.33203125" style="1243" customWidth="1"/>
    <col min="2" max="2" width="47.6640625" style="168" customWidth="1"/>
    <col min="3" max="3" width="17.6640625" style="168" customWidth="1"/>
    <col min="4" max="4" width="15.33203125" style="168" customWidth="1"/>
    <col min="5" max="5" width="17.109375" style="168" customWidth="1"/>
    <col min="6" max="7" width="8.88671875" style="168"/>
    <col min="8" max="8" width="10.88671875" style="168" bestFit="1" customWidth="1"/>
    <col min="9" max="16384" width="8.88671875" style="168"/>
  </cols>
  <sheetData>
    <row r="1" spans="1:9">
      <c r="A1" s="2000" t="s">
        <v>961</v>
      </c>
      <c r="B1" s="2000"/>
      <c r="C1" s="2000"/>
      <c r="D1" s="2000"/>
      <c r="E1" s="2000"/>
      <c r="F1" s="820"/>
      <c r="H1" s="1394"/>
    </row>
    <row r="2" spans="1:9">
      <c r="A2" s="2001" t="s">
        <v>957</v>
      </c>
      <c r="B2" s="2001"/>
      <c r="C2" s="2001"/>
      <c r="D2" s="2001"/>
      <c r="E2" s="2001"/>
      <c r="F2" s="1235"/>
    </row>
    <row r="3" spans="1:9" ht="13.2" customHeight="1">
      <c r="A3" s="2000" t="str">
        <f>+'MISO Cover'!K4</f>
        <v>For  the 12 Months Ended 12/31/2016</v>
      </c>
      <c r="B3" s="2000"/>
      <c r="C3" s="2000"/>
      <c r="D3" s="2000"/>
      <c r="E3" s="2000"/>
      <c r="F3" s="2063" t="s">
        <v>1963</v>
      </c>
      <c r="G3" s="2063"/>
      <c r="H3" s="2063"/>
      <c r="I3" s="2063"/>
    </row>
    <row r="4" spans="1:9">
      <c r="A4" s="605"/>
      <c r="B4" s="605"/>
      <c r="C4" s="605"/>
      <c r="D4" s="605"/>
      <c r="E4" s="605"/>
      <c r="F4" s="2063"/>
      <c r="G4" s="2063"/>
      <c r="H4" s="2063"/>
      <c r="I4" s="2063"/>
    </row>
    <row r="5" spans="1:9">
      <c r="A5" s="1392"/>
      <c r="B5" s="823"/>
      <c r="C5" s="588"/>
      <c r="D5" s="588"/>
      <c r="E5" s="588" t="s">
        <v>669</v>
      </c>
      <c r="F5" s="2063"/>
      <c r="G5" s="2063"/>
      <c r="H5" s="2063"/>
      <c r="I5" s="2063"/>
    </row>
    <row r="6" spans="1:9">
      <c r="A6" s="1395" t="s">
        <v>279</v>
      </c>
      <c r="B6" s="1396" t="s">
        <v>67</v>
      </c>
      <c r="C6" s="1396" t="s">
        <v>114</v>
      </c>
      <c r="D6" s="1396" t="s">
        <v>55</v>
      </c>
      <c r="E6" s="1397" t="s">
        <v>68</v>
      </c>
    </row>
    <row r="7" spans="1:9">
      <c r="A7" s="1241">
        <v>1</v>
      </c>
      <c r="B7" s="1487" t="s">
        <v>171</v>
      </c>
      <c r="C7" s="1487" t="s">
        <v>823</v>
      </c>
      <c r="D7" s="1487" t="s">
        <v>824</v>
      </c>
      <c r="E7" s="1487" t="s">
        <v>522</v>
      </c>
    </row>
    <row r="8" spans="1:9">
      <c r="A8" s="1238">
        <f>+A7+0.01</f>
        <v>1.01</v>
      </c>
      <c r="B8" s="1623" t="s">
        <v>1703</v>
      </c>
      <c r="C8" s="204">
        <v>0</v>
      </c>
      <c r="D8" s="1757">
        <v>0</v>
      </c>
      <c r="E8" s="77">
        <f>+C8+D8</f>
        <v>0</v>
      </c>
      <c r="F8" s="1393"/>
      <c r="G8" s="1393"/>
      <c r="H8" s="1393"/>
      <c r="I8" s="1393"/>
    </row>
    <row r="9" spans="1:9" s="1393" customFormat="1">
      <c r="A9" s="1238">
        <f>+A8+0.01</f>
        <v>1.02</v>
      </c>
      <c r="B9" s="1623" t="s">
        <v>1658</v>
      </c>
      <c r="C9" s="204">
        <v>0</v>
      </c>
      <c r="D9" s="1757">
        <v>0</v>
      </c>
      <c r="E9" s="77">
        <f>+C9+D9</f>
        <v>0</v>
      </c>
      <c r="F9" s="607"/>
      <c r="G9" s="1398"/>
      <c r="H9" s="169"/>
      <c r="I9" s="169"/>
    </row>
    <row r="10" spans="1:9" s="169" customFormat="1">
      <c r="A10" s="1238">
        <f>+A8+0.01</f>
        <v>1.02</v>
      </c>
      <c r="B10" s="1623" t="s">
        <v>1659</v>
      </c>
      <c r="C10" s="204">
        <v>0</v>
      </c>
      <c r="D10" s="1757">
        <v>0</v>
      </c>
      <c r="E10" s="77">
        <f t="shared" ref="E10:E31" si="0">+C10+D10</f>
        <v>0</v>
      </c>
      <c r="F10" s="607"/>
      <c r="G10" s="1398"/>
    </row>
    <row r="11" spans="1:9" s="169" customFormat="1">
      <c r="A11" s="1238">
        <f t="shared" ref="A11:A31" si="1">+A10+0.01</f>
        <v>1.03</v>
      </c>
      <c r="B11" s="1623" t="s">
        <v>1660</v>
      </c>
      <c r="C11" s="204">
        <v>0</v>
      </c>
      <c r="D11" s="1757">
        <v>0</v>
      </c>
      <c r="E11" s="77">
        <f t="shared" si="0"/>
        <v>0</v>
      </c>
      <c r="F11" s="607"/>
      <c r="G11" s="1398"/>
    </row>
    <row r="12" spans="1:9" s="169" customFormat="1">
      <c r="A12" s="1238">
        <f t="shared" si="1"/>
        <v>1.04</v>
      </c>
      <c r="B12" s="1623" t="s">
        <v>1715</v>
      </c>
      <c r="C12" s="204">
        <v>0</v>
      </c>
      <c r="D12" s="1757">
        <v>0</v>
      </c>
      <c r="E12" s="77">
        <f t="shared" si="0"/>
        <v>0</v>
      </c>
      <c r="F12" s="607"/>
      <c r="G12" s="1398"/>
    </row>
    <row r="13" spans="1:9" s="169" customFormat="1">
      <c r="A13" s="1238">
        <f t="shared" si="1"/>
        <v>1.05</v>
      </c>
      <c r="B13" s="1623" t="s">
        <v>1716</v>
      </c>
      <c r="C13" s="204">
        <v>0</v>
      </c>
      <c r="D13" s="1757">
        <v>0</v>
      </c>
      <c r="E13" s="77">
        <f t="shared" si="0"/>
        <v>0</v>
      </c>
      <c r="F13" s="607"/>
      <c r="G13" s="1398"/>
    </row>
    <row r="14" spans="1:9" s="169" customFormat="1">
      <c r="A14" s="1238">
        <f t="shared" si="1"/>
        <v>1.06</v>
      </c>
      <c r="B14" s="1623" t="s">
        <v>1717</v>
      </c>
      <c r="C14" s="204">
        <v>0</v>
      </c>
      <c r="D14" s="1757">
        <v>0</v>
      </c>
      <c r="E14" s="77">
        <f t="shared" si="0"/>
        <v>0</v>
      </c>
      <c r="F14" s="607"/>
      <c r="G14" s="1398"/>
    </row>
    <row r="15" spans="1:9" s="169" customFormat="1">
      <c r="A15" s="1238">
        <f t="shared" si="1"/>
        <v>1.07</v>
      </c>
      <c r="B15" s="1623" t="s">
        <v>1718</v>
      </c>
      <c r="C15" s="204">
        <v>0</v>
      </c>
      <c r="D15" s="1757">
        <v>0</v>
      </c>
      <c r="E15" s="77">
        <f t="shared" si="0"/>
        <v>0</v>
      </c>
      <c r="F15" s="607"/>
    </row>
    <row r="16" spans="1:9" s="169" customFormat="1">
      <c r="A16" s="1238">
        <f t="shared" si="1"/>
        <v>1.08</v>
      </c>
      <c r="B16" s="1623" t="s">
        <v>1719</v>
      </c>
      <c r="C16" s="204">
        <v>0</v>
      </c>
      <c r="D16" s="1757">
        <v>0</v>
      </c>
      <c r="E16" s="77">
        <f t="shared" si="0"/>
        <v>0</v>
      </c>
      <c r="F16" s="607"/>
    </row>
    <row r="17" spans="1:8" s="169" customFormat="1">
      <c r="A17" s="1238">
        <f t="shared" si="1"/>
        <v>1.0900000000000001</v>
      </c>
      <c r="B17" s="1623" t="s">
        <v>1672</v>
      </c>
      <c r="C17" s="204">
        <v>0</v>
      </c>
      <c r="D17" s="1757">
        <v>0</v>
      </c>
      <c r="E17" s="77">
        <f t="shared" si="0"/>
        <v>0</v>
      </c>
      <c r="F17" s="607"/>
    </row>
    <row r="18" spans="1:8" s="169" customFormat="1">
      <c r="A18" s="1238">
        <f t="shared" si="1"/>
        <v>1.1000000000000001</v>
      </c>
      <c r="B18" s="1623" t="s">
        <v>1674</v>
      </c>
      <c r="C18" s="204">
        <f>IFERROR(INDEX(#REF!,MATCH($B18,#REF!,0)),0)</f>
        <v>0</v>
      </c>
      <c r="D18" s="1757">
        <v>374708</v>
      </c>
      <c r="E18" s="77">
        <f t="shared" si="0"/>
        <v>374708</v>
      </c>
      <c r="F18" s="607"/>
    </row>
    <row r="19" spans="1:8" s="169" customFormat="1">
      <c r="A19" s="1238">
        <f t="shared" si="1"/>
        <v>1.1100000000000001</v>
      </c>
      <c r="B19" s="1623" t="s">
        <v>1720</v>
      </c>
      <c r="C19" s="204">
        <v>0</v>
      </c>
      <c r="D19" s="1757">
        <v>0</v>
      </c>
      <c r="E19" s="77">
        <f t="shared" si="0"/>
        <v>0</v>
      </c>
      <c r="F19" s="607"/>
    </row>
    <row r="20" spans="1:8" s="169" customFormat="1">
      <c r="A20" s="1238">
        <f t="shared" si="1"/>
        <v>1.1200000000000001</v>
      </c>
      <c r="B20" s="1623" t="s">
        <v>1721</v>
      </c>
      <c r="C20" s="204">
        <v>0</v>
      </c>
      <c r="D20" s="1757">
        <v>0</v>
      </c>
      <c r="E20" s="77">
        <f t="shared" si="0"/>
        <v>0</v>
      </c>
      <c r="F20" s="607"/>
    </row>
    <row r="21" spans="1:8" s="169" customFormat="1">
      <c r="A21" s="1238">
        <f t="shared" si="1"/>
        <v>1.1300000000000001</v>
      </c>
      <c r="B21" s="1623" t="s">
        <v>1705</v>
      </c>
      <c r="C21" s="204">
        <v>0</v>
      </c>
      <c r="D21" s="1757">
        <v>0</v>
      </c>
      <c r="E21" s="77">
        <f t="shared" si="0"/>
        <v>0</v>
      </c>
      <c r="F21" s="607"/>
    </row>
    <row r="22" spans="1:8" s="169" customFormat="1">
      <c r="A22" s="1238">
        <f t="shared" si="1"/>
        <v>1.1400000000000001</v>
      </c>
      <c r="B22" s="1623" t="s">
        <v>1706</v>
      </c>
      <c r="C22" s="204">
        <v>0</v>
      </c>
      <c r="D22" s="1757">
        <v>0</v>
      </c>
      <c r="E22" s="77">
        <f t="shared" si="0"/>
        <v>0</v>
      </c>
      <c r="F22" s="607"/>
    </row>
    <row r="23" spans="1:8" s="169" customFormat="1">
      <c r="A23" s="1238">
        <f t="shared" si="1"/>
        <v>1.1500000000000001</v>
      </c>
      <c r="B23" s="1623" t="s">
        <v>1707</v>
      </c>
      <c r="C23" s="204">
        <v>0</v>
      </c>
      <c r="D23" s="1757">
        <v>0</v>
      </c>
      <c r="E23" s="77">
        <f t="shared" si="0"/>
        <v>0</v>
      </c>
      <c r="F23" s="607"/>
      <c r="H23" s="180"/>
    </row>
    <row r="24" spans="1:8" s="169" customFormat="1">
      <c r="A24" s="1238">
        <f t="shared" si="1"/>
        <v>1.1600000000000001</v>
      </c>
      <c r="B24" s="1623" t="s">
        <v>1708</v>
      </c>
      <c r="C24" s="204">
        <v>0</v>
      </c>
      <c r="D24" s="1757">
        <v>0</v>
      </c>
      <c r="E24" s="77">
        <f t="shared" si="0"/>
        <v>0</v>
      </c>
      <c r="F24" s="607"/>
      <c r="H24" s="181"/>
    </row>
    <row r="25" spans="1:8" s="169" customFormat="1">
      <c r="A25" s="1238">
        <f t="shared" si="1"/>
        <v>1.1700000000000002</v>
      </c>
      <c r="B25" s="1623" t="s">
        <v>1722</v>
      </c>
      <c r="C25" s="204">
        <v>0</v>
      </c>
      <c r="D25" s="1757">
        <v>0</v>
      </c>
      <c r="E25" s="77">
        <f t="shared" si="0"/>
        <v>0</v>
      </c>
      <c r="F25" s="607"/>
    </row>
    <row r="26" spans="1:8" s="169" customFormat="1">
      <c r="A26" s="1238">
        <f t="shared" si="1"/>
        <v>1.1800000000000002</v>
      </c>
      <c r="B26" s="1623" t="s">
        <v>1683</v>
      </c>
      <c r="C26" s="204">
        <v>0</v>
      </c>
      <c r="D26" s="1757">
        <v>0</v>
      </c>
      <c r="E26" s="77">
        <f t="shared" si="0"/>
        <v>0</v>
      </c>
      <c r="F26" s="607"/>
    </row>
    <row r="27" spans="1:8" s="169" customFormat="1">
      <c r="A27" s="1238">
        <f t="shared" si="1"/>
        <v>1.1900000000000002</v>
      </c>
      <c r="B27" s="1623" t="s">
        <v>1684</v>
      </c>
      <c r="C27" s="204">
        <v>0</v>
      </c>
      <c r="D27" s="1757">
        <v>0</v>
      </c>
      <c r="E27" s="77">
        <f t="shared" si="0"/>
        <v>0</v>
      </c>
      <c r="F27" s="964"/>
    </row>
    <row r="28" spans="1:8" s="169" customFormat="1">
      <c r="A28" s="1238">
        <f t="shared" si="1"/>
        <v>1.2000000000000002</v>
      </c>
      <c r="B28" s="1623" t="s">
        <v>1685</v>
      </c>
      <c r="C28" s="204">
        <v>0</v>
      </c>
      <c r="D28" s="1757">
        <v>0</v>
      </c>
      <c r="E28" s="77">
        <f t="shared" si="0"/>
        <v>0</v>
      </c>
      <c r="F28" s="964"/>
    </row>
    <row r="29" spans="1:8" s="169" customFormat="1">
      <c r="A29" s="1238">
        <f t="shared" si="1"/>
        <v>1.2100000000000002</v>
      </c>
      <c r="B29" s="1623" t="s">
        <v>1688</v>
      </c>
      <c r="C29" s="204">
        <v>0</v>
      </c>
      <c r="D29" s="1757">
        <v>0</v>
      </c>
      <c r="E29" s="77">
        <f t="shared" si="0"/>
        <v>0</v>
      </c>
      <c r="F29" s="607"/>
    </row>
    <row r="30" spans="1:8" s="169" customFormat="1">
      <c r="A30" s="1238">
        <f t="shared" si="1"/>
        <v>1.2200000000000002</v>
      </c>
      <c r="B30" s="1623" t="s">
        <v>1723</v>
      </c>
      <c r="C30" s="204">
        <v>0</v>
      </c>
      <c r="D30" s="1757">
        <v>0</v>
      </c>
      <c r="E30" s="77">
        <f t="shared" si="0"/>
        <v>0</v>
      </c>
      <c r="F30" s="607"/>
    </row>
    <row r="31" spans="1:8" s="169" customFormat="1">
      <c r="A31" s="1238">
        <f t="shared" si="1"/>
        <v>1.2300000000000002</v>
      </c>
      <c r="B31" s="1623" t="s">
        <v>1724</v>
      </c>
      <c r="C31" s="204">
        <v>0</v>
      </c>
      <c r="D31" s="1757">
        <v>0</v>
      </c>
      <c r="E31" s="77">
        <f t="shared" si="0"/>
        <v>0</v>
      </c>
      <c r="F31" s="607"/>
    </row>
    <row r="32" spans="1:8" s="169" customFormat="1" ht="13.8" thickBot="1">
      <c r="A32" s="1399">
        <f>+A7+1</f>
        <v>2</v>
      </c>
      <c r="B32" s="1400" t="str">
        <f>+"Total  (Sum of Line "&amp;A7&amp; " Subparts)"</f>
        <v>Total  (Sum of Line 1 Subparts)</v>
      </c>
      <c r="C32" s="1401">
        <f>SUM(C8:C31)</f>
        <v>0</v>
      </c>
      <c r="D32" s="1401">
        <f>SUM(D8:D31)</f>
        <v>374708</v>
      </c>
      <c r="E32" s="1025">
        <f>SUM(E8:E31)</f>
        <v>374708</v>
      </c>
      <c r="F32" s="607"/>
    </row>
    <row r="33" spans="1:9" s="169" customFormat="1" ht="13.8" thickTop="1">
      <c r="A33" s="1241">
        <f t="shared" ref="A33:A52" si="2">+A32+1</f>
        <v>3</v>
      </c>
      <c r="B33" s="1400"/>
      <c r="C33" s="1400"/>
      <c r="D33" s="1400"/>
      <c r="E33" s="1402"/>
      <c r="F33" s="607"/>
    </row>
    <row r="34" spans="1:9" s="169" customFormat="1">
      <c r="A34" s="1241">
        <f t="shared" si="2"/>
        <v>4</v>
      </c>
      <c r="B34" s="1400" t="s">
        <v>570</v>
      </c>
      <c r="C34" s="1400"/>
      <c r="D34" s="1400"/>
      <c r="E34" s="1402"/>
      <c r="F34" s="607"/>
    </row>
    <row r="35" spans="1:9" s="169" customFormat="1">
      <c r="A35" s="1241">
        <f t="shared" si="2"/>
        <v>5</v>
      </c>
      <c r="B35" s="1403" t="s">
        <v>668</v>
      </c>
      <c r="C35" s="1404">
        <v>0</v>
      </c>
      <c r="D35" s="1404">
        <v>0</v>
      </c>
      <c r="E35" s="1404">
        <f>SUM(C35:D35)</f>
        <v>0</v>
      </c>
      <c r="F35" s="607"/>
    </row>
    <row r="36" spans="1:9" s="169" customFormat="1" ht="15">
      <c r="A36" s="1241">
        <f t="shared" si="2"/>
        <v>6</v>
      </c>
      <c r="B36" s="1403" t="s">
        <v>513</v>
      </c>
      <c r="C36" s="667">
        <v>0</v>
      </c>
      <c r="D36" s="667">
        <v>0</v>
      </c>
      <c r="E36" s="667">
        <f>SUM(C36:D36)</f>
        <v>0</v>
      </c>
      <c r="F36" s="607"/>
    </row>
    <row r="37" spans="1:9" s="169" customFormat="1">
      <c r="A37" s="1241">
        <f t="shared" si="2"/>
        <v>7</v>
      </c>
      <c r="B37" s="1399" t="str">
        <f>+"Total Lines "&amp;A35&amp;" + "&amp;A36</f>
        <v>Total Lines 5 + 6</v>
      </c>
      <c r="C37" s="1404">
        <f>SUM(C35:C36)</f>
        <v>0</v>
      </c>
      <c r="D37" s="1404">
        <f>SUM(D35:D36)</f>
        <v>0</v>
      </c>
      <c r="E37" s="1404">
        <f>SUM(E35:E36)</f>
        <v>0</v>
      </c>
      <c r="F37" s="607"/>
    </row>
    <row r="38" spans="1:9" s="169" customFormat="1" ht="15">
      <c r="A38" s="1241">
        <f t="shared" si="2"/>
        <v>8</v>
      </c>
      <c r="B38" s="1400" t="s">
        <v>818</v>
      </c>
      <c r="C38" s="667">
        <f>+SUM(C16:C20)-C37</f>
        <v>0</v>
      </c>
      <c r="D38" s="667">
        <f>+SUM(D16:D20)-D37</f>
        <v>374708</v>
      </c>
      <c r="E38" s="667">
        <f>+C38+D38</f>
        <v>374708</v>
      </c>
      <c r="F38" s="607"/>
      <c r="G38" s="1405"/>
    </row>
    <row r="39" spans="1:9" s="169" customFormat="1">
      <c r="A39" s="1241">
        <f t="shared" si="2"/>
        <v>9</v>
      </c>
      <c r="B39" s="1400" t="s">
        <v>958</v>
      </c>
      <c r="C39" s="1404">
        <f>+C37+C38</f>
        <v>0</v>
      </c>
      <c r="D39" s="1404">
        <f>+D37+D38</f>
        <v>374708</v>
      </c>
      <c r="E39" s="1404">
        <f>+E37+E38</f>
        <v>374708</v>
      </c>
      <c r="F39" s="607"/>
    </row>
    <row r="40" spans="1:9" s="169" customFormat="1">
      <c r="A40" s="1241">
        <f t="shared" si="2"/>
        <v>10</v>
      </c>
      <c r="B40" s="1400"/>
      <c r="C40" s="1406"/>
      <c r="D40" s="1406"/>
      <c r="E40" s="77"/>
      <c r="F40" s="607"/>
    </row>
    <row r="41" spans="1:9" s="169" customFormat="1">
      <c r="A41" s="1241">
        <f t="shared" si="2"/>
        <v>11</v>
      </c>
      <c r="B41" s="1400" t="s">
        <v>51</v>
      </c>
      <c r="C41" s="1404"/>
      <c r="D41" s="1404"/>
      <c r="E41" s="1404"/>
      <c r="F41" s="607"/>
    </row>
    <row r="42" spans="1:9" s="169" customFormat="1">
      <c r="A42" s="1241">
        <f t="shared" si="2"/>
        <v>12</v>
      </c>
      <c r="B42" s="1403" t="s">
        <v>691</v>
      </c>
      <c r="C42" s="1404">
        <f>+C8</f>
        <v>0</v>
      </c>
      <c r="D42" s="1404">
        <f>+D8</f>
        <v>0</v>
      </c>
      <c r="E42" s="1407">
        <f t="shared" ref="E42:E43" si="3">+C42+D42</f>
        <v>0</v>
      </c>
      <c r="F42" s="1402"/>
      <c r="G42" s="1239"/>
      <c r="H42" s="1239"/>
      <c r="I42" s="1239"/>
    </row>
    <row r="43" spans="1:9" s="1239" customFormat="1">
      <c r="A43" s="1241">
        <f t="shared" si="2"/>
        <v>13</v>
      </c>
      <c r="B43" s="1403" t="s">
        <v>690</v>
      </c>
      <c r="C43" s="1407">
        <v>0</v>
      </c>
      <c r="D43" s="1407">
        <v>0</v>
      </c>
      <c r="E43" s="1407">
        <f t="shared" si="3"/>
        <v>0</v>
      </c>
      <c r="F43" s="1402"/>
    </row>
    <row r="44" spans="1:9" s="1239" customFormat="1">
      <c r="A44" s="1241">
        <f t="shared" si="2"/>
        <v>14</v>
      </c>
      <c r="B44" s="1403" t="s">
        <v>689</v>
      </c>
      <c r="C44" s="1407">
        <f>+C8</f>
        <v>0</v>
      </c>
      <c r="D44" s="1407">
        <f>+D8</f>
        <v>0</v>
      </c>
      <c r="E44" s="1407">
        <f>+C44+D44</f>
        <v>0</v>
      </c>
      <c r="F44" s="1404"/>
    </row>
    <row r="45" spans="1:9" s="1239" customFormat="1" ht="15">
      <c r="A45" s="1241">
        <f t="shared" si="2"/>
        <v>15</v>
      </c>
      <c r="B45" s="1403" t="s">
        <v>683</v>
      </c>
      <c r="C45" s="1404">
        <f>+SUM(C10:C15)</f>
        <v>0</v>
      </c>
      <c r="D45" s="1404">
        <f>+SUM(D10:D15)</f>
        <v>0</v>
      </c>
      <c r="E45" s="1407">
        <f t="shared" ref="E45:E51" si="4">+C45+D45</f>
        <v>0</v>
      </c>
      <c r="F45" s="667"/>
    </row>
    <row r="46" spans="1:9" s="1239" customFormat="1">
      <c r="A46" s="1241">
        <f t="shared" si="2"/>
        <v>16</v>
      </c>
      <c r="B46" s="1403" t="s">
        <v>682</v>
      </c>
      <c r="C46" s="1404">
        <f>+SUM(C16:C20)</f>
        <v>0</v>
      </c>
      <c r="D46" s="1404">
        <f>+SUM(D16:D20)</f>
        <v>374708</v>
      </c>
      <c r="E46" s="1407">
        <f t="shared" si="4"/>
        <v>374708</v>
      </c>
      <c r="F46" s="1404"/>
    </row>
    <row r="47" spans="1:9" s="1240" customFormat="1">
      <c r="A47" s="1241">
        <f t="shared" si="2"/>
        <v>17</v>
      </c>
      <c r="B47" s="1403" t="s">
        <v>684</v>
      </c>
      <c r="C47" s="1404"/>
      <c r="D47" s="1404"/>
      <c r="E47" s="1407">
        <f t="shared" si="4"/>
        <v>0</v>
      </c>
      <c r="F47" s="846"/>
    </row>
    <row r="48" spans="1:9" s="1239" customFormat="1">
      <c r="A48" s="1241">
        <f t="shared" si="2"/>
        <v>18</v>
      </c>
      <c r="B48" s="1403" t="s">
        <v>685</v>
      </c>
      <c r="C48" s="1404">
        <f>+SUM(C21:C23)</f>
        <v>0</v>
      </c>
      <c r="D48" s="1404">
        <f>+SUM(D21:D23)</f>
        <v>0</v>
      </c>
      <c r="E48" s="1407">
        <f t="shared" si="4"/>
        <v>0</v>
      </c>
      <c r="F48" s="1404"/>
    </row>
    <row r="49" spans="1:9" s="1239" customFormat="1">
      <c r="A49" s="1241">
        <f t="shared" si="2"/>
        <v>19</v>
      </c>
      <c r="B49" s="1403" t="s">
        <v>686</v>
      </c>
      <c r="C49" s="1404"/>
      <c r="D49" s="1404"/>
      <c r="E49" s="1407">
        <f t="shared" si="4"/>
        <v>0</v>
      </c>
      <c r="F49" s="607"/>
      <c r="G49" s="169"/>
      <c r="H49" s="169"/>
      <c r="I49" s="169"/>
    </row>
    <row r="50" spans="1:9" s="169" customFormat="1">
      <c r="A50" s="1241">
        <f t="shared" si="2"/>
        <v>20</v>
      </c>
      <c r="B50" s="1403" t="s">
        <v>687</v>
      </c>
      <c r="C50" s="1404">
        <f>+SUM(C24:C25)</f>
        <v>0</v>
      </c>
      <c r="D50" s="1404">
        <f>+SUM(D24:D25)</f>
        <v>0</v>
      </c>
      <c r="E50" s="1407">
        <f t="shared" si="4"/>
        <v>0</v>
      </c>
      <c r="F50" s="1398"/>
    </row>
    <row r="51" spans="1:9" s="169" customFormat="1">
      <c r="A51" s="1241">
        <f t="shared" si="2"/>
        <v>21</v>
      </c>
      <c r="B51" s="1403" t="s">
        <v>688</v>
      </c>
      <c r="C51" s="1408">
        <f>+SUM(C26:C31)</f>
        <v>0</v>
      </c>
      <c r="D51" s="1408">
        <f>+SUM(D26:D31)</f>
        <v>0</v>
      </c>
      <c r="E51" s="1408">
        <f t="shared" si="4"/>
        <v>0</v>
      </c>
    </row>
    <row r="52" spans="1:9" s="169" customFormat="1" ht="13.8" thickBot="1">
      <c r="A52" s="1241">
        <f t="shared" si="2"/>
        <v>22</v>
      </c>
      <c r="B52" s="1400" t="s">
        <v>959</v>
      </c>
      <c r="C52" s="1409">
        <f>SUM(C42:C51)</f>
        <v>0</v>
      </c>
      <c r="D52" s="1409">
        <f>SUM(D42:D51)</f>
        <v>374708</v>
      </c>
      <c r="E52" s="1409">
        <f>SUM(E42:E51)</f>
        <v>374708</v>
      </c>
    </row>
    <row r="53" spans="1:9" s="169" customFormat="1" ht="13.8" thickTop="1">
      <c r="A53" s="1241"/>
      <c r="B53" s="1399"/>
      <c r="C53" s="1410"/>
      <c r="D53" s="1410"/>
      <c r="E53" s="1410"/>
      <c r="F53" s="168"/>
    </row>
    <row r="54" spans="1:9" s="169" customFormat="1">
      <c r="A54" s="169" t="s">
        <v>190</v>
      </c>
      <c r="B54" s="606"/>
      <c r="C54" s="276"/>
      <c r="D54" s="276"/>
      <c r="E54" s="276"/>
      <c r="F54" s="168"/>
      <c r="G54" s="168"/>
      <c r="H54" s="168"/>
      <c r="I54" s="168"/>
    </row>
    <row r="55" spans="1:9">
      <c r="A55" s="1124" t="s">
        <v>167</v>
      </c>
      <c r="B55" s="636" t="s">
        <v>960</v>
      </c>
      <c r="C55" s="636"/>
      <c r="D55" s="636"/>
      <c r="E55" s="636"/>
    </row>
    <row r="56" spans="1:9">
      <c r="A56" s="168"/>
      <c r="C56" s="1242"/>
      <c r="D56" s="1242"/>
      <c r="E56" s="1242"/>
    </row>
    <row r="57" spans="1:9">
      <c r="A57" s="168"/>
    </row>
    <row r="58" spans="1:9">
      <c r="A58" s="168"/>
    </row>
  </sheetData>
  <mergeCells count="4">
    <mergeCell ref="A1:E1"/>
    <mergeCell ref="A2:E2"/>
    <mergeCell ref="A3:E3"/>
    <mergeCell ref="F3:I5"/>
  </mergeCells>
  <pageMargins left="0.5" right="0.5" top="0.5" bottom="0.5" header="0.3" footer="0.3"/>
  <pageSetup scale="94" orientation="portrait" r:id="rId1"/>
  <headerFooter>
    <oddFooter>&amp;RWP AJ5 Acadia PB2 Deferral</oddFooter>
  </headerFooter>
  <ignoredErrors>
    <ignoredError sqref="A55" numberStoredAsText="1"/>
    <ignoredError sqref="C38:D51" formulaRange="1"/>
    <ignoredError sqref="A10" formula="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A21" sqref="A21"/>
    </sheetView>
  </sheetViews>
  <sheetFormatPr defaultColWidth="8.88671875" defaultRowHeight="13.2"/>
  <cols>
    <col min="1" max="1" width="5.33203125" style="1681" customWidth="1"/>
    <col min="2" max="2" width="23.109375" style="168" customWidth="1"/>
    <col min="3" max="5" width="17" style="168" customWidth="1"/>
    <col min="6" max="6" width="8.88671875" style="168"/>
    <col min="7" max="8" width="10.44140625" style="168" bestFit="1" customWidth="1"/>
    <col min="9" max="16384" width="8.88671875" style="168"/>
  </cols>
  <sheetData>
    <row r="1" spans="1:5">
      <c r="A1" s="2000" t="str">
        <f>+'MISO Cover'!C6</f>
        <v>Entergy Louisiana, LLC</v>
      </c>
      <c r="B1" s="2000"/>
      <c r="C1" s="2000"/>
      <c r="D1" s="2000"/>
      <c r="E1" s="2000"/>
    </row>
    <row r="2" spans="1:5">
      <c r="A2" s="1957" t="s">
        <v>1732</v>
      </c>
      <c r="B2" s="1957"/>
      <c r="C2" s="1957"/>
      <c r="D2" s="1957"/>
      <c r="E2" s="1957"/>
    </row>
    <row r="3" spans="1:5">
      <c r="A3" s="2000" t="str">
        <f>+'MISO Cover'!K4</f>
        <v>For  the 12 Months Ended 12/31/2016</v>
      </c>
      <c r="B3" s="2000"/>
      <c r="C3" s="2000"/>
      <c r="D3" s="2000"/>
      <c r="E3" s="2000"/>
    </row>
    <row r="4" spans="1:5">
      <c r="A4" s="1669"/>
      <c r="B4" s="1669"/>
      <c r="C4" s="1669"/>
      <c r="D4" s="1669"/>
      <c r="E4" s="1670"/>
    </row>
    <row r="5" spans="1:5">
      <c r="A5" s="1673" t="s">
        <v>279</v>
      </c>
      <c r="B5" s="1779" t="s">
        <v>67</v>
      </c>
      <c r="C5" s="1779" t="s">
        <v>114</v>
      </c>
      <c r="D5" s="1779" t="s">
        <v>55</v>
      </c>
      <c r="E5" s="1674" t="s">
        <v>1733</v>
      </c>
    </row>
    <row r="6" spans="1:5">
      <c r="A6" s="178"/>
      <c r="B6" s="178"/>
      <c r="C6" s="2064" t="s">
        <v>1734</v>
      </c>
      <c r="D6" s="2064"/>
      <c r="E6" s="1781" t="s">
        <v>1735</v>
      </c>
    </row>
    <row r="7" spans="1:5" ht="15">
      <c r="A7" s="1675">
        <v>1</v>
      </c>
      <c r="B7" s="898" t="s">
        <v>1736</v>
      </c>
      <c r="C7" s="1789" t="s">
        <v>1737</v>
      </c>
      <c r="D7" s="1790" t="s">
        <v>1738</v>
      </c>
      <c r="E7" s="1789" t="s">
        <v>1739</v>
      </c>
    </row>
    <row r="8" spans="1:5">
      <c r="A8" s="1676">
        <f>+A7+0.01</f>
        <v>1.01</v>
      </c>
      <c r="B8" s="1779">
        <v>2016</v>
      </c>
      <c r="C8" s="1783">
        <v>132845637</v>
      </c>
      <c r="D8" s="1677">
        <f t="shared" ref="D8:D22" si="0">+C8-E8</f>
        <v>123989261.2</v>
      </c>
      <c r="E8" s="1677">
        <f>+C8/15</f>
        <v>8856375.8000000007</v>
      </c>
    </row>
    <row r="9" spans="1:5">
      <c r="A9" s="1676">
        <f t="shared" ref="A9:A22" si="1">+A8+0.01</f>
        <v>1.02</v>
      </c>
      <c r="B9" s="1779">
        <f>+B8+1</f>
        <v>2017</v>
      </c>
      <c r="C9" s="1677">
        <f t="shared" ref="C9:C22" si="2">+D8</f>
        <v>123989261.2</v>
      </c>
      <c r="D9" s="1677">
        <f t="shared" si="0"/>
        <v>115132885.40000001</v>
      </c>
      <c r="E9" s="1677">
        <f>+E8</f>
        <v>8856375.8000000007</v>
      </c>
    </row>
    <row r="10" spans="1:5">
      <c r="A10" s="1676">
        <f t="shared" si="1"/>
        <v>1.03</v>
      </c>
      <c r="B10" s="1779">
        <f t="shared" ref="B10:B22" si="3">+B9+1</f>
        <v>2018</v>
      </c>
      <c r="C10" s="1677">
        <f t="shared" si="2"/>
        <v>115132885.40000001</v>
      </c>
      <c r="D10" s="1677">
        <f t="shared" si="0"/>
        <v>106276509.60000001</v>
      </c>
      <c r="E10" s="1677">
        <f t="shared" ref="E10:E22" si="4">+E9</f>
        <v>8856375.8000000007</v>
      </c>
    </row>
    <row r="11" spans="1:5">
      <c r="A11" s="1676">
        <f t="shared" si="1"/>
        <v>1.04</v>
      </c>
      <c r="B11" s="1779">
        <f t="shared" si="3"/>
        <v>2019</v>
      </c>
      <c r="C11" s="1677">
        <f t="shared" si="2"/>
        <v>106276509.60000001</v>
      </c>
      <c r="D11" s="1677">
        <f t="shared" si="0"/>
        <v>97420133.800000012</v>
      </c>
      <c r="E11" s="1677">
        <f t="shared" si="4"/>
        <v>8856375.8000000007</v>
      </c>
    </row>
    <row r="12" spans="1:5">
      <c r="A12" s="1676">
        <f t="shared" si="1"/>
        <v>1.05</v>
      </c>
      <c r="B12" s="1779">
        <f t="shared" si="3"/>
        <v>2020</v>
      </c>
      <c r="C12" s="1677">
        <f t="shared" si="2"/>
        <v>97420133.800000012</v>
      </c>
      <c r="D12" s="1677">
        <f t="shared" si="0"/>
        <v>88563758.000000015</v>
      </c>
      <c r="E12" s="1677">
        <f t="shared" si="4"/>
        <v>8856375.8000000007</v>
      </c>
    </row>
    <row r="13" spans="1:5">
      <c r="A13" s="1676">
        <f t="shared" si="1"/>
        <v>1.06</v>
      </c>
      <c r="B13" s="1779">
        <f t="shared" si="3"/>
        <v>2021</v>
      </c>
      <c r="C13" s="1677">
        <f t="shared" si="2"/>
        <v>88563758.000000015</v>
      </c>
      <c r="D13" s="1677">
        <f t="shared" si="0"/>
        <v>79707382.200000018</v>
      </c>
      <c r="E13" s="1677">
        <f t="shared" si="4"/>
        <v>8856375.8000000007</v>
      </c>
    </row>
    <row r="14" spans="1:5">
      <c r="A14" s="1676">
        <f t="shared" si="1"/>
        <v>1.07</v>
      </c>
      <c r="B14" s="1779">
        <f t="shared" si="3"/>
        <v>2022</v>
      </c>
      <c r="C14" s="1677">
        <f t="shared" si="2"/>
        <v>79707382.200000018</v>
      </c>
      <c r="D14" s="1677">
        <f t="shared" si="0"/>
        <v>70851006.400000021</v>
      </c>
      <c r="E14" s="1677">
        <f t="shared" si="4"/>
        <v>8856375.8000000007</v>
      </c>
    </row>
    <row r="15" spans="1:5">
      <c r="A15" s="1676">
        <f t="shared" si="1"/>
        <v>1.08</v>
      </c>
      <c r="B15" s="1779">
        <f t="shared" si="3"/>
        <v>2023</v>
      </c>
      <c r="C15" s="1677">
        <f t="shared" si="2"/>
        <v>70851006.400000021</v>
      </c>
      <c r="D15" s="1677">
        <f t="shared" si="0"/>
        <v>61994630.600000024</v>
      </c>
      <c r="E15" s="1677">
        <f t="shared" si="4"/>
        <v>8856375.8000000007</v>
      </c>
    </row>
    <row r="16" spans="1:5">
      <c r="A16" s="1676">
        <f t="shared" si="1"/>
        <v>1.0900000000000001</v>
      </c>
      <c r="B16" s="1779">
        <f t="shared" si="3"/>
        <v>2024</v>
      </c>
      <c r="C16" s="1677">
        <f t="shared" si="2"/>
        <v>61994630.600000024</v>
      </c>
      <c r="D16" s="1677">
        <f t="shared" si="0"/>
        <v>53138254.800000027</v>
      </c>
      <c r="E16" s="1677">
        <f t="shared" si="4"/>
        <v>8856375.8000000007</v>
      </c>
    </row>
    <row r="17" spans="1:8">
      <c r="A17" s="1676">
        <f t="shared" si="1"/>
        <v>1.1000000000000001</v>
      </c>
      <c r="B17" s="1779">
        <f t="shared" si="3"/>
        <v>2025</v>
      </c>
      <c r="C17" s="1677">
        <f t="shared" si="2"/>
        <v>53138254.800000027</v>
      </c>
      <c r="D17" s="1677">
        <f t="shared" si="0"/>
        <v>44281879.00000003</v>
      </c>
      <c r="E17" s="1677">
        <f t="shared" si="4"/>
        <v>8856375.8000000007</v>
      </c>
    </row>
    <row r="18" spans="1:8">
      <c r="A18" s="1676">
        <f t="shared" si="1"/>
        <v>1.1100000000000001</v>
      </c>
      <c r="B18" s="1779">
        <f t="shared" si="3"/>
        <v>2026</v>
      </c>
      <c r="C18" s="1677">
        <f t="shared" si="2"/>
        <v>44281879.00000003</v>
      </c>
      <c r="D18" s="1677">
        <f t="shared" si="0"/>
        <v>35425503.200000033</v>
      </c>
      <c r="E18" s="1677">
        <f t="shared" si="4"/>
        <v>8856375.8000000007</v>
      </c>
    </row>
    <row r="19" spans="1:8">
      <c r="A19" s="1676">
        <f t="shared" si="1"/>
        <v>1.1200000000000001</v>
      </c>
      <c r="B19" s="1779">
        <f t="shared" si="3"/>
        <v>2027</v>
      </c>
      <c r="C19" s="1677">
        <f t="shared" si="2"/>
        <v>35425503.200000033</v>
      </c>
      <c r="D19" s="1677">
        <f t="shared" si="0"/>
        <v>26569127.400000032</v>
      </c>
      <c r="E19" s="1677">
        <f t="shared" si="4"/>
        <v>8856375.8000000007</v>
      </c>
    </row>
    <row r="20" spans="1:8">
      <c r="A20" s="1676">
        <f t="shared" si="1"/>
        <v>1.1300000000000001</v>
      </c>
      <c r="B20" s="1779">
        <f t="shared" si="3"/>
        <v>2028</v>
      </c>
      <c r="C20" s="1677">
        <f t="shared" si="2"/>
        <v>26569127.400000032</v>
      </c>
      <c r="D20" s="1677">
        <f t="shared" si="0"/>
        <v>17712751.600000031</v>
      </c>
      <c r="E20" s="1677">
        <f t="shared" si="4"/>
        <v>8856375.8000000007</v>
      </c>
    </row>
    <row r="21" spans="1:8">
      <c r="A21" s="1676">
        <f t="shared" si="1"/>
        <v>1.1400000000000001</v>
      </c>
      <c r="B21" s="1779">
        <f>+B20+1</f>
        <v>2029</v>
      </c>
      <c r="C21" s="1677">
        <f t="shared" si="2"/>
        <v>17712751.600000031</v>
      </c>
      <c r="D21" s="1677">
        <f t="shared" si="0"/>
        <v>8856375.8000000305</v>
      </c>
      <c r="E21" s="1677">
        <f t="shared" si="4"/>
        <v>8856375.8000000007</v>
      </c>
    </row>
    <row r="22" spans="1:8">
      <c r="A22" s="1676">
        <f t="shared" si="1"/>
        <v>1.1500000000000001</v>
      </c>
      <c r="B22" s="1779">
        <f t="shared" si="3"/>
        <v>2030</v>
      </c>
      <c r="C22" s="1677">
        <f t="shared" si="2"/>
        <v>8856375.8000000305</v>
      </c>
      <c r="D22" s="1677">
        <f t="shared" si="0"/>
        <v>2.9802322387695313E-8</v>
      </c>
      <c r="E22" s="1677">
        <f t="shared" si="4"/>
        <v>8856375.8000000007</v>
      </c>
    </row>
    <row r="23" spans="1:8">
      <c r="A23" s="1779"/>
      <c r="B23" s="636"/>
      <c r="C23" s="1780"/>
      <c r="D23" s="1780"/>
      <c r="E23" s="1780"/>
    </row>
    <row r="24" spans="1:8">
      <c r="A24" s="1779"/>
      <c r="B24" s="636"/>
      <c r="C24" s="1780"/>
      <c r="D24" s="1780"/>
    </row>
    <row r="25" spans="1:8" s="169" customFormat="1">
      <c r="A25" s="1675">
        <f>+A7+1</f>
        <v>2</v>
      </c>
      <c r="B25" s="1412" t="s">
        <v>1740</v>
      </c>
      <c r="C25" s="1780"/>
      <c r="D25" s="1780"/>
      <c r="E25" s="1678">
        <f>+E8</f>
        <v>8856375.8000000007</v>
      </c>
    </row>
    <row r="26" spans="1:8" s="169" customFormat="1">
      <c r="A26" s="1248"/>
      <c r="B26" s="1412"/>
      <c r="C26" s="841"/>
      <c r="D26" s="841"/>
      <c r="E26" s="841"/>
      <c r="F26" s="688"/>
      <c r="G26" s="1672"/>
      <c r="H26" s="249"/>
    </row>
    <row r="27" spans="1:8" s="169" customFormat="1">
      <c r="A27" s="169" t="s">
        <v>190</v>
      </c>
      <c r="B27" s="606"/>
      <c r="C27" s="276"/>
      <c r="D27" s="276"/>
      <c r="E27" s="276"/>
      <c r="G27" s="1672"/>
      <c r="H27" s="1672"/>
    </row>
    <row r="28" spans="1:8" s="169" customFormat="1" ht="57" customHeight="1">
      <c r="A28" s="1124" t="s">
        <v>167</v>
      </c>
      <c r="B28" s="2010" t="s">
        <v>1741</v>
      </c>
      <c r="C28" s="2010"/>
      <c r="D28" s="2010"/>
      <c r="E28" s="2010"/>
    </row>
    <row r="29" spans="1:8" s="1680" customFormat="1">
      <c r="A29" s="1679" t="s">
        <v>319</v>
      </c>
      <c r="B29" s="168" t="s">
        <v>1742</v>
      </c>
      <c r="C29" s="168"/>
      <c r="D29" s="168"/>
      <c r="E29" s="168"/>
    </row>
    <row r="30" spans="1:8" s="1680" customFormat="1" ht="26.4" customHeight="1">
      <c r="A30" s="1124" t="s">
        <v>320</v>
      </c>
      <c r="B30" s="2010" t="s">
        <v>1743</v>
      </c>
      <c r="C30" s="2010"/>
      <c r="D30" s="2010"/>
      <c r="E30" s="2010"/>
    </row>
    <row r="31" spans="1:8" s="1680" customFormat="1">
      <c r="A31" s="1681"/>
      <c r="B31" s="168"/>
      <c r="C31" s="168"/>
      <c r="D31" s="168"/>
      <c r="E31" s="168"/>
    </row>
    <row r="32" spans="1:8" s="1680" customFormat="1">
      <c r="A32" s="1681"/>
      <c r="B32" s="168"/>
      <c r="C32" s="168"/>
      <c r="D32" s="168"/>
      <c r="E32" s="168"/>
    </row>
    <row r="33" spans="1:5" s="1682" customFormat="1">
      <c r="A33" s="1681"/>
      <c r="B33" s="168"/>
      <c r="C33" s="168"/>
      <c r="D33" s="168"/>
      <c r="E33" s="168"/>
    </row>
    <row r="34" spans="1:5" s="1680" customFormat="1">
      <c r="A34" s="1681"/>
      <c r="B34" s="168"/>
      <c r="C34" s="168"/>
      <c r="D34" s="168"/>
      <c r="E34" s="168"/>
    </row>
    <row r="35" spans="1:5" s="1680" customFormat="1">
      <c r="A35" s="1681"/>
      <c r="B35" s="168"/>
      <c r="C35" s="168"/>
      <c r="D35" s="168"/>
      <c r="E35" s="168"/>
    </row>
    <row r="36" spans="1:5" s="169" customFormat="1">
      <c r="A36" s="1681"/>
      <c r="B36" s="168"/>
      <c r="C36" s="168"/>
      <c r="D36" s="168"/>
      <c r="E36" s="168"/>
    </row>
    <row r="37" spans="1:5" s="169" customFormat="1">
      <c r="A37" s="1681"/>
      <c r="B37" s="168"/>
      <c r="C37" s="168"/>
      <c r="D37" s="168"/>
      <c r="E37" s="168"/>
    </row>
    <row r="38" spans="1:5" s="169" customFormat="1">
      <c r="A38" s="1681"/>
      <c r="B38" s="168"/>
      <c r="C38" s="168"/>
      <c r="D38" s="168"/>
      <c r="E38" s="168"/>
    </row>
    <row r="39" spans="1:5" s="169" customFormat="1">
      <c r="A39" s="1681"/>
      <c r="B39" s="168"/>
      <c r="C39" s="168"/>
      <c r="D39" s="168"/>
      <c r="E39" s="168"/>
    </row>
    <row r="40" spans="1:5" s="169" customFormat="1">
      <c r="A40" s="1681"/>
      <c r="B40" s="168"/>
      <c r="C40" s="168"/>
      <c r="D40" s="168"/>
      <c r="E40" s="168"/>
    </row>
    <row r="41" spans="1:5" s="169" customFormat="1">
      <c r="A41" s="1681"/>
      <c r="B41" s="168"/>
      <c r="C41" s="168"/>
      <c r="D41" s="168"/>
      <c r="E41" s="168"/>
    </row>
    <row r="42" spans="1:5" s="169" customFormat="1">
      <c r="A42" s="1681"/>
      <c r="B42" s="168"/>
      <c r="C42" s="168"/>
      <c r="D42" s="168"/>
      <c r="E42" s="168"/>
    </row>
    <row r="43" spans="1:5" s="169" customFormat="1">
      <c r="A43" s="1681"/>
      <c r="B43" s="168"/>
      <c r="C43" s="168"/>
      <c r="D43" s="168"/>
      <c r="E43" s="168"/>
    </row>
    <row r="44" spans="1:5" s="169" customFormat="1">
      <c r="A44" s="1681"/>
      <c r="B44" s="168"/>
      <c r="C44" s="168"/>
      <c r="D44" s="168"/>
      <c r="E44" s="168"/>
    </row>
    <row r="45" spans="1:5" s="169" customFormat="1">
      <c r="A45" s="1681"/>
      <c r="B45" s="168"/>
      <c r="C45" s="168"/>
      <c r="D45" s="168"/>
      <c r="E45" s="168"/>
    </row>
    <row r="46" spans="1:5" s="169" customFormat="1">
      <c r="A46" s="1681"/>
      <c r="B46" s="168"/>
      <c r="C46" s="168"/>
      <c r="D46" s="168"/>
      <c r="E46" s="168"/>
    </row>
    <row r="47" spans="1:5" s="169" customFormat="1">
      <c r="A47" s="1681"/>
      <c r="B47" s="168"/>
      <c r="C47" s="168"/>
      <c r="D47" s="168"/>
      <c r="E47" s="168"/>
    </row>
    <row r="48" spans="1:5" s="169" customFormat="1">
      <c r="A48" s="1681"/>
      <c r="B48" s="168"/>
      <c r="C48" s="168"/>
      <c r="D48" s="168"/>
      <c r="E48" s="168"/>
    </row>
    <row r="49" spans="1:5" s="169" customFormat="1">
      <c r="A49" s="1681"/>
      <c r="B49" s="168"/>
      <c r="C49" s="168"/>
      <c r="D49" s="168"/>
      <c r="E49" s="168"/>
    </row>
    <row r="50" spans="1:5" s="169" customFormat="1">
      <c r="A50" s="1681"/>
      <c r="B50" s="168"/>
      <c r="C50" s="168"/>
      <c r="D50" s="168"/>
      <c r="E50" s="168"/>
    </row>
    <row r="51" spans="1:5" s="169" customFormat="1">
      <c r="A51" s="1681"/>
      <c r="B51" s="168"/>
      <c r="C51" s="168"/>
      <c r="D51" s="168"/>
      <c r="E51" s="168"/>
    </row>
    <row r="52" spans="1:5" ht="26.4" customHeight="1"/>
  </sheetData>
  <mergeCells count="6">
    <mergeCell ref="B30:E30"/>
    <mergeCell ref="A1:E1"/>
    <mergeCell ref="A2:E2"/>
    <mergeCell ref="A3:E3"/>
    <mergeCell ref="C6:D6"/>
    <mergeCell ref="B28:E28"/>
  </mergeCells>
  <printOptions horizontalCentered="1"/>
  <pageMargins left="0.7" right="0.7" top="0.75" bottom="0.75" header="0.3" footer="0.5"/>
  <pageSetup orientation="portrait" r:id="rId1"/>
  <headerFooter>
    <oddFooter>&amp;R&amp;A</oddFooter>
  </headerFooter>
  <ignoredErrors>
    <ignoredError sqref="A28:A3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21" sqref="A21"/>
    </sheetView>
  </sheetViews>
  <sheetFormatPr defaultRowHeight="13.2"/>
  <cols>
    <col min="2" max="2" width="10.33203125" customWidth="1"/>
    <col min="3" max="3" width="15.6640625" customWidth="1"/>
    <col min="4" max="4" width="29.44140625" customWidth="1"/>
  </cols>
  <sheetData>
    <row r="1" spans="1:5">
      <c r="A1" s="1957" t="str">
        <f>+'MISO Cover'!C6</f>
        <v>Entergy Louisiana, LLC</v>
      </c>
      <c r="B1" s="1957"/>
      <c r="C1" s="1957"/>
      <c r="D1" s="1957"/>
      <c r="E1" s="1957"/>
    </row>
    <row r="2" spans="1:5">
      <c r="A2" s="1958" t="s">
        <v>1816</v>
      </c>
      <c r="B2" s="1958"/>
      <c r="C2" s="1958"/>
      <c r="D2" s="1958"/>
      <c r="E2" s="1958"/>
    </row>
    <row r="3" spans="1:5">
      <c r="A3" s="1958" t="str">
        <f>+'MISO Cover'!K4</f>
        <v>For  the 12 Months Ended 12/31/2016</v>
      </c>
      <c r="B3" s="1958"/>
      <c r="C3" s="1958"/>
      <c r="D3" s="1958"/>
      <c r="E3" s="1958"/>
    </row>
    <row r="5" spans="1:5">
      <c r="A5" s="193" t="s">
        <v>279</v>
      </c>
      <c r="B5" s="193" t="s">
        <v>67</v>
      </c>
      <c r="C5" s="193" t="s">
        <v>114</v>
      </c>
      <c r="D5" s="193" t="s">
        <v>1815</v>
      </c>
    </row>
    <row r="6" spans="1:5">
      <c r="A6" s="193">
        <v>1</v>
      </c>
      <c r="B6" s="193" t="s">
        <v>1812</v>
      </c>
      <c r="C6" s="193" t="s">
        <v>1813</v>
      </c>
      <c r="D6" s="193" t="s">
        <v>1814</v>
      </c>
    </row>
    <row r="7" spans="1:5">
      <c r="A7" s="193">
        <v>2</v>
      </c>
      <c r="B7" s="1662">
        <v>0.12379999999999999</v>
      </c>
      <c r="C7">
        <v>271</v>
      </c>
      <c r="D7" s="1663">
        <f>B7*C7/C9</f>
        <v>9.1666120218579228E-2</v>
      </c>
    </row>
    <row r="8" spans="1:5">
      <c r="A8" s="193">
        <v>3</v>
      </c>
      <c r="B8" s="1662">
        <v>0.1082</v>
      </c>
      <c r="C8">
        <v>95</v>
      </c>
      <c r="D8" s="1663">
        <f>B8*C8/C9</f>
        <v>2.8084699453551912E-2</v>
      </c>
    </row>
    <row r="9" spans="1:5">
      <c r="A9" s="193">
        <v>4</v>
      </c>
      <c r="B9" s="1666" t="s">
        <v>113</v>
      </c>
      <c r="C9" s="1664">
        <f>C7+C8</f>
        <v>366</v>
      </c>
      <c r="D9" s="1665">
        <f>D7+D8</f>
        <v>0.11975081967213114</v>
      </c>
    </row>
  </sheetData>
  <mergeCells count="3">
    <mergeCell ref="A1:E1"/>
    <mergeCell ref="A2:E2"/>
    <mergeCell ref="A3:E3"/>
  </mergeCells>
  <pageMargins left="0.7" right="0.7" top="0.75" bottom="0.75" header="0.3" footer="0.3"/>
  <pageSetup orientation="portrait"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179"/>
  <sheetViews>
    <sheetView zoomScaleNormal="100" zoomScaleSheetLayoutView="80" workbookViewId="0">
      <selection sqref="A1:I1"/>
    </sheetView>
  </sheetViews>
  <sheetFormatPr defaultColWidth="9.109375" defaultRowHeight="13.2"/>
  <cols>
    <col min="1" max="1" width="6.44140625" style="42" bestFit="1" customWidth="1"/>
    <col min="2" max="2" width="7.6640625" style="42" customWidth="1"/>
    <col min="3" max="3" width="8.6640625" style="41" customWidth="1"/>
    <col min="4" max="5" width="8.6640625" style="42" customWidth="1"/>
    <col min="6" max="6" width="17.6640625" style="42" customWidth="1"/>
    <col min="7" max="7" width="14.6640625" style="42" customWidth="1"/>
    <col min="8" max="9" width="15.6640625" style="42" customWidth="1"/>
    <col min="10" max="10" width="8.88671875" style="42"/>
    <col min="11" max="12" width="11.6640625" style="42" customWidth="1"/>
    <col min="13" max="13" width="12.44140625" style="42" bestFit="1" customWidth="1"/>
    <col min="14" max="16384" width="9.109375" style="63"/>
  </cols>
  <sheetData>
    <row r="1" spans="1:14">
      <c r="A1" s="1957" t="str">
        <f>+'MISO Cover'!C6</f>
        <v>Entergy Louisiana, LLC</v>
      </c>
      <c r="B1" s="1957"/>
      <c r="C1" s="1957"/>
      <c r="D1" s="1957"/>
      <c r="E1" s="1957"/>
      <c r="F1" s="1957"/>
      <c r="G1" s="1957"/>
      <c r="H1" s="1957"/>
      <c r="I1" s="1957"/>
    </row>
    <row r="2" spans="1:14">
      <c r="A2" s="1958" t="s">
        <v>1078</v>
      </c>
      <c r="B2" s="1958"/>
      <c r="C2" s="1958"/>
      <c r="D2" s="1958"/>
      <c r="E2" s="1958"/>
      <c r="F2" s="1958"/>
      <c r="G2" s="1958"/>
      <c r="H2" s="1958"/>
      <c r="I2" s="1958"/>
    </row>
    <row r="3" spans="1:14" s="78" customFormat="1">
      <c r="A3" s="1958" t="str">
        <f>+'MISO Cover'!K4</f>
        <v>For  the 12 Months Ended 12/31/2016</v>
      </c>
      <c r="B3" s="1958"/>
      <c r="C3" s="1958"/>
      <c r="D3" s="1958"/>
      <c r="E3" s="1958"/>
      <c r="F3" s="1958"/>
      <c r="G3" s="1958"/>
      <c r="H3" s="1958"/>
      <c r="I3" s="1958"/>
      <c r="J3" s="41"/>
      <c r="K3" s="41"/>
      <c r="L3" s="41"/>
      <c r="M3" s="41"/>
    </row>
    <row r="4" spans="1:14">
      <c r="A4" s="1957" t="s">
        <v>424</v>
      </c>
      <c r="B4" s="1957"/>
      <c r="C4" s="1957"/>
      <c r="D4" s="1957"/>
      <c r="E4" s="1957"/>
      <c r="F4" s="1957"/>
      <c r="G4" s="1957"/>
      <c r="H4" s="1957"/>
      <c r="I4" s="1957"/>
    </row>
    <row r="5" spans="1:14">
      <c r="A5" s="746"/>
      <c r="B5" s="746"/>
      <c r="C5" s="746"/>
      <c r="D5" s="746"/>
      <c r="E5" s="746"/>
      <c r="F5" s="746"/>
      <c r="G5" s="746"/>
      <c r="H5" s="746"/>
      <c r="I5" s="746"/>
    </row>
    <row r="6" spans="1:14" s="78" customFormat="1">
      <c r="A6" s="478" t="s">
        <v>323</v>
      </c>
      <c r="B6" s="754" t="s">
        <v>67</v>
      </c>
      <c r="C6" s="754" t="s">
        <v>114</v>
      </c>
      <c r="D6" s="588" t="s">
        <v>55</v>
      </c>
      <c r="E6" s="754" t="s">
        <v>68</v>
      </c>
      <c r="F6" s="589" t="s">
        <v>66</v>
      </c>
      <c r="G6" s="754" t="s">
        <v>154</v>
      </c>
      <c r="H6" s="754" t="s">
        <v>69</v>
      </c>
      <c r="I6" s="590" t="s">
        <v>166</v>
      </c>
      <c r="J6" s="42"/>
      <c r="K6" s="42"/>
      <c r="L6" s="42"/>
      <c r="M6" s="42"/>
      <c r="N6" s="217"/>
    </row>
    <row r="7" spans="1:14" s="78" customFormat="1">
      <c r="A7" s="478"/>
      <c r="B7" s="754"/>
      <c r="C7" s="754"/>
      <c r="D7" s="588"/>
      <c r="E7" s="754"/>
      <c r="F7" s="589"/>
      <c r="G7" s="754"/>
      <c r="H7" s="754"/>
      <c r="I7" s="590"/>
      <c r="J7" s="42"/>
      <c r="K7" s="42"/>
      <c r="L7" s="42"/>
      <c r="M7" s="42"/>
      <c r="N7" s="217"/>
    </row>
    <row r="8" spans="1:14">
      <c r="A8" s="63"/>
      <c r="B8" s="1015" t="s">
        <v>613</v>
      </c>
      <c r="C8" s="952"/>
      <c r="D8" s="952"/>
      <c r="E8" s="952"/>
      <c r="F8" s="746"/>
      <c r="G8" s="746"/>
      <c r="H8" s="746"/>
      <c r="I8" s="746"/>
    </row>
    <row r="9" spans="1:14" ht="15">
      <c r="A9" s="868">
        <v>1</v>
      </c>
      <c r="B9" s="178" t="s">
        <v>1079</v>
      </c>
      <c r="C9" s="1337"/>
      <c r="D9" s="1337"/>
      <c r="E9" s="1337"/>
      <c r="F9" s="1337"/>
      <c r="G9" s="898" t="s">
        <v>146</v>
      </c>
      <c r="H9" s="1960" t="s">
        <v>139</v>
      </c>
      <c r="I9" s="1960"/>
    </row>
    <row r="10" spans="1:14" s="261" customFormat="1" ht="15">
      <c r="A10" s="868">
        <f>+A9+1</f>
        <v>2</v>
      </c>
      <c r="B10" s="897" t="s">
        <v>27</v>
      </c>
      <c r="C10" s="1337"/>
      <c r="D10" s="1337"/>
      <c r="E10" s="1337"/>
      <c r="F10" s="1337"/>
      <c r="G10" s="204">
        <v>17501218.59</v>
      </c>
      <c r="H10" s="699"/>
      <c r="I10" s="699"/>
      <c r="J10" s="42"/>
      <c r="K10" s="42" t="s">
        <v>2016</v>
      </c>
      <c r="L10" s="42"/>
      <c r="M10" s="42"/>
    </row>
    <row r="11" spans="1:14" s="261" customFormat="1" ht="15">
      <c r="A11" s="868">
        <f t="shared" ref="A11:A33" si="0">+A10+1</f>
        <v>3</v>
      </c>
      <c r="B11" s="897" t="s">
        <v>28</v>
      </c>
      <c r="C11" s="1337"/>
      <c r="D11" s="1337"/>
      <c r="E11" s="1337"/>
      <c r="F11" s="1337"/>
      <c r="G11" s="204">
        <v>16123477.91</v>
      </c>
      <c r="H11" s="699"/>
      <c r="I11" s="699"/>
      <c r="J11" s="42"/>
      <c r="K11" s="42"/>
      <c r="L11" s="42"/>
      <c r="M11" s="42"/>
    </row>
    <row r="12" spans="1:14" s="261" customFormat="1" ht="15">
      <c r="A12" s="868">
        <f t="shared" si="0"/>
        <v>4</v>
      </c>
      <c r="B12" s="897" t="s">
        <v>29</v>
      </c>
      <c r="C12" s="1337"/>
      <c r="D12" s="1337"/>
      <c r="E12" s="1337"/>
      <c r="F12" s="1337"/>
      <c r="G12" s="204">
        <v>16785656.219999999</v>
      </c>
      <c r="H12" s="699"/>
      <c r="I12" s="699"/>
      <c r="J12" s="42"/>
      <c r="K12" s="42"/>
      <c r="L12" s="42"/>
      <c r="M12" s="42"/>
    </row>
    <row r="13" spans="1:14" s="261" customFormat="1" ht="15">
      <c r="A13" s="868">
        <f t="shared" si="0"/>
        <v>5</v>
      </c>
      <c r="B13" s="897" t="s">
        <v>30</v>
      </c>
      <c r="C13" s="1337"/>
      <c r="D13" s="1337"/>
      <c r="E13" s="1337"/>
      <c r="F13" s="1337"/>
      <c r="G13" s="204">
        <v>17134308.23</v>
      </c>
      <c r="H13" s="699"/>
      <c r="I13" s="699"/>
      <c r="J13" s="42"/>
      <c r="K13" s="42"/>
      <c r="L13" s="42"/>
      <c r="M13" s="42"/>
    </row>
    <row r="14" spans="1:14" s="261" customFormat="1" ht="15">
      <c r="A14" s="868">
        <f t="shared" si="0"/>
        <v>6</v>
      </c>
      <c r="B14" s="897" t="s">
        <v>26</v>
      </c>
      <c r="C14" s="1337"/>
      <c r="D14" s="1337"/>
      <c r="E14" s="1337"/>
      <c r="F14" s="1337"/>
      <c r="G14" s="204">
        <v>21560389.48</v>
      </c>
      <c r="H14" s="699"/>
      <c r="I14" s="699"/>
      <c r="J14" s="42"/>
      <c r="K14" s="42"/>
      <c r="L14" s="42"/>
      <c r="M14" s="42"/>
    </row>
    <row r="15" spans="1:14" s="261" customFormat="1" ht="15">
      <c r="A15" s="868">
        <f t="shared" si="0"/>
        <v>7</v>
      </c>
      <c r="B15" s="897" t="s">
        <v>31</v>
      </c>
      <c r="C15" s="1337"/>
      <c r="D15" s="1337"/>
      <c r="E15" s="1337"/>
      <c r="F15" s="1337"/>
      <c r="G15" s="204">
        <v>28443637.52</v>
      </c>
      <c r="H15" s="699"/>
      <c r="I15" s="699"/>
      <c r="J15" s="42"/>
      <c r="K15" s="42"/>
      <c r="L15" s="42"/>
      <c r="M15" s="42"/>
    </row>
    <row r="16" spans="1:14" s="261" customFormat="1" ht="15">
      <c r="A16" s="868">
        <f t="shared" si="0"/>
        <v>8</v>
      </c>
      <c r="B16" s="897" t="s">
        <v>32</v>
      </c>
      <c r="C16" s="1337"/>
      <c r="D16" s="1337"/>
      <c r="E16" s="1337"/>
      <c r="F16" s="1337"/>
      <c r="G16" s="204">
        <v>29539825</v>
      </c>
      <c r="H16" s="699"/>
      <c r="I16" s="699"/>
      <c r="J16" s="42"/>
      <c r="K16" s="42"/>
      <c r="L16" s="42"/>
      <c r="M16" s="42"/>
    </row>
    <row r="17" spans="1:13" s="261" customFormat="1" ht="15">
      <c r="A17" s="868">
        <f t="shared" si="0"/>
        <v>9</v>
      </c>
      <c r="B17" s="897" t="s">
        <v>33</v>
      </c>
      <c r="C17" s="1337"/>
      <c r="D17" s="1337"/>
      <c r="E17" s="1337"/>
      <c r="F17" s="1337"/>
      <c r="G17" s="204">
        <v>28802395.149999999</v>
      </c>
      <c r="H17" s="699"/>
      <c r="I17" s="699"/>
      <c r="J17" s="42"/>
      <c r="K17" s="42"/>
      <c r="L17" s="42"/>
      <c r="M17" s="42"/>
    </row>
    <row r="18" spans="1:13" s="261" customFormat="1" ht="15">
      <c r="A18" s="868">
        <f t="shared" si="0"/>
        <v>10</v>
      </c>
      <c r="B18" s="897" t="s">
        <v>34</v>
      </c>
      <c r="C18" s="1337"/>
      <c r="D18" s="1337"/>
      <c r="E18" s="1337"/>
      <c r="F18" s="1337"/>
      <c r="G18" s="204">
        <v>28751509.870000001</v>
      </c>
      <c r="H18" s="699"/>
      <c r="I18" s="699"/>
      <c r="J18" s="42"/>
      <c r="K18" s="42"/>
      <c r="L18" s="42"/>
      <c r="M18" s="42"/>
    </row>
    <row r="19" spans="1:13" s="261" customFormat="1" ht="15">
      <c r="A19" s="868">
        <f t="shared" si="0"/>
        <v>11</v>
      </c>
      <c r="B19" s="897" t="s">
        <v>35</v>
      </c>
      <c r="C19" s="1337"/>
      <c r="D19" s="1337"/>
      <c r="E19" s="1337"/>
      <c r="F19" s="1337"/>
      <c r="G19" s="204">
        <v>25210256.170000002</v>
      </c>
      <c r="H19" s="699"/>
      <c r="I19" s="699"/>
      <c r="J19" s="42"/>
      <c r="K19" s="42"/>
      <c r="L19" s="42"/>
      <c r="M19" s="42"/>
    </row>
    <row r="20" spans="1:13" s="261" customFormat="1" ht="15">
      <c r="A20" s="868">
        <f t="shared" si="0"/>
        <v>12</v>
      </c>
      <c r="B20" s="897" t="s">
        <v>36</v>
      </c>
      <c r="C20" s="1337"/>
      <c r="D20" s="1337"/>
      <c r="E20" s="1337"/>
      <c r="F20" s="1337"/>
      <c r="G20" s="204">
        <v>20819128.050000001</v>
      </c>
      <c r="H20" s="699"/>
      <c r="I20" s="699"/>
      <c r="J20" s="42"/>
      <c r="K20" s="42"/>
      <c r="L20" s="42"/>
      <c r="M20" s="42"/>
    </row>
    <row r="21" spans="1:13" s="261" customFormat="1" ht="15">
      <c r="A21" s="868">
        <f t="shared" si="0"/>
        <v>13</v>
      </c>
      <c r="B21" s="897" t="s">
        <v>37</v>
      </c>
      <c r="C21" s="1337"/>
      <c r="D21" s="1337"/>
      <c r="E21" s="1337"/>
      <c r="F21" s="1337"/>
      <c r="G21" s="257">
        <v>23297885.640000001</v>
      </c>
      <c r="H21" s="699"/>
      <c r="I21" s="699"/>
      <c r="J21" s="42"/>
      <c r="K21" s="42"/>
      <c r="L21" s="42"/>
      <c r="M21" s="42"/>
    </row>
    <row r="22" spans="1:13" s="261" customFormat="1">
      <c r="A22" s="868">
        <f t="shared" si="0"/>
        <v>14</v>
      </c>
      <c r="B22" s="178" t="s">
        <v>1080</v>
      </c>
      <c r="D22" s="178"/>
      <c r="E22" s="178"/>
      <c r="G22" s="153">
        <f>SUM(G10:G21)</f>
        <v>273969687.82999998</v>
      </c>
      <c r="H22" s="178" t="str">
        <f>+"Sum (Line "&amp;A10&amp;" to "&amp;A21&amp;")"</f>
        <v>Sum (Line 2 to 13)</v>
      </c>
      <c r="J22" s="42"/>
      <c r="K22" s="42"/>
      <c r="L22" s="42"/>
      <c r="M22" s="42"/>
    </row>
    <row r="23" spans="1:13" s="261" customFormat="1">
      <c r="A23" s="868">
        <f t="shared" si="0"/>
        <v>15</v>
      </c>
      <c r="B23" s="178" t="s">
        <v>551</v>
      </c>
      <c r="D23" s="178"/>
      <c r="E23" s="178"/>
      <c r="G23" s="262">
        <f>+'WP17 Rev'!E64</f>
        <v>67238687.344148561</v>
      </c>
      <c r="H23" s="178" t="str">
        <f>+"WP17 Line "&amp;'WP17 Rev'!A64&amp;" Column "&amp;'WP17 Rev'!E5</f>
        <v>WP17 Line 8 Column D</v>
      </c>
      <c r="J23" s="42"/>
      <c r="K23" s="42" t="s">
        <v>2017</v>
      </c>
      <c r="L23" s="42"/>
      <c r="M23" s="42"/>
    </row>
    <row r="24" spans="1:13" s="261" customFormat="1" ht="13.2" customHeight="1">
      <c r="A24" s="868">
        <f t="shared" si="0"/>
        <v>16</v>
      </c>
      <c r="B24" s="1962" t="s">
        <v>1097</v>
      </c>
      <c r="C24" s="1962"/>
      <c r="D24" s="1962"/>
      <c r="E24" s="1962"/>
      <c r="F24" s="1962"/>
      <c r="G24" s="257">
        <f>-'WP01 TU Support'!G69</f>
        <v>25031075.018537275</v>
      </c>
      <c r="H24" s="1731"/>
      <c r="I24" s="1447"/>
      <c r="J24" s="42"/>
      <c r="K24" s="42" t="s">
        <v>1884</v>
      </c>
      <c r="L24" s="42"/>
      <c r="M24" s="42"/>
    </row>
    <row r="25" spans="1:13" s="261" customFormat="1">
      <c r="A25" s="868">
        <f t="shared" si="0"/>
        <v>17</v>
      </c>
      <c r="B25" s="261" t="s">
        <v>1098</v>
      </c>
      <c r="D25" s="179"/>
      <c r="E25" s="179"/>
      <c r="F25" s="41"/>
      <c r="G25" s="1449">
        <f>+G22+G23-G24</f>
        <v>316177300.15561128</v>
      </c>
      <c r="H25" s="1412" t="str">
        <f>+"Sum (Line "&amp;A22&amp;" + "&amp;A23&amp;" - "&amp;A24&amp;")"</f>
        <v>Sum (Line 14 + 15 - 16)</v>
      </c>
      <c r="I25" s="1447"/>
      <c r="J25" s="42"/>
      <c r="K25" s="42"/>
      <c r="L25" s="42"/>
      <c r="M25" s="42"/>
    </row>
    <row r="26" spans="1:13" s="261" customFormat="1">
      <c r="A26" s="868">
        <f t="shared" si="0"/>
        <v>18</v>
      </c>
      <c r="B26" s="1014"/>
      <c r="C26" s="1447"/>
      <c r="D26" s="179"/>
      <c r="E26" s="178"/>
      <c r="F26" s="41"/>
      <c r="G26" s="41"/>
      <c r="H26" s="42"/>
      <c r="I26" s="1447"/>
      <c r="J26" s="42"/>
      <c r="K26" s="42"/>
      <c r="L26" s="42"/>
      <c r="M26" s="42"/>
    </row>
    <row r="27" spans="1:13" s="261" customFormat="1">
      <c r="A27" s="868">
        <f t="shared" si="0"/>
        <v>19</v>
      </c>
      <c r="B27" s="41" t="s">
        <v>1099</v>
      </c>
      <c r="D27" s="41"/>
      <c r="E27" s="41"/>
      <c r="F27" s="41"/>
      <c r="G27" s="77">
        <f>+'Appendix A'!G289</f>
        <v>304171614.47617382</v>
      </c>
      <c r="H27" s="1412" t="s">
        <v>1088</v>
      </c>
      <c r="I27" s="1447"/>
      <c r="J27" s="42"/>
      <c r="K27" s="42"/>
      <c r="L27" s="42"/>
      <c r="M27" s="42"/>
    </row>
    <row r="28" spans="1:13" s="261" customFormat="1" ht="15">
      <c r="A28" s="868">
        <f t="shared" si="0"/>
        <v>20</v>
      </c>
      <c r="B28" s="41"/>
      <c r="D28" s="1447"/>
      <c r="E28" s="1447"/>
      <c r="F28" s="1447"/>
      <c r="G28" s="479"/>
      <c r="H28" s="1412"/>
      <c r="I28" s="1447"/>
      <c r="J28" s="42"/>
      <c r="K28" s="42"/>
      <c r="L28" s="42"/>
      <c r="M28" s="42"/>
    </row>
    <row r="29" spans="1:13" s="261" customFormat="1">
      <c r="A29" s="868">
        <f t="shared" si="0"/>
        <v>21</v>
      </c>
      <c r="B29" s="41" t="s">
        <v>924</v>
      </c>
      <c r="D29" s="41"/>
      <c r="E29" s="41"/>
      <c r="F29" s="41"/>
      <c r="G29" s="249">
        <f>+G27-G25</f>
        <v>-12005685.679437459</v>
      </c>
      <c r="H29" s="1412" t="str">
        <f>+"Line "&amp;A27&amp;" - Line "&amp;A25</f>
        <v>Line 19 - Line 17</v>
      </c>
      <c r="I29" s="1447"/>
      <c r="J29" s="42"/>
      <c r="K29" s="42"/>
      <c r="L29" s="42"/>
      <c r="M29" s="42"/>
    </row>
    <row r="30" spans="1:13" s="261" customFormat="1">
      <c r="A30" s="1412">
        <f t="shared" si="0"/>
        <v>22</v>
      </c>
      <c r="B30" s="41"/>
      <c r="D30" s="41"/>
      <c r="E30" s="41"/>
      <c r="F30" s="41"/>
      <c r="G30" s="249"/>
      <c r="H30" s="1412"/>
      <c r="I30" s="1447"/>
      <c r="J30" s="42"/>
      <c r="K30" s="42"/>
      <c r="L30" s="42"/>
      <c r="M30" s="42"/>
    </row>
    <row r="31" spans="1:13" s="261" customFormat="1">
      <c r="A31" s="1412">
        <f t="shared" si="0"/>
        <v>23</v>
      </c>
      <c r="B31" s="41" t="s">
        <v>925</v>
      </c>
      <c r="D31" s="41"/>
      <c r="E31" s="41"/>
      <c r="F31" s="41"/>
      <c r="G31" s="257"/>
      <c r="H31" s="1412" t="s">
        <v>549</v>
      </c>
      <c r="I31" s="1447"/>
      <c r="J31" s="42"/>
      <c r="K31" s="42"/>
      <c r="L31" s="42"/>
      <c r="M31" s="42"/>
    </row>
    <row r="32" spans="1:13" s="261" customFormat="1">
      <c r="A32" s="1412">
        <f t="shared" si="0"/>
        <v>24</v>
      </c>
      <c r="B32" s="41"/>
      <c r="D32" s="41"/>
      <c r="E32" s="41"/>
      <c r="F32" s="41"/>
      <c r="G32" s="77"/>
      <c r="H32" s="1412"/>
      <c r="I32" s="1447"/>
      <c r="J32" s="42"/>
      <c r="K32" s="42"/>
      <c r="L32" s="42"/>
      <c r="M32" s="42"/>
    </row>
    <row r="33" spans="1:13" s="261" customFormat="1">
      <c r="A33" s="1412">
        <f t="shared" si="0"/>
        <v>25</v>
      </c>
      <c r="B33" s="1412" t="s">
        <v>1100</v>
      </c>
      <c r="C33" s="1447"/>
      <c r="D33" s="179"/>
      <c r="E33" s="178"/>
      <c r="F33" s="41"/>
      <c r="G33" s="41"/>
      <c r="H33" s="42"/>
      <c r="I33" s="1447"/>
      <c r="J33" s="42"/>
      <c r="K33" s="42"/>
      <c r="L33" s="42"/>
      <c r="M33" s="42"/>
    </row>
    <row r="34" spans="1:13" s="261" customFormat="1">
      <c r="A34" s="1412"/>
      <c r="B34" s="1014"/>
      <c r="C34" s="1447"/>
      <c r="D34" s="179"/>
      <c r="E34" s="178"/>
      <c r="F34" s="41"/>
      <c r="G34" s="41"/>
      <c r="H34" s="42"/>
      <c r="I34" s="1447"/>
      <c r="J34" s="42"/>
      <c r="K34" s="42"/>
      <c r="L34" s="42"/>
      <c r="M34" s="42"/>
    </row>
    <row r="35" spans="1:13" s="261" customFormat="1" ht="54" customHeight="1">
      <c r="A35" s="1412"/>
      <c r="B35" s="1123" t="s">
        <v>425</v>
      </c>
      <c r="C35" s="613" t="s">
        <v>426</v>
      </c>
      <c r="D35" s="613" t="s">
        <v>283</v>
      </c>
      <c r="E35" s="613" t="s">
        <v>946</v>
      </c>
      <c r="F35" s="613" t="s">
        <v>868</v>
      </c>
      <c r="G35" s="613" t="s">
        <v>451</v>
      </c>
      <c r="H35" s="613" t="s">
        <v>427</v>
      </c>
      <c r="I35" s="613" t="s">
        <v>428</v>
      </c>
      <c r="J35" s="42"/>
      <c r="K35" s="42"/>
      <c r="L35" s="42"/>
      <c r="M35" s="42"/>
    </row>
    <row r="36" spans="1:13" s="261" customFormat="1" ht="15" customHeight="1">
      <c r="A36" s="1412">
        <f>+A33+1</f>
        <v>26</v>
      </c>
      <c r="B36" s="1146" t="s">
        <v>67</v>
      </c>
      <c r="C36" s="569" t="s">
        <v>114</v>
      </c>
      <c r="D36" s="569" t="s">
        <v>852</v>
      </c>
      <c r="E36" s="569" t="s">
        <v>853</v>
      </c>
      <c r="F36" s="569" t="s">
        <v>854</v>
      </c>
      <c r="G36" s="1489" t="s">
        <v>1105</v>
      </c>
      <c r="H36" s="1489" t="s">
        <v>1106</v>
      </c>
      <c r="I36" s="569" t="s">
        <v>166</v>
      </c>
      <c r="J36" s="42"/>
      <c r="K36" s="42"/>
      <c r="L36" s="42"/>
      <c r="M36" s="42"/>
    </row>
    <row r="37" spans="1:13" s="261" customFormat="1" ht="15">
      <c r="A37" s="866">
        <f>+A36+0.01</f>
        <v>26.01</v>
      </c>
      <c r="B37" s="41"/>
      <c r="C37" s="1732">
        <v>42370</v>
      </c>
      <c r="D37" s="1733">
        <v>3.2500000000000001E-2</v>
      </c>
      <c r="E37" s="481">
        <f t="shared" ref="E37:E65" si="1">D37/12</f>
        <v>2.7083333333333334E-3</v>
      </c>
      <c r="F37" s="841">
        <f t="shared" ref="F37:F64" si="2">H37*E37</f>
        <v>-2709.6165595952598</v>
      </c>
      <c r="G37" s="1678">
        <f>+G$29/12</f>
        <v>-1000473.8066197882</v>
      </c>
      <c r="H37" s="1450">
        <f>IF((B37=1),G37,G37)</f>
        <v>-1000473.8066197882</v>
      </c>
      <c r="I37" s="841">
        <f>F37+G37</f>
        <v>-1003183.4231793834</v>
      </c>
      <c r="J37" s="42"/>
      <c r="K37" s="42" t="s">
        <v>2018</v>
      </c>
      <c r="L37" s="1842"/>
      <c r="M37" s="1692"/>
    </row>
    <row r="38" spans="1:13" s="261" customFormat="1">
      <c r="A38" s="866">
        <f t="shared" ref="A38:A65" si="3">+A37+0.01</f>
        <v>26.020000000000003</v>
      </c>
      <c r="B38" s="41"/>
      <c r="C38" s="1732">
        <v>42401</v>
      </c>
      <c r="D38" s="1733">
        <v>3.2500000000000001E-2</v>
      </c>
      <c r="E38" s="481">
        <f t="shared" si="1"/>
        <v>2.7083333333333334E-3</v>
      </c>
      <c r="F38" s="841">
        <f t="shared" si="2"/>
        <v>-5419.2331191905196</v>
      </c>
      <c r="G38" s="1678">
        <f t="shared" ref="G38:G48" si="4">+G$29/12</f>
        <v>-1000473.8066197882</v>
      </c>
      <c r="H38" s="1450">
        <f t="shared" ref="H38:H64" si="5">IF((B38=1),I37+G38,+H37+G38)</f>
        <v>-2000947.6132395763</v>
      </c>
      <c r="I38" s="841">
        <f>I37+F38+G38</f>
        <v>-2009076.4629183621</v>
      </c>
      <c r="J38" s="42"/>
    </row>
    <row r="39" spans="1:13" s="261" customFormat="1">
      <c r="A39" s="866">
        <f t="shared" si="3"/>
        <v>26.030000000000005</v>
      </c>
      <c r="B39" s="41"/>
      <c r="C39" s="1732">
        <v>42430</v>
      </c>
      <c r="D39" s="1733">
        <v>3.2500000000000001E-2</v>
      </c>
      <c r="E39" s="481">
        <f t="shared" si="1"/>
        <v>2.7083333333333334E-3</v>
      </c>
      <c r="F39" s="841">
        <f t="shared" si="2"/>
        <v>-8128.8496787857794</v>
      </c>
      <c r="G39" s="1678">
        <f t="shared" si="4"/>
        <v>-1000473.8066197882</v>
      </c>
      <c r="H39" s="1450">
        <f t="shared" si="5"/>
        <v>-3001421.4198593646</v>
      </c>
      <c r="I39" s="841">
        <f t="shared" ref="I39:I65" si="6">I38+F39+G39</f>
        <v>-3017679.1192169362</v>
      </c>
      <c r="J39" s="42"/>
    </row>
    <row r="40" spans="1:13" s="261" customFormat="1">
      <c r="A40" s="866">
        <f t="shared" si="3"/>
        <v>26.040000000000006</v>
      </c>
      <c r="B40" s="41">
        <v>1</v>
      </c>
      <c r="C40" s="1732">
        <v>42461</v>
      </c>
      <c r="D40" s="1733">
        <v>3.4599999999999999E-2</v>
      </c>
      <c r="E40" s="481">
        <f t="shared" si="1"/>
        <v>2.8833333333333332E-3</v>
      </c>
      <c r="F40" s="841">
        <f t="shared" si="2"/>
        <v>-11585.674269495888</v>
      </c>
      <c r="G40" s="1678">
        <f t="shared" si="4"/>
        <v>-1000473.8066197882</v>
      </c>
      <c r="H40" s="1450">
        <f t="shared" si="5"/>
        <v>-4018152.9258367242</v>
      </c>
      <c r="I40" s="841">
        <f t="shared" si="6"/>
        <v>-4029738.6001062202</v>
      </c>
      <c r="J40" s="42"/>
    </row>
    <row r="41" spans="1:13" s="261" customFormat="1">
      <c r="A41" s="866">
        <f t="shared" si="3"/>
        <v>26.050000000000008</v>
      </c>
      <c r="B41" s="41"/>
      <c r="C41" s="1732">
        <v>42491</v>
      </c>
      <c r="D41" s="1733">
        <v>3.4599999999999999E-2</v>
      </c>
      <c r="E41" s="481">
        <f t="shared" si="1"/>
        <v>2.8833333333333332E-3</v>
      </c>
      <c r="F41" s="841">
        <f t="shared" si="2"/>
        <v>-14470.373745249612</v>
      </c>
      <c r="G41" s="1678">
        <f t="shared" si="4"/>
        <v>-1000473.8066197882</v>
      </c>
      <c r="H41" s="1450">
        <f t="shared" si="5"/>
        <v>-5018626.7324565127</v>
      </c>
      <c r="I41" s="841">
        <f t="shared" si="6"/>
        <v>-5044682.7804712579</v>
      </c>
      <c r="J41" s="42"/>
      <c r="K41" s="249"/>
      <c r="L41" s="77"/>
      <c r="M41" s="249"/>
    </row>
    <row r="42" spans="1:13" s="261" customFormat="1">
      <c r="A42" s="866">
        <f t="shared" si="3"/>
        <v>26.060000000000009</v>
      </c>
      <c r="B42" s="41"/>
      <c r="C42" s="1732">
        <v>42522</v>
      </c>
      <c r="D42" s="1733">
        <v>3.4599999999999999E-2</v>
      </c>
      <c r="E42" s="481">
        <f t="shared" si="1"/>
        <v>2.8833333333333332E-3</v>
      </c>
      <c r="F42" s="841">
        <f t="shared" si="2"/>
        <v>-17355.073221003335</v>
      </c>
      <c r="G42" s="1678">
        <f t="shared" si="4"/>
        <v>-1000473.8066197882</v>
      </c>
      <c r="H42" s="1450">
        <f t="shared" si="5"/>
        <v>-6019100.5390763013</v>
      </c>
      <c r="I42" s="841">
        <f t="shared" si="6"/>
        <v>-6062511.66031205</v>
      </c>
      <c r="J42" s="42"/>
      <c r="K42" s="249"/>
      <c r="L42" s="77"/>
      <c r="M42" s="249"/>
    </row>
    <row r="43" spans="1:13" s="261" customFormat="1">
      <c r="A43" s="866">
        <f t="shared" si="3"/>
        <v>26.070000000000011</v>
      </c>
      <c r="B43" s="41">
        <v>1</v>
      </c>
      <c r="C43" s="1732">
        <v>42552</v>
      </c>
      <c r="D43" s="1733">
        <v>3.5000000000000003E-2</v>
      </c>
      <c r="E43" s="481">
        <f t="shared" si="1"/>
        <v>2.9166666666666668E-3</v>
      </c>
      <c r="F43" s="841">
        <f t="shared" si="2"/>
        <v>-20600.374278551197</v>
      </c>
      <c r="G43" s="1678">
        <f t="shared" si="4"/>
        <v>-1000473.8066197882</v>
      </c>
      <c r="H43" s="1450">
        <f t="shared" si="5"/>
        <v>-7062985.4669318385</v>
      </c>
      <c r="I43" s="841">
        <f t="shared" si="6"/>
        <v>-7083585.8412103895</v>
      </c>
      <c r="J43" s="42"/>
      <c r="K43" s="249"/>
      <c r="L43" s="77"/>
      <c r="M43" s="249"/>
    </row>
    <row r="44" spans="1:13" s="261" customFormat="1">
      <c r="A44" s="866">
        <f t="shared" si="3"/>
        <v>26.080000000000013</v>
      </c>
      <c r="B44" s="41"/>
      <c r="C44" s="1732">
        <v>42583</v>
      </c>
      <c r="D44" s="1733">
        <v>3.5000000000000003E-2</v>
      </c>
      <c r="E44" s="481">
        <f t="shared" si="1"/>
        <v>2.9166666666666668E-3</v>
      </c>
      <c r="F44" s="841">
        <f t="shared" si="2"/>
        <v>-23518.422881192248</v>
      </c>
      <c r="G44" s="1678">
        <f t="shared" si="4"/>
        <v>-1000473.8066197882</v>
      </c>
      <c r="H44" s="1450">
        <f t="shared" si="5"/>
        <v>-8063459.2735516271</v>
      </c>
      <c r="I44" s="841">
        <f t="shared" si="6"/>
        <v>-8107578.0707113706</v>
      </c>
      <c r="J44" s="42"/>
      <c r="K44" s="249"/>
      <c r="L44" s="77"/>
      <c r="M44" s="249"/>
    </row>
    <row r="45" spans="1:13" s="261" customFormat="1">
      <c r="A45" s="866">
        <f t="shared" si="3"/>
        <v>26.090000000000014</v>
      </c>
      <c r="B45" s="41"/>
      <c r="C45" s="1732">
        <v>42614</v>
      </c>
      <c r="D45" s="1733">
        <v>3.5000000000000003E-2</v>
      </c>
      <c r="E45" s="481">
        <f t="shared" si="1"/>
        <v>2.9166666666666668E-3</v>
      </c>
      <c r="F45" s="841">
        <f t="shared" si="2"/>
        <v>-26436.471483833298</v>
      </c>
      <c r="G45" s="1678">
        <f t="shared" si="4"/>
        <v>-1000473.8066197882</v>
      </c>
      <c r="H45" s="1450">
        <f t="shared" si="5"/>
        <v>-9063933.0801714156</v>
      </c>
      <c r="I45" s="841">
        <f t="shared" si="6"/>
        <v>-9134488.3488149922</v>
      </c>
      <c r="J45" s="42"/>
      <c r="K45" s="249"/>
      <c r="L45" s="77"/>
      <c r="M45" s="249"/>
    </row>
    <row r="46" spans="1:13" s="261" customFormat="1">
      <c r="A46" s="866">
        <f t="shared" si="3"/>
        <v>26.100000000000016</v>
      </c>
      <c r="B46" s="41">
        <v>1</v>
      </c>
      <c r="C46" s="1732">
        <v>42644</v>
      </c>
      <c r="D46" s="1733">
        <v>3.5000000000000003E-2</v>
      </c>
      <c r="E46" s="481">
        <f t="shared" si="1"/>
        <v>2.9166666666666668E-3</v>
      </c>
      <c r="F46" s="841">
        <f t="shared" si="2"/>
        <v>-29560.306286684776</v>
      </c>
      <c r="G46" s="1678">
        <f t="shared" si="4"/>
        <v>-1000473.8066197882</v>
      </c>
      <c r="H46" s="1450">
        <f t="shared" si="5"/>
        <v>-10134962.15543478</v>
      </c>
      <c r="I46" s="841">
        <f t="shared" si="6"/>
        <v>-10164522.461721465</v>
      </c>
      <c r="J46" s="42"/>
      <c r="K46" s="249"/>
      <c r="L46" s="77"/>
      <c r="M46" s="249"/>
    </row>
    <row r="47" spans="1:13" s="261" customFormat="1">
      <c r="A47" s="866">
        <f t="shared" si="3"/>
        <v>26.110000000000017</v>
      </c>
      <c r="B47" s="41"/>
      <c r="C47" s="1732">
        <v>42675</v>
      </c>
      <c r="D47" s="1733">
        <v>3.5000000000000003E-2</v>
      </c>
      <c r="E47" s="481">
        <f t="shared" si="1"/>
        <v>2.9166666666666668E-3</v>
      </c>
      <c r="F47" s="841">
        <f t="shared" si="2"/>
        <v>-32478.354889325823</v>
      </c>
      <c r="G47" s="1678">
        <f t="shared" si="4"/>
        <v>-1000473.8066197882</v>
      </c>
      <c r="H47" s="1450">
        <f t="shared" si="5"/>
        <v>-11135435.962054567</v>
      </c>
      <c r="I47" s="841">
        <f t="shared" si="6"/>
        <v>-11197474.623230578</v>
      </c>
      <c r="J47" s="42"/>
      <c r="K47" s="249"/>
      <c r="L47" s="77"/>
      <c r="M47" s="249"/>
    </row>
    <row r="48" spans="1:13" s="261" customFormat="1">
      <c r="A48" s="866">
        <f t="shared" si="3"/>
        <v>26.120000000000019</v>
      </c>
      <c r="B48" s="41"/>
      <c r="C48" s="1732">
        <v>42705</v>
      </c>
      <c r="D48" s="1733">
        <v>3.5000000000000003E-2</v>
      </c>
      <c r="E48" s="481">
        <f t="shared" si="1"/>
        <v>2.9166666666666668E-3</v>
      </c>
      <c r="F48" s="841">
        <f t="shared" si="2"/>
        <v>-35396.40349196687</v>
      </c>
      <c r="G48" s="1678">
        <f t="shared" si="4"/>
        <v>-1000473.8066197882</v>
      </c>
      <c r="H48" s="1450">
        <f t="shared" si="5"/>
        <v>-12135909.768674355</v>
      </c>
      <c r="I48" s="841">
        <f t="shared" si="6"/>
        <v>-12233344.833342332</v>
      </c>
      <c r="J48" s="42"/>
      <c r="K48" s="249"/>
      <c r="L48" s="77"/>
      <c r="M48" s="249"/>
    </row>
    <row r="49" spans="1:13" s="261" customFormat="1" ht="15">
      <c r="A49" s="866">
        <f t="shared" si="3"/>
        <v>26.13000000000002</v>
      </c>
      <c r="B49" s="41">
        <v>1</v>
      </c>
      <c r="C49" s="1732">
        <v>42736</v>
      </c>
      <c r="D49" s="1733">
        <v>3.5000000000000003E-2</v>
      </c>
      <c r="E49" s="481">
        <f t="shared" si="1"/>
        <v>2.9166666666666668E-3</v>
      </c>
      <c r="F49" s="841">
        <f t="shared" si="2"/>
        <v>-35680.58909724847</v>
      </c>
      <c r="G49" s="1678"/>
      <c r="H49" s="1450">
        <f t="shared" si="5"/>
        <v>-12233344.833342332</v>
      </c>
      <c r="I49" s="841">
        <f t="shared" si="6"/>
        <v>-12269025.422439581</v>
      </c>
      <c r="J49" s="42"/>
      <c r="K49" s="1860"/>
      <c r="L49" s="476"/>
      <c r="M49" s="1860"/>
    </row>
    <row r="50" spans="1:13" s="261" customFormat="1">
      <c r="A50" s="866">
        <f t="shared" si="3"/>
        <v>26.140000000000022</v>
      </c>
      <c r="B50" s="83"/>
      <c r="C50" s="1732">
        <v>42767</v>
      </c>
      <c r="D50" s="1733">
        <v>3.5000000000000003E-2</v>
      </c>
      <c r="E50" s="481">
        <f t="shared" si="1"/>
        <v>2.9166666666666668E-3</v>
      </c>
      <c r="F50" s="841">
        <f t="shared" si="2"/>
        <v>-35680.58909724847</v>
      </c>
      <c r="G50" s="1678"/>
      <c r="H50" s="1450">
        <f t="shared" si="5"/>
        <v>-12233344.833342332</v>
      </c>
      <c r="I50" s="841">
        <f t="shared" si="6"/>
        <v>-12304706.011536829</v>
      </c>
      <c r="J50" s="42"/>
      <c r="K50" s="249"/>
      <c r="L50" s="249"/>
      <c r="M50" s="42"/>
    </row>
    <row r="51" spans="1:13" s="261" customFormat="1">
      <c r="A51" s="866">
        <f t="shared" si="3"/>
        <v>26.150000000000023</v>
      </c>
      <c r="B51" s="488"/>
      <c r="C51" s="1732">
        <v>42795</v>
      </c>
      <c r="D51" s="1733">
        <v>3.5000000000000003E-2</v>
      </c>
      <c r="E51" s="481">
        <f t="shared" si="1"/>
        <v>2.9166666666666668E-3</v>
      </c>
      <c r="F51" s="841">
        <f t="shared" si="2"/>
        <v>-35680.58909724847</v>
      </c>
      <c r="G51" s="1678"/>
      <c r="H51" s="1450">
        <f t="shared" si="5"/>
        <v>-12233344.833342332</v>
      </c>
      <c r="I51" s="841">
        <f t="shared" si="6"/>
        <v>-12340386.600634078</v>
      </c>
      <c r="J51" s="42"/>
      <c r="K51" s="42"/>
      <c r="L51" s="42"/>
      <c r="M51" s="42"/>
    </row>
    <row r="52" spans="1:13" s="261" customFormat="1">
      <c r="A52" s="866">
        <f t="shared" si="3"/>
        <v>26.160000000000025</v>
      </c>
      <c r="B52" s="41">
        <v>1</v>
      </c>
      <c r="C52" s="1732">
        <v>42826</v>
      </c>
      <c r="D52" s="1733">
        <v>3.7100000000000001E-2</v>
      </c>
      <c r="E52" s="481">
        <f t="shared" si="1"/>
        <v>3.0916666666666666E-3</v>
      </c>
      <c r="F52" s="841">
        <f t="shared" si="2"/>
        <v>-38152.361906960359</v>
      </c>
      <c r="G52" s="1678"/>
      <c r="H52" s="1450">
        <f t="shared" si="5"/>
        <v>-12340386.600634078</v>
      </c>
      <c r="I52" s="841">
        <f t="shared" si="6"/>
        <v>-12378538.962541038</v>
      </c>
      <c r="J52" s="42"/>
      <c r="K52" s="42"/>
      <c r="L52" s="42"/>
      <c r="M52" s="42"/>
    </row>
    <row r="53" spans="1:13" s="261" customFormat="1">
      <c r="A53" s="866">
        <f t="shared" si="3"/>
        <v>26.170000000000027</v>
      </c>
      <c r="B53" s="488"/>
      <c r="C53" s="1732">
        <v>42856</v>
      </c>
      <c r="D53" s="1733">
        <v>3.7100000000000001E-2</v>
      </c>
      <c r="E53" s="481">
        <f t="shared" si="1"/>
        <v>3.0916666666666666E-3</v>
      </c>
      <c r="F53" s="841">
        <f t="shared" si="2"/>
        <v>-38152.361906960359</v>
      </c>
      <c r="G53" s="1678"/>
      <c r="H53" s="1450">
        <f t="shared" si="5"/>
        <v>-12340386.600634078</v>
      </c>
      <c r="I53" s="841">
        <f t="shared" si="6"/>
        <v>-12416691.324447999</v>
      </c>
      <c r="J53" s="42"/>
      <c r="K53" s="41"/>
      <c r="L53" s="41"/>
      <c r="M53" s="41"/>
    </row>
    <row r="54" spans="1:13" s="261" customFormat="1">
      <c r="A54" s="866">
        <f t="shared" si="3"/>
        <v>26.180000000000028</v>
      </c>
      <c r="B54" s="488"/>
      <c r="C54" s="1732">
        <v>42887</v>
      </c>
      <c r="D54" s="1733">
        <v>3.7100000000000001E-2</v>
      </c>
      <c r="E54" s="481">
        <f t="shared" si="1"/>
        <v>3.0916666666666666E-3</v>
      </c>
      <c r="F54" s="841">
        <f t="shared" si="2"/>
        <v>-34898.962387064705</v>
      </c>
      <c r="G54" s="1277">
        <v>1052312.5131737953</v>
      </c>
      <c r="H54" s="1450">
        <f>IF((B54=1),I53+G54,+H53+G54)</f>
        <v>-11288074.087460283</v>
      </c>
      <c r="I54" s="841">
        <f>I53+F54+G54</f>
        <v>-11399277.773661267</v>
      </c>
      <c r="J54" s="42"/>
      <c r="K54" s="42"/>
      <c r="L54" s="41"/>
      <c r="M54" s="41"/>
    </row>
    <row r="55" spans="1:13" s="261" customFormat="1">
      <c r="A55" s="866">
        <f t="shared" si="3"/>
        <v>26.19000000000003</v>
      </c>
      <c r="B55" s="41">
        <v>1</v>
      </c>
      <c r="C55" s="1732">
        <v>42917</v>
      </c>
      <c r="D55" s="1733">
        <v>3.7100000000000001E-2</v>
      </c>
      <c r="E55" s="481">
        <f t="shared" si="1"/>
        <v>3.0916666666666666E-3</v>
      </c>
      <c r="F55" s="841">
        <f t="shared" si="2"/>
        <v>-31989.367597007098</v>
      </c>
      <c r="G55" s="1678">
        <f>+G54</f>
        <v>1052312.5131737953</v>
      </c>
      <c r="H55" s="1450">
        <f t="shared" si="5"/>
        <v>-10346965.260487471</v>
      </c>
      <c r="I55" s="841">
        <f t="shared" si="6"/>
        <v>-10378954.628084477</v>
      </c>
      <c r="J55" s="42"/>
      <c r="K55" s="41"/>
      <c r="L55" s="41"/>
      <c r="M55" s="41"/>
    </row>
    <row r="56" spans="1:13" s="261" customFormat="1">
      <c r="A56" s="866">
        <f t="shared" si="3"/>
        <v>26.200000000000031</v>
      </c>
      <c r="B56" s="42"/>
      <c r="C56" s="1732">
        <v>42948</v>
      </c>
      <c r="D56" s="1733">
        <v>3.7100000000000001E-2</v>
      </c>
      <c r="E56" s="481">
        <f t="shared" si="1"/>
        <v>3.0916666666666666E-3</v>
      </c>
      <c r="F56" s="841">
        <f t="shared" si="2"/>
        <v>-28735.968077111444</v>
      </c>
      <c r="G56" s="1678">
        <f>+G55</f>
        <v>1052312.5131737953</v>
      </c>
      <c r="H56" s="1450">
        <f t="shared" si="5"/>
        <v>-9294652.7473136745</v>
      </c>
      <c r="I56" s="841">
        <f t="shared" si="6"/>
        <v>-9355378.0829877928</v>
      </c>
      <c r="J56" s="42"/>
      <c r="K56" s="41"/>
      <c r="L56" s="41"/>
      <c r="M56" s="41"/>
    </row>
    <row r="57" spans="1:13" s="261" customFormat="1">
      <c r="A57" s="866">
        <f t="shared" si="3"/>
        <v>26.210000000000033</v>
      </c>
      <c r="B57" s="42"/>
      <c r="C57" s="1732">
        <v>42979</v>
      </c>
      <c r="D57" s="1733">
        <v>3.7100000000000001E-2</v>
      </c>
      <c r="E57" s="481">
        <f t="shared" si="1"/>
        <v>3.0916666666666666E-3</v>
      </c>
      <c r="F57" s="841">
        <f t="shared" si="2"/>
        <v>-25482.568557215793</v>
      </c>
      <c r="G57" s="1678">
        <f t="shared" ref="G57:G65" si="7">+G56</f>
        <v>1052312.5131737953</v>
      </c>
      <c r="H57" s="1450">
        <f t="shared" si="5"/>
        <v>-8242340.2341398792</v>
      </c>
      <c r="I57" s="841">
        <f t="shared" si="6"/>
        <v>-8328548.1383712133</v>
      </c>
      <c r="J57" s="42"/>
      <c r="K57" s="41"/>
      <c r="L57" s="41"/>
      <c r="M57" s="41"/>
    </row>
    <row r="58" spans="1:13" s="261" customFormat="1">
      <c r="A58" s="866">
        <f t="shared" si="3"/>
        <v>26.220000000000034</v>
      </c>
      <c r="B58" s="41">
        <v>1</v>
      </c>
      <c r="C58" s="1732">
        <v>43009</v>
      </c>
      <c r="D58" s="1733">
        <v>3.7100000000000001E-2</v>
      </c>
      <c r="E58" s="481">
        <f t="shared" si="1"/>
        <v>3.0916666666666666E-3</v>
      </c>
      <c r="F58" s="841">
        <f t="shared" si="2"/>
        <v>-22495.695141235352</v>
      </c>
      <c r="G58" s="1678">
        <f t="shared" si="7"/>
        <v>1052312.5131737953</v>
      </c>
      <c r="H58" s="1450">
        <f t="shared" si="5"/>
        <v>-7276235.625197418</v>
      </c>
      <c r="I58" s="841">
        <f t="shared" si="6"/>
        <v>-7298731.3203386534</v>
      </c>
      <c r="J58" s="42"/>
      <c r="K58" s="41" t="s">
        <v>429</v>
      </c>
      <c r="L58" s="41"/>
      <c r="M58" s="41"/>
    </row>
    <row r="59" spans="1:13" s="261" customFormat="1">
      <c r="A59" s="866">
        <f t="shared" si="3"/>
        <v>26.230000000000036</v>
      </c>
      <c r="B59" s="42"/>
      <c r="C59" s="1732">
        <v>43040</v>
      </c>
      <c r="D59" s="1733">
        <v>3.7100000000000001E-2</v>
      </c>
      <c r="E59" s="481">
        <f t="shared" si="1"/>
        <v>3.0916666666666666E-3</v>
      </c>
      <c r="F59" s="841">
        <f t="shared" si="2"/>
        <v>-19242.295621339701</v>
      </c>
      <c r="G59" s="1678">
        <f t="shared" si="7"/>
        <v>1052312.5131737953</v>
      </c>
      <c r="H59" s="1450">
        <f t="shared" si="5"/>
        <v>-6223923.1120236227</v>
      </c>
      <c r="I59" s="841">
        <f t="shared" si="6"/>
        <v>-6265661.1027861983</v>
      </c>
      <c r="J59" s="42"/>
      <c r="K59" s="41" t="s">
        <v>430</v>
      </c>
      <c r="L59" s="41"/>
      <c r="M59" s="41"/>
    </row>
    <row r="60" spans="1:13" s="261" customFormat="1">
      <c r="A60" s="866">
        <f t="shared" si="3"/>
        <v>26.240000000000038</v>
      </c>
      <c r="B60" s="42"/>
      <c r="C60" s="1732">
        <v>43070</v>
      </c>
      <c r="D60" s="1733">
        <v>3.7100000000000001E-2</v>
      </c>
      <c r="E60" s="481">
        <f t="shared" si="1"/>
        <v>3.0916666666666666E-3</v>
      </c>
      <c r="F60" s="841">
        <f t="shared" si="2"/>
        <v>-15988.89610144405</v>
      </c>
      <c r="G60" s="1678">
        <f t="shared" si="7"/>
        <v>1052312.5131737953</v>
      </c>
      <c r="H60" s="1450">
        <f t="shared" si="5"/>
        <v>-5171610.5988498274</v>
      </c>
      <c r="I60" s="841">
        <f t="shared" si="6"/>
        <v>-5229337.485713847</v>
      </c>
      <c r="J60" s="42"/>
      <c r="K60" s="41"/>
      <c r="L60" s="41"/>
      <c r="M60" s="41"/>
    </row>
    <row r="61" spans="1:13" s="261" customFormat="1">
      <c r="A61" s="866">
        <f t="shared" si="3"/>
        <v>26.250000000000039</v>
      </c>
      <c r="B61" s="41">
        <v>1</v>
      </c>
      <c r="C61" s="1732">
        <v>43101</v>
      </c>
      <c r="D61" s="1733">
        <v>3.7100000000000001E-2</v>
      </c>
      <c r="E61" s="481">
        <f t="shared" si="1"/>
        <v>3.0916666666666666E-3</v>
      </c>
      <c r="F61" s="841">
        <f t="shared" si="2"/>
        <v>-12913.968873436326</v>
      </c>
      <c r="G61" s="1678">
        <f t="shared" si="7"/>
        <v>1052312.5131737953</v>
      </c>
      <c r="H61" s="1450">
        <f t="shared" si="5"/>
        <v>-4177024.9725400517</v>
      </c>
      <c r="I61" s="841">
        <f t="shared" si="6"/>
        <v>-4189938.9414134882</v>
      </c>
      <c r="J61" s="41"/>
      <c r="K61" s="41" t="s">
        <v>431</v>
      </c>
      <c r="L61" s="41"/>
      <c r="M61" s="41"/>
    </row>
    <row r="62" spans="1:13" s="261" customFormat="1">
      <c r="A62" s="866">
        <f t="shared" si="3"/>
        <v>26.260000000000041</v>
      </c>
      <c r="B62" s="83"/>
      <c r="C62" s="1732">
        <v>43132</v>
      </c>
      <c r="D62" s="1733">
        <v>3.7100000000000001E-2</v>
      </c>
      <c r="E62" s="481">
        <f t="shared" si="1"/>
        <v>3.0916666666666666E-3</v>
      </c>
      <c r="F62" s="841">
        <f t="shared" si="2"/>
        <v>-9660.5693535406754</v>
      </c>
      <c r="G62" s="1678">
        <f t="shared" si="7"/>
        <v>1052312.5131737953</v>
      </c>
      <c r="H62" s="1450">
        <f t="shared" si="5"/>
        <v>-3124712.4593662564</v>
      </c>
      <c r="I62" s="841">
        <f t="shared" si="6"/>
        <v>-3147286.9975932334</v>
      </c>
      <c r="J62" s="41"/>
      <c r="K62" s="41"/>
      <c r="L62" s="899" t="s">
        <v>432</v>
      </c>
      <c r="M62" s="900" t="str">
        <f ca="1">CELL("address",I65)</f>
        <v>$I$65</v>
      </c>
    </row>
    <row r="63" spans="1:13" s="261" customFormat="1">
      <c r="A63" s="866">
        <f t="shared" si="3"/>
        <v>26.270000000000042</v>
      </c>
      <c r="B63" s="488"/>
      <c r="C63" s="1732">
        <v>43160</v>
      </c>
      <c r="D63" s="1733">
        <v>3.7100000000000001E-2</v>
      </c>
      <c r="E63" s="481">
        <f t="shared" si="1"/>
        <v>3.0916666666666666E-3</v>
      </c>
      <c r="F63" s="841">
        <f t="shared" si="2"/>
        <v>-6407.1698336450254</v>
      </c>
      <c r="G63" s="1678">
        <f t="shared" si="7"/>
        <v>1052312.5131737953</v>
      </c>
      <c r="H63" s="1450">
        <f t="shared" si="5"/>
        <v>-2072399.9461924611</v>
      </c>
      <c r="I63" s="841">
        <f t="shared" si="6"/>
        <v>-2101381.6542530833</v>
      </c>
      <c r="J63" s="41"/>
      <c r="K63" s="41"/>
      <c r="L63" s="899" t="s">
        <v>433</v>
      </c>
      <c r="M63" s="899">
        <v>0</v>
      </c>
    </row>
    <row r="64" spans="1:13" s="261" customFormat="1">
      <c r="A64" s="866">
        <f t="shared" si="3"/>
        <v>26.280000000000044</v>
      </c>
      <c r="B64" s="41">
        <v>1</v>
      </c>
      <c r="C64" s="1732">
        <v>43191</v>
      </c>
      <c r="D64" s="1733">
        <v>3.7100000000000001E-2</v>
      </c>
      <c r="E64" s="481">
        <f t="shared" si="1"/>
        <v>3.0916666666666666E-3</v>
      </c>
      <c r="F64" s="841">
        <f t="shared" si="2"/>
        <v>-3243.3720945034652</v>
      </c>
      <c r="G64" s="1678">
        <f t="shared" si="7"/>
        <v>1052312.5131737953</v>
      </c>
      <c r="H64" s="1450">
        <f t="shared" si="5"/>
        <v>-1049069.141079288</v>
      </c>
      <c r="I64" s="841">
        <f t="shared" si="6"/>
        <v>-1052312.5131737916</v>
      </c>
      <c r="J64" s="41"/>
      <c r="K64" s="41"/>
      <c r="L64" s="899" t="s">
        <v>434</v>
      </c>
      <c r="M64" s="900" t="str">
        <f ca="1">CELL("address",G54)</f>
        <v>$G$54</v>
      </c>
    </row>
    <row r="65" spans="1:21" s="261" customFormat="1" ht="15">
      <c r="A65" s="866">
        <f t="shared" si="3"/>
        <v>26.290000000000045</v>
      </c>
      <c r="B65" s="41"/>
      <c r="C65" s="1732">
        <v>43221</v>
      </c>
      <c r="D65" s="1733">
        <v>3.7100000000000001E-2</v>
      </c>
      <c r="E65" s="481">
        <f t="shared" si="1"/>
        <v>3.0916666666666666E-3</v>
      </c>
      <c r="F65" s="1736">
        <f>H65*E65</f>
        <v>0</v>
      </c>
      <c r="G65" s="1678">
        <f t="shared" si="7"/>
        <v>1052312.5131737953</v>
      </c>
      <c r="H65" s="1450"/>
      <c r="I65" s="1277">
        <f t="shared" si="6"/>
        <v>3.7252902984619141E-9</v>
      </c>
      <c r="J65" s="41"/>
      <c r="K65" s="41"/>
      <c r="L65" s="41"/>
      <c r="M65" s="41"/>
    </row>
    <row r="66" spans="1:21" s="261" customFormat="1">
      <c r="A66" s="868">
        <f>+A36+1</f>
        <v>27</v>
      </c>
      <c r="B66" s="41" t="s">
        <v>842</v>
      </c>
      <c r="C66" s="480"/>
      <c r="D66" s="486"/>
      <c r="E66" s="1147"/>
      <c r="F66" s="841">
        <f>SUM(F37:F65)</f>
        <v>-622064.47864808433</v>
      </c>
      <c r="G66" s="901"/>
      <c r="H66" s="482" t="str">
        <f>+"Col. "&amp;F6&amp;" Sum of Line "&amp;A36&amp;" Subparts"</f>
        <v>Col. E Sum of Line 26 Subparts</v>
      </c>
      <c r="I66" s="902"/>
      <c r="J66" s="41"/>
      <c r="K66" s="41"/>
      <c r="L66" s="41"/>
      <c r="M66" s="41"/>
    </row>
    <row r="67" spans="1:21" s="261" customFormat="1" ht="13.8" thickBot="1">
      <c r="A67" s="1412">
        <f>A66+1</f>
        <v>28</v>
      </c>
      <c r="B67" s="1490" t="s">
        <v>1107</v>
      </c>
      <c r="C67" s="480"/>
      <c r="D67" s="486"/>
      <c r="E67" s="1147"/>
      <c r="F67" s="1491">
        <f>+G29+G31</f>
        <v>-12005685.679437459</v>
      </c>
      <c r="G67" s="490"/>
      <c r="H67" s="1963" t="str">
        <f>+"Col. "&amp;G6&amp;" Line "&amp;A29&amp;" + Line "&amp;A31</f>
        <v>Col. F Line 21 + Line 23</v>
      </c>
      <c r="I67" s="1963"/>
      <c r="J67" s="41"/>
      <c r="K67" s="41"/>
      <c r="L67" s="41"/>
      <c r="M67" s="41"/>
    </row>
    <row r="68" spans="1:21" s="261" customFormat="1" ht="13.8" thickBot="1">
      <c r="A68" s="1412">
        <f>A67+1</f>
        <v>29</v>
      </c>
      <c r="B68" s="41" t="s">
        <v>1108</v>
      </c>
      <c r="C68" s="480"/>
      <c r="D68" s="486"/>
      <c r="E68" s="1147"/>
      <c r="F68" s="1492">
        <f>SUM(F66:F67)</f>
        <v>-12627750.158085544</v>
      </c>
      <c r="G68" s="482"/>
      <c r="H68" s="482" t="str">
        <f>+"Col. "&amp;F6&amp;" Line "&amp;A66&amp;" + "&amp;A67</f>
        <v>Col. E Line 27 + 28</v>
      </c>
      <c r="I68" s="482" t="s">
        <v>65</v>
      </c>
      <c r="J68" s="41"/>
      <c r="K68" s="41"/>
      <c r="L68" s="41"/>
      <c r="M68" s="41"/>
    </row>
    <row r="69" spans="1:21" s="261" customFormat="1">
      <c r="A69" s="42"/>
      <c r="B69" s="41"/>
      <c r="C69" s="41"/>
      <c r="D69" s="41"/>
      <c r="E69" s="41"/>
      <c r="F69" s="41"/>
      <c r="G69" s="41"/>
      <c r="H69" s="41"/>
      <c r="I69" s="41"/>
      <c r="J69" s="41"/>
      <c r="K69" s="41"/>
      <c r="L69" s="41"/>
      <c r="M69" s="41"/>
    </row>
    <row r="70" spans="1:21" s="42" customFormat="1">
      <c r="B70" s="41"/>
      <c r="C70" s="480"/>
      <c r="D70" s="486"/>
      <c r="E70" s="1147"/>
      <c r="F70" s="482"/>
      <c r="G70" s="483"/>
      <c r="H70" s="489"/>
      <c r="I70" s="482"/>
      <c r="J70" s="41"/>
      <c r="K70" s="41"/>
      <c r="L70" s="41"/>
      <c r="M70" s="41"/>
    </row>
    <row r="71" spans="1:21" s="261" customFormat="1">
      <c r="A71" s="42" t="s">
        <v>298</v>
      </c>
      <c r="B71" s="41"/>
      <c r="C71" s="480"/>
      <c r="D71" s="486"/>
      <c r="E71" s="1147"/>
      <c r="F71" s="482"/>
      <c r="G71" s="483"/>
      <c r="H71" s="489"/>
      <c r="I71" s="482"/>
      <c r="J71" s="42"/>
      <c r="K71" s="42"/>
      <c r="L71" s="42"/>
      <c r="M71" s="42"/>
    </row>
    <row r="72" spans="1:21" s="261" customFormat="1" ht="39.6" customHeight="1">
      <c r="A72" s="691">
        <v>1</v>
      </c>
      <c r="B72" s="1961" t="s">
        <v>1081</v>
      </c>
      <c r="C72" s="1961"/>
      <c r="D72" s="1961"/>
      <c r="E72" s="1961"/>
      <c r="F72" s="1961"/>
      <c r="G72" s="1961"/>
      <c r="H72" s="1961"/>
      <c r="I72" s="1961"/>
      <c r="J72" s="42"/>
      <c r="K72" s="42"/>
      <c r="L72" s="42"/>
      <c r="M72" s="42"/>
    </row>
    <row r="73" spans="1:21" s="261" customFormat="1" ht="27" customHeight="1">
      <c r="A73" s="867">
        <v>2</v>
      </c>
      <c r="B73" s="1911" t="s">
        <v>1101</v>
      </c>
      <c r="C73" s="1911"/>
      <c r="D73" s="1911"/>
      <c r="E73" s="1911"/>
      <c r="F73" s="1911"/>
      <c r="G73" s="1911"/>
      <c r="H73" s="1911"/>
      <c r="I73" s="1911"/>
      <c r="J73" s="42"/>
      <c r="K73" s="1959"/>
      <c r="L73" s="1959"/>
      <c r="M73" s="1959"/>
      <c r="N73" s="1959"/>
      <c r="O73" s="1959"/>
      <c r="P73" s="1959"/>
      <c r="Q73" s="1959"/>
      <c r="R73" s="1959"/>
      <c r="S73" s="1959"/>
      <c r="T73" s="1959"/>
      <c r="U73" s="1959"/>
    </row>
    <row r="74" spans="1:21" s="261" customFormat="1" ht="27" customHeight="1">
      <c r="A74" s="691">
        <v>3</v>
      </c>
      <c r="B74" s="1911" t="s">
        <v>455</v>
      </c>
      <c r="C74" s="1911"/>
      <c r="D74" s="1911"/>
      <c r="E74" s="1911"/>
      <c r="F74" s="1911"/>
      <c r="G74" s="1911"/>
      <c r="H74" s="1911"/>
      <c r="I74" s="1911"/>
      <c r="J74" s="42"/>
      <c r="K74" s="42"/>
      <c r="L74" s="42"/>
      <c r="M74" s="42"/>
    </row>
    <row r="75" spans="1:21" s="261" customFormat="1" ht="66" customHeight="1">
      <c r="A75" s="691">
        <v>4</v>
      </c>
      <c r="B75" s="1911" t="s">
        <v>1109</v>
      </c>
      <c r="C75" s="1911"/>
      <c r="D75" s="1911"/>
      <c r="E75" s="1911"/>
      <c r="F75" s="1911"/>
      <c r="G75" s="1911"/>
      <c r="H75" s="1911"/>
      <c r="I75" s="1911"/>
      <c r="J75" s="42"/>
      <c r="K75" s="42"/>
      <c r="L75" s="42"/>
      <c r="M75" s="42"/>
    </row>
    <row r="76" spans="1:21" s="261" customFormat="1" ht="42" customHeight="1">
      <c r="A76" s="556">
        <v>5</v>
      </c>
      <c r="B76" s="1911" t="s">
        <v>1110</v>
      </c>
      <c r="C76" s="1911"/>
      <c r="D76" s="1911"/>
      <c r="E76" s="1911"/>
      <c r="F76" s="1911"/>
      <c r="G76" s="1911"/>
      <c r="H76" s="1911"/>
      <c r="I76" s="1911"/>
      <c r="J76" s="42"/>
      <c r="K76" s="42"/>
      <c r="L76" s="42"/>
      <c r="M76" s="42"/>
    </row>
    <row r="77" spans="1:21" s="261" customFormat="1" ht="79.95" customHeight="1">
      <c r="A77" s="556">
        <v>6</v>
      </c>
      <c r="B77" s="1911" t="s">
        <v>1111</v>
      </c>
      <c r="C77" s="1911"/>
      <c r="D77" s="1911"/>
      <c r="E77" s="1911"/>
      <c r="F77" s="1911"/>
      <c r="G77" s="1911"/>
      <c r="H77" s="1911"/>
      <c r="I77" s="1911"/>
      <c r="J77" s="42"/>
      <c r="K77" s="42"/>
      <c r="L77" s="42"/>
      <c r="M77" s="42"/>
    </row>
    <row r="78" spans="1:21" s="261" customFormat="1" ht="54.6" customHeight="1">
      <c r="A78" s="1488">
        <v>7</v>
      </c>
      <c r="B78" s="1911" t="s">
        <v>1112</v>
      </c>
      <c r="C78" s="1911"/>
      <c r="D78" s="1911"/>
      <c r="E78" s="1911"/>
      <c r="F78" s="1911"/>
      <c r="G78" s="1911"/>
      <c r="H78" s="1911"/>
      <c r="I78" s="1911"/>
      <c r="J78" s="42"/>
      <c r="K78" s="42"/>
      <c r="L78" s="42"/>
      <c r="M78" s="42"/>
    </row>
    <row r="79" spans="1:21" s="261" customFormat="1">
      <c r="A79" s="723"/>
      <c r="B79" s="755"/>
      <c r="C79" s="507"/>
      <c r="D79" s="508"/>
      <c r="E79" s="509"/>
      <c r="F79" s="482"/>
      <c r="G79" s="483"/>
      <c r="H79" s="489"/>
      <c r="I79" s="482"/>
      <c r="J79" s="42"/>
      <c r="K79" s="42"/>
      <c r="L79" s="42"/>
      <c r="M79" s="42"/>
    </row>
    <row r="80" spans="1:21" s="261" customFormat="1">
      <c r="A80" s="723"/>
      <c r="B80" s="41"/>
      <c r="C80" s="480"/>
      <c r="D80" s="491"/>
      <c r="E80" s="481"/>
      <c r="F80" s="482"/>
      <c r="G80" s="483"/>
      <c r="H80" s="489"/>
      <c r="I80" s="482"/>
      <c r="J80" s="42"/>
      <c r="K80" s="42"/>
      <c r="L80" s="42"/>
      <c r="M80" s="42"/>
    </row>
    <row r="81" spans="1:13" s="261" customFormat="1">
      <c r="A81" s="42"/>
      <c r="B81" s="41"/>
      <c r="C81" s="480"/>
      <c r="D81" s="491"/>
      <c r="E81" s="481"/>
      <c r="F81" s="482"/>
      <c r="G81" s="483"/>
      <c r="H81" s="489"/>
      <c r="I81" s="482"/>
      <c r="J81" s="42"/>
      <c r="K81" s="42"/>
      <c r="L81" s="42"/>
      <c r="M81" s="42"/>
    </row>
    <row r="82" spans="1:13" s="261" customFormat="1">
      <c r="A82" s="42"/>
      <c r="B82" s="41"/>
      <c r="C82" s="480"/>
      <c r="D82" s="491"/>
      <c r="E82" s="481"/>
      <c r="F82" s="482"/>
      <c r="G82" s="483"/>
      <c r="H82" s="489"/>
      <c r="I82" s="482"/>
      <c r="J82" s="42"/>
      <c r="K82" s="42"/>
      <c r="L82" s="42"/>
      <c r="M82" s="42"/>
    </row>
    <row r="83" spans="1:13" s="261" customFormat="1">
      <c r="A83" s="42"/>
      <c r="B83" s="41"/>
      <c r="C83" s="480"/>
      <c r="D83" s="491"/>
      <c r="E83" s="481"/>
      <c r="F83" s="482"/>
      <c r="G83" s="483"/>
      <c r="H83" s="489"/>
      <c r="I83" s="482"/>
      <c r="J83" s="42"/>
      <c r="K83" s="42"/>
      <c r="L83" s="42"/>
      <c r="M83" s="42"/>
    </row>
    <row r="84" spans="1:13" s="261" customFormat="1">
      <c r="A84" s="42"/>
      <c r="B84" s="41"/>
      <c r="C84" s="480"/>
      <c r="D84" s="491"/>
      <c r="E84" s="481"/>
      <c r="F84" s="482"/>
      <c r="G84" s="483"/>
      <c r="H84" s="489"/>
      <c r="I84" s="482"/>
      <c r="J84" s="42"/>
      <c r="K84" s="42"/>
      <c r="L84" s="42"/>
      <c r="M84" s="42"/>
    </row>
    <row r="85" spans="1:13" s="261" customFormat="1">
      <c r="A85" s="42"/>
      <c r="B85" s="41"/>
      <c r="C85" s="480"/>
      <c r="D85" s="491"/>
      <c r="E85" s="481"/>
      <c r="F85" s="482"/>
      <c r="G85" s="483"/>
      <c r="H85" s="489"/>
      <c r="I85" s="482"/>
      <c r="J85" s="42"/>
      <c r="K85" s="42"/>
      <c r="L85" s="42"/>
      <c r="M85" s="42"/>
    </row>
    <row r="86" spans="1:13" s="261" customFormat="1">
      <c r="A86" s="42"/>
      <c r="B86" s="42"/>
      <c r="C86" s="480"/>
      <c r="D86" s="491"/>
      <c r="E86" s="481"/>
      <c r="F86" s="482"/>
      <c r="G86" s="483"/>
      <c r="H86" s="489"/>
      <c r="I86" s="482"/>
      <c r="J86" s="42"/>
      <c r="K86" s="42"/>
      <c r="L86" s="42"/>
      <c r="M86" s="42"/>
    </row>
    <row r="87" spans="1:13" s="261" customFormat="1">
      <c r="A87" s="42"/>
      <c r="B87" s="42"/>
      <c r="C87" s="480"/>
      <c r="D87" s="491"/>
      <c r="E87" s="481"/>
      <c r="F87" s="482"/>
      <c r="G87" s="483"/>
      <c r="H87" s="489"/>
      <c r="I87" s="482"/>
      <c r="J87" s="42"/>
      <c r="K87" s="42"/>
      <c r="L87" s="42"/>
      <c r="M87" s="42"/>
    </row>
    <row r="88" spans="1:13" s="261" customFormat="1">
      <c r="A88" s="42"/>
      <c r="B88" s="42"/>
      <c r="C88" s="480"/>
      <c r="D88" s="491"/>
      <c r="E88" s="481"/>
      <c r="F88" s="482"/>
      <c r="G88" s="483"/>
      <c r="H88" s="489"/>
      <c r="I88" s="482"/>
      <c r="J88" s="42"/>
      <c r="K88" s="42"/>
      <c r="L88" s="42"/>
      <c r="M88" s="42"/>
    </row>
    <row r="89" spans="1:13" s="261" customFormat="1">
      <c r="A89" s="42"/>
      <c r="B89" s="42"/>
      <c r="C89" s="480"/>
      <c r="D89" s="491"/>
      <c r="E89" s="481"/>
      <c r="F89" s="482"/>
      <c r="G89" s="483"/>
      <c r="H89" s="489"/>
      <c r="I89" s="482"/>
      <c r="J89" s="42"/>
      <c r="K89" s="42"/>
      <c r="L89" s="42"/>
      <c r="M89" s="42"/>
    </row>
    <row r="90" spans="1:13" s="261" customFormat="1">
      <c r="A90" s="42"/>
      <c r="B90" s="42"/>
      <c r="C90" s="480"/>
      <c r="D90" s="491"/>
      <c r="E90" s="481"/>
      <c r="F90" s="482"/>
      <c r="G90" s="483"/>
      <c r="H90" s="489"/>
      <c r="I90" s="482"/>
      <c r="J90" s="42"/>
      <c r="K90" s="42"/>
      <c r="L90" s="42"/>
      <c r="M90" s="42"/>
    </row>
    <row r="91" spans="1:13" s="261" customFormat="1">
      <c r="A91" s="42"/>
      <c r="B91" s="42"/>
      <c r="C91" s="480"/>
      <c r="D91" s="491"/>
      <c r="E91" s="481"/>
      <c r="F91" s="482"/>
      <c r="G91" s="483"/>
      <c r="H91" s="489"/>
      <c r="I91" s="482"/>
      <c r="J91" s="42"/>
      <c r="K91" s="42"/>
      <c r="L91" s="42"/>
      <c r="M91" s="42"/>
    </row>
    <row r="92" spans="1:13" s="261" customFormat="1">
      <c r="A92" s="42"/>
      <c r="B92" s="42"/>
      <c r="C92" s="480"/>
      <c r="D92" s="491"/>
      <c r="E92" s="481"/>
      <c r="F92" s="482"/>
      <c r="G92" s="483"/>
      <c r="H92" s="489"/>
      <c r="I92" s="482"/>
      <c r="J92" s="42"/>
      <c r="K92" s="42"/>
      <c r="L92" s="42"/>
      <c r="M92" s="42"/>
    </row>
    <row r="93" spans="1:13" s="261" customFormat="1">
      <c r="A93" s="42"/>
      <c r="B93" s="42"/>
      <c r="C93" s="480"/>
      <c r="D93" s="491"/>
      <c r="E93" s="481"/>
      <c r="F93" s="482"/>
      <c r="G93" s="483"/>
      <c r="H93" s="489"/>
      <c r="I93" s="482"/>
      <c r="J93" s="42"/>
      <c r="K93" s="42"/>
      <c r="L93" s="42"/>
      <c r="M93" s="42"/>
    </row>
    <row r="94" spans="1:13" s="261" customFormat="1">
      <c r="A94" s="42"/>
      <c r="B94" s="42"/>
      <c r="C94" s="480"/>
      <c r="D94" s="491"/>
      <c r="E94" s="481"/>
      <c r="F94" s="482"/>
      <c r="G94" s="483"/>
      <c r="H94" s="489"/>
      <c r="I94" s="482"/>
      <c r="J94" s="42"/>
      <c r="K94" s="42"/>
      <c r="L94" s="42"/>
      <c r="M94" s="42"/>
    </row>
    <row r="95" spans="1:13" s="261" customFormat="1">
      <c r="A95" s="42"/>
      <c r="B95" s="42"/>
      <c r="C95" s="480"/>
      <c r="D95" s="491"/>
      <c r="E95" s="481"/>
      <c r="F95" s="482"/>
      <c r="G95" s="483"/>
      <c r="H95" s="489"/>
      <c r="I95" s="482"/>
      <c r="J95" s="42"/>
      <c r="K95" s="42"/>
      <c r="L95" s="42"/>
      <c r="M95" s="42"/>
    </row>
    <row r="96" spans="1:13" s="261" customFormat="1">
      <c r="A96" s="42"/>
      <c r="B96" s="42"/>
      <c r="C96" s="480"/>
      <c r="D96" s="491"/>
      <c r="E96" s="481"/>
      <c r="F96" s="482"/>
      <c r="G96" s="483"/>
      <c r="H96" s="489"/>
      <c r="I96" s="482"/>
      <c r="J96" s="42"/>
      <c r="K96" s="42"/>
      <c r="L96" s="42"/>
      <c r="M96" s="42"/>
    </row>
    <row r="97" spans="1:38" s="261" customFormat="1">
      <c r="A97" s="42"/>
      <c r="B97" s="42"/>
      <c r="C97" s="480"/>
      <c r="D97" s="491"/>
      <c r="E97" s="481"/>
      <c r="F97" s="482"/>
      <c r="G97" s="483"/>
      <c r="H97" s="489"/>
      <c r="I97" s="482"/>
      <c r="J97" s="42"/>
      <c r="K97" s="42"/>
      <c r="L97" s="42"/>
      <c r="M97" s="42"/>
    </row>
    <row r="98" spans="1:38" s="261" customFormat="1">
      <c r="A98" s="42"/>
      <c r="B98" s="42"/>
      <c r="C98" s="480"/>
      <c r="D98" s="491"/>
      <c r="E98" s="481"/>
      <c r="F98" s="482"/>
      <c r="G98" s="483"/>
      <c r="H98" s="489"/>
      <c r="I98" s="482"/>
      <c r="J98" s="42"/>
      <c r="K98" s="42"/>
      <c r="L98" s="42"/>
      <c r="M98" s="42"/>
    </row>
    <row r="99" spans="1:38" s="261" customFormat="1">
      <c r="A99" s="42"/>
      <c r="B99" s="42"/>
      <c r="C99" s="480"/>
      <c r="D99" s="491"/>
      <c r="E99" s="481"/>
      <c r="F99" s="482"/>
      <c r="G99" s="483"/>
      <c r="H99" s="489"/>
      <c r="I99" s="482"/>
      <c r="J99" s="42"/>
      <c r="K99" s="42"/>
      <c r="L99" s="42"/>
      <c r="M99" s="42"/>
    </row>
    <row r="100" spans="1:38" s="261" customFormat="1">
      <c r="A100" s="42"/>
      <c r="B100" s="42"/>
      <c r="C100" s="480"/>
      <c r="D100" s="491"/>
      <c r="E100" s="481"/>
      <c r="F100" s="482"/>
      <c r="G100" s="483"/>
      <c r="H100" s="489"/>
      <c r="I100" s="482"/>
      <c r="J100" s="42"/>
      <c r="K100" s="42"/>
      <c r="L100" s="42"/>
      <c r="M100" s="42"/>
    </row>
    <row r="101" spans="1:38" s="261" customFormat="1">
      <c r="A101" s="42"/>
      <c r="B101" s="42"/>
      <c r="C101" s="480"/>
      <c r="D101" s="491"/>
      <c r="E101" s="481"/>
      <c r="F101" s="482"/>
      <c r="G101" s="483"/>
      <c r="H101" s="489"/>
      <c r="I101" s="482"/>
      <c r="J101" s="42"/>
      <c r="K101" s="42"/>
      <c r="L101" s="42"/>
      <c r="M101" s="42"/>
    </row>
    <row r="102" spans="1:38">
      <c r="C102" s="480"/>
      <c r="D102" s="491"/>
      <c r="E102" s="481"/>
      <c r="F102" s="482"/>
      <c r="G102" s="483"/>
      <c r="H102" s="489"/>
      <c r="I102" s="482"/>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c r="C103" s="480"/>
      <c r="D103" s="491"/>
      <c r="E103" s="481"/>
      <c r="F103" s="482"/>
      <c r="G103" s="483"/>
      <c r="H103" s="489"/>
      <c r="I103" s="482"/>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c r="C104" s="480"/>
      <c r="D104" s="491"/>
      <c r="E104" s="481"/>
      <c r="F104" s="482"/>
      <c r="G104" s="483"/>
      <c r="H104" s="489"/>
      <c r="I104" s="482"/>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row>
    <row r="105" spans="1:38">
      <c r="C105" s="480"/>
      <c r="D105" s="491"/>
      <c r="E105" s="481"/>
      <c r="F105" s="482"/>
      <c r="G105" s="483"/>
      <c r="H105" s="489"/>
      <c r="I105" s="482"/>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row>
    <row r="106" spans="1:38">
      <c r="C106" s="480"/>
      <c r="D106" s="491"/>
      <c r="E106" s="481"/>
      <c r="F106" s="482"/>
      <c r="G106" s="483"/>
      <c r="H106" s="489"/>
      <c r="I106" s="482"/>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row>
    <row r="107" spans="1:38">
      <c r="C107" s="480"/>
      <c r="D107" s="491"/>
      <c r="E107" s="481"/>
      <c r="F107" s="482"/>
      <c r="G107" s="483"/>
      <c r="H107" s="489"/>
      <c r="I107" s="482"/>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row>
    <row r="108" spans="1:38">
      <c r="C108" s="480"/>
      <c r="D108" s="491"/>
      <c r="E108" s="481"/>
      <c r="F108" s="482"/>
      <c r="G108" s="483"/>
      <c r="H108" s="489"/>
      <c r="I108" s="482"/>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row>
    <row r="109" spans="1:38">
      <c r="C109" s="480"/>
      <c r="D109" s="491"/>
      <c r="E109" s="481"/>
      <c r="F109" s="482"/>
      <c r="G109" s="483"/>
      <c r="H109" s="489"/>
      <c r="I109" s="482"/>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row>
    <row r="110" spans="1:38">
      <c r="B110" s="63"/>
      <c r="C110" s="480"/>
      <c r="D110" s="491"/>
      <c r="E110" s="481"/>
      <c r="F110" s="482"/>
      <c r="G110" s="483"/>
      <c r="H110" s="489"/>
      <c r="I110" s="482"/>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row>
    <row r="111" spans="1:38">
      <c r="A111" s="63"/>
      <c r="B111" s="63"/>
      <c r="C111" s="480"/>
      <c r="D111" s="491"/>
      <c r="E111" s="481"/>
      <c r="F111" s="482"/>
      <c r="G111" s="483"/>
      <c r="H111" s="489"/>
      <c r="I111" s="482"/>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row>
    <row r="112" spans="1:38">
      <c r="A112" s="63"/>
      <c r="B112" s="63"/>
      <c r="C112" s="480"/>
      <c r="D112" s="491"/>
      <c r="E112" s="481"/>
      <c r="F112" s="482"/>
      <c r="G112" s="483"/>
      <c r="H112" s="489"/>
      <c r="I112" s="482"/>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row>
    <row r="113" spans="1:38">
      <c r="A113" s="63"/>
      <c r="B113" s="63"/>
      <c r="C113" s="480"/>
      <c r="D113" s="491"/>
      <c r="E113" s="481"/>
      <c r="F113" s="482"/>
      <c r="G113" s="483"/>
      <c r="H113" s="489"/>
      <c r="I113" s="482"/>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row>
    <row r="114" spans="1:38">
      <c r="A114" s="63"/>
      <c r="B114" s="63"/>
      <c r="C114" s="480"/>
      <c r="D114" s="491"/>
      <c r="E114" s="481"/>
      <c r="F114" s="482"/>
      <c r="G114" s="483"/>
      <c r="H114" s="489"/>
      <c r="I114" s="482"/>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row>
    <row r="115" spans="1:38">
      <c r="A115" s="63"/>
      <c r="B115" s="63"/>
      <c r="C115" s="480"/>
      <c r="D115" s="491"/>
      <c r="E115" s="481"/>
      <c r="F115" s="482"/>
      <c r="G115" s="483"/>
      <c r="H115" s="489"/>
      <c r="I115" s="482"/>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row>
    <row r="116" spans="1:38">
      <c r="A116" s="63"/>
      <c r="B116" s="63"/>
      <c r="C116" s="480"/>
      <c r="D116" s="491"/>
      <c r="E116" s="481"/>
      <c r="F116" s="482"/>
      <c r="G116" s="483"/>
      <c r="H116" s="489"/>
      <c r="I116" s="482"/>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row>
    <row r="117" spans="1:38">
      <c r="A117" s="63"/>
      <c r="B117" s="63"/>
      <c r="C117" s="480"/>
      <c r="D117" s="491"/>
      <c r="E117" s="481"/>
      <c r="F117" s="482"/>
      <c r="G117" s="483"/>
      <c r="H117" s="489"/>
      <c r="I117" s="482"/>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row>
    <row r="118" spans="1:38">
      <c r="A118" s="63"/>
      <c r="B118" s="63"/>
      <c r="C118" s="480"/>
      <c r="D118" s="491"/>
      <c r="E118" s="481"/>
      <c r="F118" s="482"/>
      <c r="G118" s="483"/>
      <c r="H118" s="489"/>
      <c r="I118" s="482"/>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row>
    <row r="119" spans="1:38">
      <c r="A119" s="63"/>
      <c r="B119" s="63"/>
      <c r="C119" s="480"/>
      <c r="D119" s="491"/>
      <c r="E119" s="481"/>
      <c r="F119" s="482"/>
      <c r="G119" s="483"/>
      <c r="H119" s="489"/>
      <c r="I119" s="482"/>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row>
    <row r="120" spans="1:38">
      <c r="A120" s="63"/>
      <c r="B120" s="63"/>
      <c r="C120" s="480"/>
      <c r="D120" s="491"/>
      <c r="E120" s="481"/>
      <c r="F120" s="482"/>
      <c r="G120" s="483"/>
      <c r="H120" s="489"/>
      <c r="I120" s="482"/>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row>
    <row r="121" spans="1:38">
      <c r="A121" s="63"/>
      <c r="B121" s="63"/>
      <c r="C121" s="480"/>
      <c r="D121" s="491"/>
      <c r="E121" s="481"/>
      <c r="F121" s="482"/>
      <c r="G121" s="483"/>
      <c r="H121" s="489"/>
      <c r="I121" s="482"/>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row>
    <row r="122" spans="1:38">
      <c r="A122" s="63"/>
      <c r="B122" s="63"/>
      <c r="C122" s="480"/>
      <c r="D122" s="491"/>
      <c r="E122" s="481"/>
      <c r="F122" s="482"/>
      <c r="G122" s="483"/>
      <c r="H122" s="489"/>
      <c r="I122" s="482"/>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row>
    <row r="123" spans="1:38">
      <c r="A123" s="63"/>
      <c r="B123" s="63"/>
      <c r="F123" s="492"/>
      <c r="G123" s="492"/>
      <c r="H123" s="492"/>
      <c r="I123" s="492"/>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row>
    <row r="124" spans="1:38">
      <c r="A124" s="63"/>
      <c r="B124" s="63"/>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row>
    <row r="125" spans="1:38">
      <c r="A125" s="63"/>
      <c r="B125" s="63"/>
      <c r="F125" s="493"/>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row>
    <row r="126" spans="1:38">
      <c r="A126" s="63"/>
      <c r="B126" s="63"/>
      <c r="C126" s="63"/>
      <c r="D126" s="63"/>
      <c r="E126" s="63"/>
      <c r="F126" s="493"/>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row>
    <row r="127" spans="1:38">
      <c r="A127" s="63"/>
      <c r="B127" s="63"/>
      <c r="C127" s="63"/>
      <c r="D127" s="63"/>
      <c r="E127" s="63"/>
      <c r="F127" s="492"/>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row>
    <row r="128" spans="1:38">
      <c r="A128" s="63"/>
      <c r="B128" s="63"/>
      <c r="C128" s="63"/>
      <c r="D128" s="63"/>
      <c r="E128" s="63"/>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row>
    <row r="129" spans="1:38">
      <c r="A129" s="63"/>
      <c r="B129" s="63"/>
      <c r="C129" s="63"/>
      <c r="D129" s="63"/>
      <c r="E129" s="63"/>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row>
    <row r="130" spans="1:38">
      <c r="A130" s="63"/>
      <c r="B130" s="63"/>
      <c r="C130" s="63"/>
      <c r="D130" s="63"/>
      <c r="E130" s="63"/>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row>
    <row r="131" spans="1:38">
      <c r="A131" s="63"/>
      <c r="B131" s="63"/>
      <c r="C131" s="63"/>
      <c r="D131" s="63"/>
      <c r="E131" s="63"/>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row>
    <row r="132" spans="1:38">
      <c r="A132" s="63"/>
      <c r="B132" s="63"/>
      <c r="C132" s="63"/>
      <c r="D132" s="63"/>
      <c r="E132" s="63"/>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row>
    <row r="133" spans="1:38">
      <c r="A133" s="63"/>
      <c r="B133" s="63"/>
      <c r="C133" s="63"/>
      <c r="D133" s="63"/>
      <c r="E133" s="63"/>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row>
    <row r="134" spans="1:38">
      <c r="A134" s="63"/>
      <c r="B134" s="63"/>
      <c r="C134" s="63"/>
      <c r="D134" s="63"/>
      <c r="E134" s="63"/>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row>
    <row r="135" spans="1:38">
      <c r="A135" s="63"/>
      <c r="B135" s="63"/>
      <c r="C135" s="63"/>
      <c r="D135" s="63"/>
      <c r="E135" s="63"/>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row>
    <row r="136" spans="1:38">
      <c r="A136" s="63"/>
      <c r="B136" s="63"/>
      <c r="C136" s="63"/>
      <c r="D136" s="63"/>
      <c r="E136" s="63"/>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row>
    <row r="137" spans="1:38">
      <c r="A137" s="63"/>
      <c r="B137" s="63"/>
      <c r="C137" s="63"/>
      <c r="D137" s="63"/>
      <c r="E137" s="63"/>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row>
    <row r="138" spans="1:38">
      <c r="A138" s="63"/>
      <c r="B138" s="63"/>
      <c r="C138" s="63"/>
      <c r="D138" s="63"/>
      <c r="E138" s="63"/>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row>
    <row r="139" spans="1:38">
      <c r="A139" s="63"/>
      <c r="B139" s="63"/>
      <c r="C139" s="63"/>
      <c r="D139" s="63"/>
      <c r="E139" s="63"/>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row>
    <row r="140" spans="1:38">
      <c r="A140" s="63"/>
      <c r="B140" s="63"/>
      <c r="C140" s="63"/>
      <c r="D140" s="63"/>
      <c r="E140" s="63"/>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row>
    <row r="141" spans="1:38">
      <c r="A141" s="63"/>
      <c r="B141" s="63"/>
      <c r="C141" s="63"/>
      <c r="D141" s="63"/>
      <c r="E141" s="63"/>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row>
    <row r="142" spans="1:38">
      <c r="A142" s="63"/>
      <c r="B142" s="63"/>
      <c r="C142" s="63"/>
      <c r="D142" s="63"/>
      <c r="E142" s="63"/>
      <c r="F142" s="63"/>
      <c r="G142" s="63"/>
      <c r="H142" s="63"/>
      <c r="I142" s="63"/>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row>
    <row r="143" spans="1:38">
      <c r="A143" s="63"/>
      <c r="B143" s="63"/>
      <c r="C143" s="63"/>
      <c r="D143" s="63"/>
      <c r="E143" s="63"/>
      <c r="F143" s="63"/>
      <c r="G143" s="63"/>
      <c r="H143" s="63"/>
      <c r="I143" s="63"/>
      <c r="J143" s="63"/>
      <c r="K143" s="63"/>
      <c r="L143" s="63"/>
      <c r="M143" s="63"/>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row>
    <row r="144" spans="1:38">
      <c r="A144" s="63"/>
      <c r="B144" s="63"/>
      <c r="C144" s="63"/>
      <c r="D144" s="63"/>
      <c r="E144" s="63"/>
      <c r="F144" s="63"/>
      <c r="G144" s="63"/>
      <c r="H144" s="63"/>
      <c r="I144" s="63"/>
      <c r="J144" s="63"/>
      <c r="K144" s="63"/>
      <c r="L144" s="63"/>
      <c r="M144" s="63"/>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row>
    <row r="145" spans="1:38">
      <c r="A145" s="63"/>
      <c r="B145" s="63"/>
      <c r="C145" s="63"/>
      <c r="D145" s="63"/>
      <c r="E145" s="63"/>
      <c r="F145" s="63"/>
      <c r="G145" s="63"/>
      <c r="H145" s="63"/>
      <c r="I145" s="63"/>
      <c r="J145" s="63"/>
      <c r="K145" s="63"/>
      <c r="L145" s="63"/>
      <c r="M145" s="63"/>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row>
    <row r="146" spans="1:38">
      <c r="A146" s="63"/>
      <c r="B146" s="63"/>
      <c r="C146" s="63"/>
      <c r="D146" s="63"/>
      <c r="E146" s="63"/>
      <c r="F146" s="63"/>
      <c r="G146" s="63"/>
      <c r="H146" s="63"/>
      <c r="I146" s="63"/>
      <c r="J146" s="63"/>
      <c r="K146" s="63"/>
      <c r="L146" s="63"/>
      <c r="M146" s="63"/>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row>
    <row r="147" spans="1:38">
      <c r="A147" s="63"/>
      <c r="B147" s="63"/>
      <c r="C147" s="63"/>
      <c r="D147" s="63"/>
      <c r="E147" s="63"/>
      <c r="F147" s="63"/>
      <c r="G147" s="63"/>
      <c r="H147" s="63"/>
      <c r="I147" s="63"/>
      <c r="J147" s="63"/>
      <c r="K147" s="63"/>
      <c r="L147" s="63"/>
      <c r="M147" s="63"/>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row>
    <row r="148" spans="1:38">
      <c r="A148" s="63"/>
      <c r="B148" s="63"/>
      <c r="C148" s="63"/>
      <c r="D148" s="63"/>
      <c r="E148" s="63"/>
      <c r="F148" s="63"/>
      <c r="G148" s="63"/>
      <c r="H148" s="63"/>
      <c r="I148" s="63"/>
      <c r="J148" s="63"/>
      <c r="K148" s="63"/>
      <c r="L148" s="63"/>
      <c r="M148" s="63"/>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row>
    <row r="149" spans="1:38">
      <c r="A149" s="63"/>
      <c r="B149" s="63"/>
      <c r="C149" s="63"/>
      <c r="D149" s="63"/>
      <c r="E149" s="63"/>
      <c r="F149" s="63"/>
      <c r="G149" s="63"/>
      <c r="H149" s="63"/>
      <c r="I149" s="63"/>
      <c r="J149" s="63"/>
      <c r="K149" s="63"/>
      <c r="L149" s="63"/>
      <c r="M149" s="63"/>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row>
    <row r="150" spans="1:38">
      <c r="A150" s="63"/>
      <c r="B150" s="63"/>
      <c r="C150" s="63"/>
      <c r="D150" s="63"/>
      <c r="E150" s="63"/>
      <c r="F150" s="63"/>
      <c r="G150" s="63"/>
      <c r="H150" s="63"/>
      <c r="I150" s="63"/>
      <c r="J150" s="63"/>
      <c r="K150" s="63"/>
      <c r="L150" s="63"/>
      <c r="M150" s="63"/>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row>
    <row r="151" spans="1:38">
      <c r="A151" s="63"/>
      <c r="B151" s="63"/>
      <c r="C151" s="63"/>
      <c r="D151" s="63"/>
      <c r="E151" s="63"/>
      <c r="F151" s="63"/>
      <c r="G151" s="63"/>
      <c r="H151" s="63"/>
      <c r="I151" s="63"/>
      <c r="J151" s="63"/>
      <c r="K151" s="63"/>
      <c r="L151" s="63"/>
      <c r="M151" s="63"/>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row>
    <row r="152" spans="1:38">
      <c r="A152" s="63"/>
      <c r="B152" s="63"/>
      <c r="C152" s="63"/>
      <c r="D152" s="63"/>
      <c r="E152" s="63"/>
      <c r="F152" s="63"/>
      <c r="G152" s="63"/>
      <c r="H152" s="63"/>
      <c r="I152" s="63"/>
      <c r="J152" s="63"/>
      <c r="K152" s="63"/>
      <c r="L152" s="63"/>
      <c r="M152" s="63"/>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row>
    <row r="153" spans="1:38">
      <c r="A153" s="63"/>
      <c r="B153" s="63"/>
      <c r="C153" s="63"/>
      <c r="D153" s="63"/>
      <c r="E153" s="63"/>
      <c r="F153" s="63"/>
      <c r="G153" s="63"/>
      <c r="H153" s="63"/>
      <c r="I153" s="63"/>
      <c r="J153" s="63"/>
      <c r="K153" s="63"/>
      <c r="L153" s="63"/>
      <c r="M153" s="63"/>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row>
    <row r="154" spans="1:38">
      <c r="A154" s="63"/>
      <c r="B154" s="63"/>
      <c r="C154" s="63"/>
      <c r="D154" s="63"/>
      <c r="E154" s="63"/>
      <c r="F154" s="63"/>
      <c r="G154" s="63"/>
      <c r="H154" s="63"/>
      <c r="I154" s="63"/>
      <c r="J154" s="63"/>
      <c r="K154" s="63"/>
      <c r="L154" s="63"/>
      <c r="M154" s="63"/>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row>
    <row r="155" spans="1:38">
      <c r="A155" s="63"/>
      <c r="B155" s="63"/>
      <c r="C155" s="63"/>
      <c r="D155" s="63"/>
      <c r="E155" s="63"/>
      <c r="F155" s="63"/>
      <c r="G155" s="63"/>
      <c r="H155" s="63"/>
      <c r="I155" s="63"/>
      <c r="J155" s="63"/>
      <c r="K155" s="63"/>
      <c r="L155" s="63"/>
      <c r="M155" s="63"/>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row>
    <row r="156" spans="1:38">
      <c r="A156" s="63"/>
      <c r="B156" s="63"/>
      <c r="C156" s="63"/>
      <c r="D156" s="63"/>
      <c r="E156" s="63"/>
      <c r="F156" s="63"/>
      <c r="G156" s="63"/>
      <c r="H156" s="63"/>
      <c r="I156" s="63"/>
      <c r="J156" s="63"/>
      <c r="K156" s="63"/>
      <c r="L156" s="63"/>
      <c r="M156" s="63"/>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row>
    <row r="157" spans="1:38">
      <c r="A157" s="63"/>
      <c r="B157" s="63"/>
      <c r="C157" s="63"/>
      <c r="D157" s="63"/>
      <c r="E157" s="63"/>
      <c r="F157" s="63"/>
      <c r="G157" s="63"/>
      <c r="H157" s="63"/>
      <c r="I157" s="63"/>
      <c r="J157" s="63"/>
      <c r="K157" s="63"/>
      <c r="L157" s="63"/>
      <c r="M157" s="63"/>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row>
    <row r="158" spans="1:38">
      <c r="A158" s="63"/>
      <c r="J158" s="63"/>
      <c r="K158" s="63"/>
      <c r="L158" s="63"/>
      <c r="M158" s="63"/>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row>
    <row r="159" spans="1:38" s="226" customFormat="1">
      <c r="A159" s="42"/>
      <c r="B159" s="42"/>
      <c r="C159" s="41"/>
      <c r="D159" s="42"/>
      <c r="E159" s="42"/>
      <c r="F159" s="42"/>
      <c r="G159" s="42"/>
      <c r="H159" s="42"/>
      <c r="I159" s="42"/>
      <c r="J159" s="42"/>
      <c r="K159" s="42"/>
      <c r="L159" s="42"/>
      <c r="M159" s="42"/>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row>
    <row r="160" spans="1:38">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row>
    <row r="161" spans="1:38">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row>
    <row r="162" spans="1:38">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row>
    <row r="163" spans="1:38">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row>
    <row r="164" spans="1:38">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row>
    <row r="165" spans="1:38">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row>
    <row r="166" spans="1:38">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row>
    <row r="167" spans="1:38">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row>
    <row r="168" spans="1:38">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row>
    <row r="169" spans="1:38">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row>
    <row r="170" spans="1:38">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row>
    <row r="171" spans="1:38">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row>
    <row r="172" spans="1:38">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row>
    <row r="173" spans="1:38">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row>
    <row r="174" spans="1:38">
      <c r="B174" s="63"/>
      <c r="C174" s="63"/>
      <c r="D174" s="63"/>
      <c r="E174" s="63"/>
      <c r="F174" s="63"/>
      <c r="G174" s="63"/>
      <c r="H174" s="63"/>
      <c r="I174" s="63"/>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row>
    <row r="175" spans="1:38">
      <c r="A175" s="63"/>
      <c r="B175" s="63"/>
      <c r="C175" s="63"/>
      <c r="D175" s="63"/>
      <c r="E175" s="63"/>
      <c r="F175" s="63"/>
      <c r="G175" s="63"/>
      <c r="H175" s="63"/>
      <c r="I175" s="63"/>
      <c r="J175" s="63"/>
      <c r="K175" s="63"/>
      <c r="L175" s="63"/>
      <c r="M175" s="63"/>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row>
    <row r="176" spans="1:38">
      <c r="A176" s="63"/>
      <c r="B176" s="63"/>
      <c r="C176" s="63"/>
      <c r="D176" s="63"/>
      <c r="E176" s="63"/>
      <c r="F176" s="63"/>
      <c r="G176" s="63"/>
      <c r="H176" s="63"/>
      <c r="I176" s="63"/>
      <c r="J176" s="63"/>
      <c r="K176" s="63"/>
      <c r="L176" s="63"/>
      <c r="M176" s="63"/>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row>
    <row r="177" spans="1:38">
      <c r="A177" s="63"/>
      <c r="B177" s="63"/>
      <c r="C177" s="63"/>
      <c r="D177" s="63"/>
      <c r="E177" s="63"/>
      <c r="F177" s="63"/>
      <c r="G177" s="63"/>
      <c r="H177" s="63"/>
      <c r="I177" s="63"/>
      <c r="J177" s="63"/>
      <c r="K177" s="63"/>
      <c r="L177" s="63"/>
      <c r="M177" s="63"/>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row>
    <row r="178" spans="1:38">
      <c r="A178" s="63"/>
      <c r="B178" s="63"/>
      <c r="C178" s="63"/>
      <c r="D178" s="63"/>
      <c r="E178" s="63"/>
      <c r="F178" s="63"/>
      <c r="G178" s="63"/>
      <c r="H178" s="63"/>
      <c r="I178" s="63"/>
      <c r="J178" s="63"/>
      <c r="K178" s="63"/>
      <c r="L178" s="63"/>
      <c r="M178" s="63"/>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row>
    <row r="179" spans="1:38">
      <c r="A179" s="63"/>
      <c r="J179" s="63"/>
      <c r="K179" s="63"/>
      <c r="L179" s="63"/>
      <c r="M179" s="63"/>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row>
  </sheetData>
  <mergeCells count="15">
    <mergeCell ref="A1:I1"/>
    <mergeCell ref="A2:I2"/>
    <mergeCell ref="A4:I4"/>
    <mergeCell ref="A3:I3"/>
    <mergeCell ref="B74:I74"/>
    <mergeCell ref="B72:I72"/>
    <mergeCell ref="B73:I73"/>
    <mergeCell ref="B24:F24"/>
    <mergeCell ref="H67:I67"/>
    <mergeCell ref="B77:I77"/>
    <mergeCell ref="B78:I78"/>
    <mergeCell ref="K73:U73"/>
    <mergeCell ref="B76:I76"/>
    <mergeCell ref="H9:I9"/>
    <mergeCell ref="B75:I75"/>
  </mergeCells>
  <printOptions horizontalCentered="1"/>
  <pageMargins left="0.7" right="0.7" top="0.7" bottom="0.7" header="0.3" footer="0.5"/>
  <pageSetup scale="89" fitToHeight="2" orientation="portrait" r:id="rId1"/>
  <headerFooter>
    <oddFooter>&amp;C
&amp;R&amp;A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9"/>
  <sheetViews>
    <sheetView workbookViewId="0">
      <selection activeCell="A21" sqref="A21"/>
    </sheetView>
  </sheetViews>
  <sheetFormatPr defaultColWidth="9.109375" defaultRowHeight="13.2"/>
  <cols>
    <col min="1" max="1" width="6.44140625" style="42" bestFit="1" customWidth="1"/>
    <col min="2" max="2" width="7.6640625" style="42" customWidth="1"/>
    <col min="3" max="3" width="8.6640625" style="41" customWidth="1"/>
    <col min="4" max="5" width="8.6640625" style="42" customWidth="1"/>
    <col min="6" max="6" width="17.6640625" style="42" customWidth="1"/>
    <col min="7" max="7" width="14.6640625" style="42" customWidth="1"/>
    <col min="8" max="9" width="15.6640625" style="42" customWidth="1"/>
    <col min="10" max="10" width="9.109375" style="42"/>
    <col min="11" max="12" width="11.6640625" style="42" customWidth="1"/>
    <col min="13" max="13" width="12.44140625" style="42" bestFit="1" customWidth="1"/>
    <col min="14" max="16384" width="9.109375" style="63"/>
  </cols>
  <sheetData>
    <row r="1" spans="1:17">
      <c r="A1" s="1957" t="s">
        <v>961</v>
      </c>
      <c r="B1" s="1957"/>
      <c r="C1" s="1957"/>
      <c r="D1" s="1957"/>
      <c r="E1" s="1957"/>
      <c r="F1" s="1957"/>
      <c r="G1" s="1957"/>
      <c r="H1" s="1957"/>
      <c r="I1" s="1957"/>
      <c r="J1" s="41"/>
      <c r="K1" s="41"/>
      <c r="L1" s="41"/>
      <c r="M1" s="41"/>
      <c r="N1" s="78"/>
      <c r="O1" s="78"/>
      <c r="P1" s="78"/>
      <c r="Q1" s="78"/>
    </row>
    <row r="2" spans="1:17" ht="13.2" customHeight="1">
      <c r="A2" s="1958" t="s">
        <v>1078</v>
      </c>
      <c r="B2" s="1958"/>
      <c r="C2" s="1958"/>
      <c r="D2" s="1958"/>
      <c r="E2" s="1958"/>
      <c r="F2" s="1958"/>
      <c r="G2" s="1958"/>
      <c r="H2" s="1958"/>
      <c r="I2" s="1958"/>
      <c r="J2" s="41"/>
      <c r="K2" s="1962" t="s">
        <v>2077</v>
      </c>
      <c r="L2" s="1962"/>
      <c r="M2" s="1962"/>
      <c r="N2" s="1962"/>
      <c r="O2" s="1962"/>
      <c r="P2" s="1962"/>
      <c r="Q2" s="1962"/>
    </row>
    <row r="3" spans="1:17" s="78" customFormat="1" ht="13.2" customHeight="1">
      <c r="A3" s="1958" t="s">
        <v>1883</v>
      </c>
      <c r="B3" s="1958"/>
      <c r="C3" s="1958"/>
      <c r="D3" s="1958"/>
      <c r="E3" s="1958"/>
      <c r="F3" s="1958"/>
      <c r="G3" s="1958"/>
      <c r="H3" s="1958"/>
      <c r="I3" s="1958"/>
      <c r="J3" s="41"/>
      <c r="K3" s="1962"/>
      <c r="L3" s="1962"/>
      <c r="M3" s="1962"/>
      <c r="N3" s="1962"/>
      <c r="O3" s="1962"/>
      <c r="P3" s="1962"/>
      <c r="Q3" s="1962"/>
    </row>
    <row r="4" spans="1:17">
      <c r="A4" s="1957" t="s">
        <v>424</v>
      </c>
      <c r="B4" s="1957"/>
      <c r="C4" s="1957"/>
      <c r="D4" s="1957"/>
      <c r="E4" s="1957"/>
      <c r="F4" s="1957"/>
      <c r="G4" s="1957"/>
      <c r="H4" s="1957"/>
      <c r="I4" s="1957"/>
      <c r="J4" s="41"/>
      <c r="K4" s="41"/>
      <c r="L4" s="41"/>
      <c r="M4" s="41"/>
      <c r="N4" s="78"/>
      <c r="O4" s="78"/>
      <c r="P4" s="78"/>
      <c r="Q4" s="78"/>
    </row>
    <row r="5" spans="1:17">
      <c r="A5" s="1851"/>
      <c r="B5" s="1851"/>
      <c r="C5" s="1851"/>
      <c r="D5" s="1851"/>
      <c r="E5" s="1851"/>
      <c r="F5" s="1851"/>
      <c r="G5" s="1851"/>
      <c r="H5" s="1851"/>
      <c r="I5" s="1851"/>
      <c r="J5" s="41"/>
      <c r="K5" s="41"/>
      <c r="L5" s="41"/>
      <c r="M5" s="41"/>
      <c r="N5" s="78"/>
      <c r="O5" s="78"/>
      <c r="P5" s="78"/>
      <c r="Q5" s="78"/>
    </row>
    <row r="6" spans="1:17" s="78" customFormat="1">
      <c r="A6" s="478" t="s">
        <v>323</v>
      </c>
      <c r="B6" s="588" t="s">
        <v>67</v>
      </c>
      <c r="C6" s="588" t="s">
        <v>114</v>
      </c>
      <c r="D6" s="588" t="s">
        <v>55</v>
      </c>
      <c r="E6" s="588" t="s">
        <v>68</v>
      </c>
      <c r="F6" s="1863" t="s">
        <v>66</v>
      </c>
      <c r="G6" s="588" t="s">
        <v>154</v>
      </c>
      <c r="H6" s="588" t="s">
        <v>69</v>
      </c>
      <c r="I6" s="1864" t="s">
        <v>166</v>
      </c>
      <c r="J6" s="41"/>
      <c r="K6" s="41"/>
      <c r="L6" s="41"/>
      <c r="M6" s="41"/>
      <c r="N6" s="217"/>
    </row>
    <row r="7" spans="1:17" s="78" customFormat="1">
      <c r="A7" s="478"/>
      <c r="B7" s="1813"/>
      <c r="C7" s="1813"/>
      <c r="D7" s="588"/>
      <c r="E7" s="1813"/>
      <c r="F7" s="589"/>
      <c r="G7" s="1813"/>
      <c r="H7" s="1813"/>
      <c r="I7" s="590"/>
      <c r="J7" s="42"/>
      <c r="K7" s="42"/>
      <c r="L7" s="42"/>
      <c r="M7" s="42"/>
      <c r="N7" s="217"/>
    </row>
    <row r="8" spans="1:17">
      <c r="A8" s="63"/>
      <c r="B8" s="1015" t="s">
        <v>613</v>
      </c>
      <c r="C8" s="1811"/>
      <c r="D8" s="1811"/>
      <c r="E8" s="1811"/>
      <c r="F8" s="1811"/>
      <c r="G8" s="1734"/>
      <c r="H8" s="1811"/>
      <c r="I8" s="1811"/>
    </row>
    <row r="9" spans="1:17" ht="15">
      <c r="A9" s="868">
        <v>1</v>
      </c>
      <c r="B9" s="178" t="s">
        <v>1079</v>
      </c>
      <c r="C9" s="1811"/>
      <c r="D9" s="1811"/>
      <c r="E9" s="1811"/>
      <c r="F9" s="1811"/>
      <c r="G9" s="898" t="s">
        <v>146</v>
      </c>
      <c r="H9" s="1960" t="s">
        <v>139</v>
      </c>
      <c r="I9" s="1960"/>
      <c r="K9" s="477"/>
    </row>
    <row r="10" spans="1:17" s="261" customFormat="1" ht="15">
      <c r="A10" s="868">
        <f>+A9+1</f>
        <v>2</v>
      </c>
      <c r="B10" s="897" t="s">
        <v>27</v>
      </c>
      <c r="C10" s="1811"/>
      <c r="D10" s="1811"/>
      <c r="E10" s="1811"/>
      <c r="F10" s="1811"/>
      <c r="G10" s="204">
        <v>16405402.289999999</v>
      </c>
      <c r="H10" s="1865" t="s">
        <v>1092</v>
      </c>
      <c r="I10" s="1853"/>
      <c r="J10" s="42"/>
      <c r="K10" s="477"/>
      <c r="L10" s="42"/>
      <c r="M10" s="42"/>
    </row>
    <row r="11" spans="1:17" s="261" customFormat="1" ht="15">
      <c r="A11" s="868">
        <f t="shared" ref="A11:A33" si="0">+A10+1</f>
        <v>3</v>
      </c>
      <c r="B11" s="897" t="s">
        <v>28</v>
      </c>
      <c r="C11" s="1811"/>
      <c r="D11" s="1811"/>
      <c r="E11" s="1811"/>
      <c r="F11" s="1811"/>
      <c r="G11" s="204">
        <v>13720305.93</v>
      </c>
      <c r="H11" s="1865" t="s">
        <v>1092</v>
      </c>
      <c r="I11" s="1853"/>
      <c r="J11" s="42"/>
      <c r="K11" s="477"/>
      <c r="L11" s="42"/>
      <c r="M11" s="42"/>
    </row>
    <row r="12" spans="1:17" s="261" customFormat="1" ht="15">
      <c r="A12" s="868">
        <f t="shared" si="0"/>
        <v>4</v>
      </c>
      <c r="B12" s="897" t="s">
        <v>29</v>
      </c>
      <c r="C12" s="1811"/>
      <c r="D12" s="1811"/>
      <c r="E12" s="1811"/>
      <c r="F12" s="1811"/>
      <c r="G12" s="204">
        <v>16704424.739999998</v>
      </c>
      <c r="H12" s="1853"/>
      <c r="I12" s="1853"/>
      <c r="J12" s="42"/>
      <c r="K12" s="477"/>
      <c r="L12" s="42"/>
      <c r="M12" s="42"/>
    </row>
    <row r="13" spans="1:17" s="261" customFormat="1" ht="15">
      <c r="A13" s="868">
        <f t="shared" si="0"/>
        <v>5</v>
      </c>
      <c r="B13" s="897" t="s">
        <v>30</v>
      </c>
      <c r="C13" s="1811"/>
      <c r="D13" s="1811"/>
      <c r="E13" s="1811"/>
      <c r="F13" s="1811"/>
      <c r="G13" s="204">
        <v>14500580.449999999</v>
      </c>
      <c r="H13" s="1853"/>
      <c r="I13" s="1853"/>
      <c r="J13" s="42"/>
      <c r="K13" s="477"/>
      <c r="L13" s="42"/>
      <c r="M13" s="42"/>
    </row>
    <row r="14" spans="1:17" s="261" customFormat="1" ht="15">
      <c r="A14" s="868">
        <f t="shared" si="0"/>
        <v>6</v>
      </c>
      <c r="B14" s="897" t="s">
        <v>26</v>
      </c>
      <c r="C14" s="1811"/>
      <c r="D14" s="1811"/>
      <c r="E14" s="1811"/>
      <c r="F14" s="1811"/>
      <c r="G14" s="204">
        <v>16793611.16</v>
      </c>
      <c r="H14" s="1853"/>
      <c r="I14" s="1853"/>
      <c r="J14" s="42"/>
      <c r="K14" s="477"/>
      <c r="L14" s="42"/>
      <c r="M14" s="42"/>
    </row>
    <row r="15" spans="1:17" s="261" customFormat="1" ht="15">
      <c r="A15" s="868">
        <f t="shared" si="0"/>
        <v>7</v>
      </c>
      <c r="B15" s="897" t="s">
        <v>31</v>
      </c>
      <c r="C15" s="1811"/>
      <c r="D15" s="1811"/>
      <c r="E15" s="1811"/>
      <c r="F15" s="1811"/>
      <c r="G15" s="204">
        <v>17891245.210000001</v>
      </c>
      <c r="H15" s="1853"/>
      <c r="I15" s="1853"/>
      <c r="J15" s="42"/>
      <c r="K15" s="477"/>
      <c r="L15" s="42"/>
      <c r="M15" s="42"/>
    </row>
    <row r="16" spans="1:17" s="261" customFormat="1" ht="15">
      <c r="A16" s="868">
        <f t="shared" si="0"/>
        <v>8</v>
      </c>
      <c r="B16" s="897" t="s">
        <v>32</v>
      </c>
      <c r="C16" s="1811"/>
      <c r="D16" s="1811"/>
      <c r="E16" s="1811"/>
      <c r="F16" s="1811"/>
      <c r="G16" s="204">
        <v>19399430.539999999</v>
      </c>
      <c r="H16" s="1853"/>
      <c r="I16" s="1853"/>
      <c r="J16" s="42"/>
      <c r="K16" s="477"/>
      <c r="L16" s="42"/>
      <c r="M16" s="42"/>
    </row>
    <row r="17" spans="1:13" s="261" customFormat="1" ht="15">
      <c r="A17" s="868">
        <f t="shared" si="0"/>
        <v>9</v>
      </c>
      <c r="B17" s="897" t="s">
        <v>33</v>
      </c>
      <c r="C17" s="1811"/>
      <c r="D17" s="1811"/>
      <c r="E17" s="1811"/>
      <c r="F17" s="1811"/>
      <c r="G17" s="204">
        <v>19835493.120000001</v>
      </c>
      <c r="H17" s="1853"/>
      <c r="I17" s="1853"/>
      <c r="J17" s="42"/>
      <c r="K17" s="477"/>
      <c r="L17" s="42"/>
      <c r="M17" s="42"/>
    </row>
    <row r="18" spans="1:13" s="261" customFormat="1" ht="15">
      <c r="A18" s="868">
        <f t="shared" si="0"/>
        <v>10</v>
      </c>
      <c r="B18" s="897" t="s">
        <v>34</v>
      </c>
      <c r="C18" s="1811"/>
      <c r="D18" s="1811"/>
      <c r="E18" s="1811"/>
      <c r="F18" s="1811"/>
      <c r="G18" s="204">
        <v>16941359.27</v>
      </c>
      <c r="H18" s="1853"/>
      <c r="I18" s="1853"/>
      <c r="J18" s="42"/>
      <c r="K18" s="477"/>
      <c r="L18" s="42"/>
      <c r="M18" s="42"/>
    </row>
    <row r="19" spans="1:13" s="261" customFormat="1" ht="15">
      <c r="A19" s="868">
        <f t="shared" si="0"/>
        <v>11</v>
      </c>
      <c r="B19" s="897" t="s">
        <v>35</v>
      </c>
      <c r="C19" s="1811"/>
      <c r="D19" s="1811"/>
      <c r="E19" s="1811"/>
      <c r="F19" s="1811"/>
      <c r="G19" s="204">
        <v>15693970.66</v>
      </c>
      <c r="H19" s="1853"/>
      <c r="I19" s="1853"/>
      <c r="J19" s="42"/>
      <c r="K19" s="477"/>
      <c r="L19" s="42"/>
      <c r="M19" s="42"/>
    </row>
    <row r="20" spans="1:13" s="261" customFormat="1" ht="15">
      <c r="A20" s="868">
        <f t="shared" si="0"/>
        <v>12</v>
      </c>
      <c r="B20" s="897" t="s">
        <v>36</v>
      </c>
      <c r="C20" s="1811"/>
      <c r="D20" s="1811"/>
      <c r="E20" s="1811"/>
      <c r="F20" s="1811"/>
      <c r="G20" s="204">
        <v>15936307.15</v>
      </c>
      <c r="H20" s="1853"/>
      <c r="I20" s="1853"/>
      <c r="J20" s="42"/>
      <c r="K20" s="477"/>
      <c r="L20" s="42"/>
      <c r="M20" s="42"/>
    </row>
    <row r="21" spans="1:13" s="261" customFormat="1" ht="15">
      <c r="A21" s="868">
        <f t="shared" si="0"/>
        <v>13</v>
      </c>
      <c r="B21" s="897" t="s">
        <v>37</v>
      </c>
      <c r="C21" s="1811"/>
      <c r="D21" s="1811"/>
      <c r="E21" s="1811"/>
      <c r="F21" s="1811"/>
      <c r="G21" s="1730">
        <v>15671470.75</v>
      </c>
      <c r="H21" s="1853"/>
      <c r="I21" s="1853"/>
      <c r="J21" s="42"/>
      <c r="K21" s="477"/>
      <c r="L21" s="42"/>
      <c r="M21" s="42"/>
    </row>
    <row r="22" spans="1:13" s="261" customFormat="1">
      <c r="A22" s="868">
        <f t="shared" si="0"/>
        <v>14</v>
      </c>
      <c r="B22" s="178" t="s">
        <v>1080</v>
      </c>
      <c r="D22" s="178"/>
      <c r="E22" s="178"/>
      <c r="G22" s="153">
        <f>SUM(G10:G21)</f>
        <v>199493601.27000001</v>
      </c>
      <c r="H22" s="178" t="str">
        <f>+"Sum (Line "&amp;A10&amp;" to "&amp;A21&amp;")"</f>
        <v>Sum (Line 2 to 13)</v>
      </c>
      <c r="J22" s="42"/>
      <c r="K22" s="477"/>
      <c r="L22" s="42"/>
      <c r="M22" s="42"/>
    </row>
    <row r="23" spans="1:13" s="261" customFormat="1">
      <c r="A23" s="868">
        <f t="shared" si="0"/>
        <v>15</v>
      </c>
      <c r="B23" s="178" t="s">
        <v>551</v>
      </c>
      <c r="D23" s="178"/>
      <c r="E23" s="178"/>
      <c r="G23" s="262">
        <v>54487372.370989062</v>
      </c>
      <c r="H23" s="178" t="s">
        <v>2133</v>
      </c>
      <c r="J23" s="42"/>
      <c r="K23" s="1536"/>
      <c r="L23" s="42"/>
      <c r="M23" s="42"/>
    </row>
    <row r="24" spans="1:13" s="261" customFormat="1" ht="13.2" customHeight="1">
      <c r="A24" s="868">
        <f t="shared" si="0"/>
        <v>16</v>
      </c>
      <c r="B24" s="1962" t="s">
        <v>1097</v>
      </c>
      <c r="C24" s="1962"/>
      <c r="D24" s="1962"/>
      <c r="E24" s="1962"/>
      <c r="F24" s="1962"/>
      <c r="G24" s="257">
        <v>0</v>
      </c>
      <c r="H24" s="1866"/>
      <c r="I24" s="1851"/>
      <c r="J24" s="42"/>
      <c r="K24" s="477"/>
      <c r="L24" s="42"/>
      <c r="M24" s="42"/>
    </row>
    <row r="25" spans="1:13" s="261" customFormat="1">
      <c r="A25" s="868">
        <f t="shared" si="0"/>
        <v>17</v>
      </c>
      <c r="B25" s="261" t="s">
        <v>1098</v>
      </c>
      <c r="D25" s="179"/>
      <c r="E25" s="179"/>
      <c r="F25" s="41"/>
      <c r="G25" s="1735">
        <f>+G22+G23-G24</f>
        <v>253980973.64098907</v>
      </c>
      <c r="H25" s="1412" t="str">
        <f>+"Sum (Line "&amp;A22&amp;" + "&amp;A23&amp;" - "&amp;A24&amp;")"</f>
        <v>Sum (Line 14 + 15 - 16)</v>
      </c>
      <c r="I25" s="1851"/>
      <c r="J25" s="42"/>
      <c r="K25" s="42"/>
      <c r="L25" s="42"/>
      <c r="M25" s="42"/>
    </row>
    <row r="26" spans="1:13" s="261" customFormat="1">
      <c r="A26" s="868">
        <f t="shared" si="0"/>
        <v>18</v>
      </c>
      <c r="B26" s="1014"/>
      <c r="C26" s="1811"/>
      <c r="D26" s="179"/>
      <c r="E26" s="178"/>
      <c r="F26" s="41"/>
      <c r="G26" s="41"/>
      <c r="H26" s="41"/>
      <c r="I26" s="1851"/>
      <c r="J26" s="42"/>
      <c r="K26" s="42"/>
      <c r="L26" s="42"/>
      <c r="M26" s="42"/>
    </row>
    <row r="27" spans="1:13" s="261" customFormat="1">
      <c r="A27" s="868">
        <f t="shared" si="0"/>
        <v>19</v>
      </c>
      <c r="B27" s="41" t="s">
        <v>1099</v>
      </c>
      <c r="D27" s="41"/>
      <c r="E27" s="41"/>
      <c r="F27" s="41"/>
      <c r="G27" s="77">
        <v>295419104.37603158</v>
      </c>
      <c r="H27" s="1412" t="s">
        <v>1088</v>
      </c>
      <c r="I27" s="1851"/>
      <c r="J27" s="42"/>
      <c r="K27" s="42"/>
      <c r="L27" s="42"/>
      <c r="M27" s="42"/>
    </row>
    <row r="28" spans="1:13" s="261" customFormat="1" ht="15">
      <c r="A28" s="868">
        <f t="shared" si="0"/>
        <v>20</v>
      </c>
      <c r="B28" s="41"/>
      <c r="D28" s="1811"/>
      <c r="E28" s="1811"/>
      <c r="F28" s="1811"/>
      <c r="G28" s="479"/>
      <c r="H28" s="1867" t="s">
        <v>2078</v>
      </c>
      <c r="I28" s="1851"/>
      <c r="J28" s="42"/>
      <c r="K28" s="42"/>
      <c r="L28" s="42"/>
      <c r="M28" s="42"/>
    </row>
    <row r="29" spans="1:13" s="261" customFormat="1">
      <c r="A29" s="868">
        <f t="shared" si="0"/>
        <v>21</v>
      </c>
      <c r="B29" s="41" t="s">
        <v>924</v>
      </c>
      <c r="D29" s="41"/>
      <c r="E29" s="41"/>
      <c r="F29" s="41"/>
      <c r="G29" s="249">
        <f>+G27-G25</f>
        <v>41438130.735042512</v>
      </c>
      <c r="H29" s="1412" t="str">
        <f>+"Line "&amp;A27&amp;" - Line "&amp;A25</f>
        <v>Line 19 - Line 17</v>
      </c>
      <c r="I29" s="1851"/>
      <c r="J29" s="42"/>
      <c r="K29" s="42"/>
      <c r="L29" s="42"/>
      <c r="M29" s="42"/>
    </row>
    <row r="30" spans="1:13" s="261" customFormat="1">
      <c r="A30" s="1412">
        <f t="shared" si="0"/>
        <v>22</v>
      </c>
      <c r="B30" s="41"/>
      <c r="D30" s="41"/>
      <c r="E30" s="41"/>
      <c r="F30" s="41"/>
      <c r="G30" s="249"/>
      <c r="H30" s="1412"/>
      <c r="I30" s="1851"/>
      <c r="J30" s="42"/>
      <c r="K30" s="42"/>
      <c r="L30" s="42"/>
      <c r="M30" s="42"/>
    </row>
    <row r="31" spans="1:13" s="261" customFormat="1">
      <c r="A31" s="1412">
        <f t="shared" si="0"/>
        <v>23</v>
      </c>
      <c r="B31" s="41" t="s">
        <v>925</v>
      </c>
      <c r="D31" s="41"/>
      <c r="E31" s="41"/>
      <c r="F31" s="41"/>
      <c r="G31" s="257">
        <v>0</v>
      </c>
      <c r="H31" s="1412" t="s">
        <v>549</v>
      </c>
      <c r="I31" s="1851"/>
      <c r="J31" s="42"/>
      <c r="K31" s="477"/>
      <c r="L31" s="42"/>
      <c r="M31" s="42"/>
    </row>
    <row r="32" spans="1:13" s="261" customFormat="1">
      <c r="A32" s="1412">
        <f t="shared" si="0"/>
        <v>24</v>
      </c>
      <c r="B32" s="41"/>
      <c r="D32" s="41"/>
      <c r="E32" s="41"/>
      <c r="F32" s="41"/>
      <c r="G32" s="77"/>
      <c r="H32" s="1412"/>
      <c r="I32" s="1851"/>
      <c r="J32" s="42"/>
      <c r="K32" s="42"/>
      <c r="L32" s="42"/>
      <c r="M32" s="42"/>
    </row>
    <row r="33" spans="1:13" s="261" customFormat="1">
      <c r="A33" s="1412">
        <f t="shared" si="0"/>
        <v>25</v>
      </c>
      <c r="B33" s="1412" t="s">
        <v>1100</v>
      </c>
      <c r="C33" s="1811"/>
      <c r="D33" s="179"/>
      <c r="E33" s="178"/>
      <c r="F33" s="41"/>
      <c r="G33" s="41"/>
      <c r="H33" s="42"/>
      <c r="I33" s="1811"/>
      <c r="J33" s="42"/>
      <c r="K33" s="42"/>
      <c r="L33" s="42"/>
      <c r="M33" s="42"/>
    </row>
    <row r="34" spans="1:13" s="261" customFormat="1">
      <c r="A34" s="1412"/>
      <c r="B34" s="1014"/>
      <c r="C34" s="1811"/>
      <c r="D34" s="1868" t="s">
        <v>1885</v>
      </c>
      <c r="E34" s="178"/>
      <c r="F34" s="41"/>
      <c r="G34" s="41"/>
      <c r="H34" s="42"/>
      <c r="I34" s="1811"/>
      <c r="J34" s="42"/>
      <c r="K34" s="42"/>
      <c r="L34" s="42"/>
      <c r="M34" s="42"/>
    </row>
    <row r="35" spans="1:13" s="261" customFormat="1" ht="54" customHeight="1">
      <c r="A35" s="1412"/>
      <c r="B35" s="1123" t="s">
        <v>425</v>
      </c>
      <c r="C35" s="613" t="s">
        <v>426</v>
      </c>
      <c r="D35" s="613" t="s">
        <v>283</v>
      </c>
      <c r="E35" s="613" t="s">
        <v>946</v>
      </c>
      <c r="F35" s="613" t="s">
        <v>868</v>
      </c>
      <c r="G35" s="613" t="s">
        <v>451</v>
      </c>
      <c r="H35" s="613" t="s">
        <v>427</v>
      </c>
      <c r="I35" s="613" t="s">
        <v>428</v>
      </c>
      <c r="J35" s="42"/>
      <c r="K35" s="42"/>
      <c r="L35" s="42"/>
      <c r="M35" s="42"/>
    </row>
    <row r="36" spans="1:13" s="261" customFormat="1" ht="15" customHeight="1">
      <c r="A36" s="1412">
        <f>+A33+1</f>
        <v>26</v>
      </c>
      <c r="B36" s="1814" t="s">
        <v>67</v>
      </c>
      <c r="C36" s="569" t="s">
        <v>114</v>
      </c>
      <c r="D36" s="569" t="s">
        <v>852</v>
      </c>
      <c r="E36" s="569" t="s">
        <v>853</v>
      </c>
      <c r="F36" s="569" t="s">
        <v>854</v>
      </c>
      <c r="G36" s="1489" t="s">
        <v>1105</v>
      </c>
      <c r="H36" s="1489" t="s">
        <v>1106</v>
      </c>
      <c r="I36" s="569" t="s">
        <v>166</v>
      </c>
      <c r="J36" s="42"/>
      <c r="K36" s="42"/>
      <c r="L36" s="42"/>
      <c r="M36" s="42"/>
    </row>
    <row r="37" spans="1:13" s="261" customFormat="1" ht="15">
      <c r="A37" s="866">
        <f>+A36+0.01</f>
        <v>26.01</v>
      </c>
      <c r="B37" s="41"/>
      <c r="C37" s="1732">
        <v>42005</v>
      </c>
      <c r="D37" s="1733">
        <v>0</v>
      </c>
      <c r="E37" s="481">
        <f t="shared" ref="E37:E46" si="1">D37/12</f>
        <v>0</v>
      </c>
      <c r="F37" s="841">
        <f t="shared" ref="F37:F64" si="2">H37*E37</f>
        <v>0</v>
      </c>
      <c r="G37" s="1678">
        <f>+G$29/12</f>
        <v>3453177.5612535425</v>
      </c>
      <c r="H37" s="1450">
        <f>IF((B37=1),G37,G37)</f>
        <v>3453177.5612535425</v>
      </c>
      <c r="I37" s="841">
        <f>F37+G37</f>
        <v>3453177.5612535425</v>
      </c>
      <c r="J37" s="42"/>
      <c r="K37" s="42" t="s">
        <v>1886</v>
      </c>
      <c r="L37" s="484"/>
      <c r="M37" s="485"/>
    </row>
    <row r="38" spans="1:13" s="261" customFormat="1">
      <c r="A38" s="866">
        <f t="shared" ref="A38:A65" si="3">+A37+0.01</f>
        <v>26.020000000000003</v>
      </c>
      <c r="B38" s="41"/>
      <c r="C38" s="1732">
        <v>42036</v>
      </c>
      <c r="D38" s="1733">
        <v>0</v>
      </c>
      <c r="E38" s="481">
        <f t="shared" si="1"/>
        <v>0</v>
      </c>
      <c r="F38" s="841">
        <f t="shared" si="2"/>
        <v>0</v>
      </c>
      <c r="G38" s="1678">
        <f t="shared" ref="G38:G48" si="4">+G$29/12</f>
        <v>3453177.5612535425</v>
      </c>
      <c r="H38" s="1450">
        <f t="shared" ref="H38:H64" si="5">IF((B38=1),I37+G38,+H37+G38)</f>
        <v>6906355.1225070851</v>
      </c>
      <c r="I38" s="841">
        <f>I37+F38+G38</f>
        <v>6906355.1225070851</v>
      </c>
      <c r="J38" s="42"/>
      <c r="K38" s="261" t="s">
        <v>1887</v>
      </c>
    </row>
    <row r="39" spans="1:13" s="261" customFormat="1">
      <c r="A39" s="866">
        <f t="shared" si="3"/>
        <v>26.030000000000005</v>
      </c>
      <c r="B39" s="41"/>
      <c r="C39" s="1732">
        <v>42064</v>
      </c>
      <c r="D39" s="1733">
        <v>0</v>
      </c>
      <c r="E39" s="481">
        <f t="shared" si="1"/>
        <v>0</v>
      </c>
      <c r="F39" s="841">
        <f t="shared" si="2"/>
        <v>0</v>
      </c>
      <c r="G39" s="1678">
        <f t="shared" si="4"/>
        <v>3453177.5612535425</v>
      </c>
      <c r="H39" s="1450">
        <f t="shared" si="5"/>
        <v>10359532.683760628</v>
      </c>
      <c r="I39" s="841">
        <f t="shared" ref="I39:I65" si="6">I38+F39+G39</f>
        <v>10359532.683760628</v>
      </c>
      <c r="J39" s="42"/>
      <c r="K39" s="261" t="s">
        <v>1888</v>
      </c>
    </row>
    <row r="40" spans="1:13" s="261" customFormat="1">
      <c r="A40" s="866">
        <f t="shared" si="3"/>
        <v>26.040000000000006</v>
      </c>
      <c r="B40" s="41">
        <v>1</v>
      </c>
      <c r="C40" s="1732">
        <v>42095</v>
      </c>
      <c r="D40" s="1733">
        <v>0</v>
      </c>
      <c r="E40" s="481">
        <f t="shared" si="1"/>
        <v>0</v>
      </c>
      <c r="F40" s="841">
        <f t="shared" si="2"/>
        <v>0</v>
      </c>
      <c r="G40" s="1678">
        <f t="shared" si="4"/>
        <v>3453177.5612535425</v>
      </c>
      <c r="H40" s="1450">
        <f t="shared" si="5"/>
        <v>13812710.24501417</v>
      </c>
      <c r="I40" s="841">
        <f t="shared" si="6"/>
        <v>13812710.24501417</v>
      </c>
      <c r="J40" s="42"/>
      <c r="K40" s="261" t="s">
        <v>1889</v>
      </c>
    </row>
    <row r="41" spans="1:13" s="261" customFormat="1">
      <c r="A41" s="866">
        <f t="shared" si="3"/>
        <v>26.050000000000008</v>
      </c>
      <c r="B41" s="41"/>
      <c r="C41" s="1732">
        <v>42125</v>
      </c>
      <c r="D41" s="1733">
        <v>0</v>
      </c>
      <c r="E41" s="481">
        <f t="shared" si="1"/>
        <v>0</v>
      </c>
      <c r="F41" s="841">
        <f t="shared" si="2"/>
        <v>0</v>
      </c>
      <c r="G41" s="1678">
        <f t="shared" si="4"/>
        <v>3453177.5612535425</v>
      </c>
      <c r="H41" s="1450">
        <f t="shared" si="5"/>
        <v>17265887.806267712</v>
      </c>
      <c r="I41" s="841">
        <f t="shared" si="6"/>
        <v>17265887.806267712</v>
      </c>
      <c r="J41" s="42"/>
      <c r="K41" s="249"/>
      <c r="L41" s="77"/>
      <c r="M41" s="249"/>
    </row>
    <row r="42" spans="1:13" s="261" customFormat="1">
      <c r="A42" s="866">
        <f t="shared" si="3"/>
        <v>26.060000000000009</v>
      </c>
      <c r="B42" s="41"/>
      <c r="C42" s="1732">
        <v>42156</v>
      </c>
      <c r="D42" s="1733">
        <v>0</v>
      </c>
      <c r="E42" s="481">
        <f t="shared" si="1"/>
        <v>0</v>
      </c>
      <c r="F42" s="841">
        <f t="shared" si="2"/>
        <v>0</v>
      </c>
      <c r="G42" s="1678">
        <f t="shared" si="4"/>
        <v>3453177.5612535425</v>
      </c>
      <c r="H42" s="1450">
        <f t="shared" si="5"/>
        <v>20719065.367521256</v>
      </c>
      <c r="I42" s="841">
        <f t="shared" si="6"/>
        <v>20719065.367521256</v>
      </c>
      <c r="J42" s="42"/>
      <c r="K42" s="249"/>
      <c r="L42" s="77"/>
      <c r="M42" s="249"/>
    </row>
    <row r="43" spans="1:13" s="261" customFormat="1">
      <c r="A43" s="866">
        <f t="shared" si="3"/>
        <v>26.070000000000011</v>
      </c>
      <c r="B43" s="41">
        <v>1</v>
      </c>
      <c r="C43" s="1732">
        <v>42186</v>
      </c>
      <c r="D43" s="1733">
        <v>0</v>
      </c>
      <c r="E43" s="481">
        <f t="shared" si="1"/>
        <v>0</v>
      </c>
      <c r="F43" s="841">
        <f t="shared" si="2"/>
        <v>0</v>
      </c>
      <c r="G43" s="1678">
        <f t="shared" si="4"/>
        <v>3453177.5612535425</v>
      </c>
      <c r="H43" s="1450">
        <f t="shared" si="5"/>
        <v>24172242.9287748</v>
      </c>
      <c r="I43" s="841">
        <f t="shared" si="6"/>
        <v>24172242.9287748</v>
      </c>
      <c r="J43" s="42"/>
      <c r="K43" s="249"/>
      <c r="L43" s="77"/>
      <c r="M43" s="249"/>
    </row>
    <row r="44" spans="1:13" s="261" customFormat="1">
      <c r="A44" s="866">
        <f t="shared" si="3"/>
        <v>26.080000000000013</v>
      </c>
      <c r="B44" s="41"/>
      <c r="C44" s="1732">
        <v>42217</v>
      </c>
      <c r="D44" s="1733">
        <v>0</v>
      </c>
      <c r="E44" s="481">
        <f t="shared" si="1"/>
        <v>0</v>
      </c>
      <c r="F44" s="841">
        <f t="shared" si="2"/>
        <v>0</v>
      </c>
      <c r="G44" s="1678">
        <f t="shared" si="4"/>
        <v>3453177.5612535425</v>
      </c>
      <c r="H44" s="1450">
        <f t="shared" si="5"/>
        <v>27625420.490028344</v>
      </c>
      <c r="I44" s="841">
        <f t="shared" si="6"/>
        <v>27625420.490028344</v>
      </c>
      <c r="J44" s="42"/>
      <c r="K44" s="249"/>
      <c r="L44" s="77"/>
      <c r="M44" s="249"/>
    </row>
    <row r="45" spans="1:13" s="261" customFormat="1">
      <c r="A45" s="866">
        <f t="shared" si="3"/>
        <v>26.090000000000014</v>
      </c>
      <c r="B45" s="41"/>
      <c r="C45" s="1732">
        <v>42248</v>
      </c>
      <c r="D45" s="1733">
        <v>0</v>
      </c>
      <c r="E45" s="481">
        <f t="shared" si="1"/>
        <v>0</v>
      </c>
      <c r="F45" s="841">
        <f t="shared" si="2"/>
        <v>0</v>
      </c>
      <c r="G45" s="1678">
        <f t="shared" si="4"/>
        <v>3453177.5612535425</v>
      </c>
      <c r="H45" s="1450">
        <f t="shared" si="5"/>
        <v>31078598.051281888</v>
      </c>
      <c r="I45" s="841">
        <f t="shared" si="6"/>
        <v>31078598.051281888</v>
      </c>
      <c r="J45" s="42"/>
      <c r="K45" s="249"/>
      <c r="L45" s="77"/>
      <c r="M45" s="249"/>
    </row>
    <row r="46" spans="1:13" s="261" customFormat="1">
      <c r="A46" s="866">
        <f t="shared" si="3"/>
        <v>26.100000000000016</v>
      </c>
      <c r="B46" s="41">
        <v>1</v>
      </c>
      <c r="C46" s="1732">
        <v>42278</v>
      </c>
      <c r="D46" s="1733">
        <v>0</v>
      </c>
      <c r="E46" s="481">
        <f t="shared" si="1"/>
        <v>0</v>
      </c>
      <c r="F46" s="841">
        <f t="shared" si="2"/>
        <v>0</v>
      </c>
      <c r="G46" s="1678">
        <f t="shared" si="4"/>
        <v>3453177.5612535425</v>
      </c>
      <c r="H46" s="1450">
        <f t="shared" si="5"/>
        <v>34531775.612535432</v>
      </c>
      <c r="I46" s="841">
        <f t="shared" si="6"/>
        <v>34531775.612535432</v>
      </c>
      <c r="J46" s="42"/>
      <c r="K46" s="249"/>
      <c r="L46" s="77"/>
      <c r="M46" s="249"/>
    </row>
    <row r="47" spans="1:13" s="261" customFormat="1">
      <c r="A47" s="866">
        <f t="shared" si="3"/>
        <v>26.110000000000017</v>
      </c>
      <c r="B47" s="41"/>
      <c r="C47" s="1732">
        <v>42309</v>
      </c>
      <c r="D47" s="1733">
        <v>3.2500000000000001E-2</v>
      </c>
      <c r="E47" s="481">
        <f>+D47/12</f>
        <v>2.7083333333333334E-3</v>
      </c>
      <c r="F47" s="841">
        <f t="shared" si="2"/>
        <v>102875.91484567848</v>
      </c>
      <c r="G47" s="1678">
        <f t="shared" si="4"/>
        <v>3453177.5612535425</v>
      </c>
      <c r="H47" s="1450">
        <f t="shared" si="5"/>
        <v>37984953.173788972</v>
      </c>
      <c r="I47" s="841">
        <f t="shared" si="6"/>
        <v>38087829.088634647</v>
      </c>
      <c r="J47" s="42"/>
      <c r="K47" s="249"/>
      <c r="L47" s="77"/>
      <c r="M47" s="249"/>
    </row>
    <row r="48" spans="1:13" s="261" customFormat="1">
      <c r="A48" s="866">
        <f t="shared" si="3"/>
        <v>26.120000000000019</v>
      </c>
      <c r="B48" s="41"/>
      <c r="C48" s="1732">
        <v>42339</v>
      </c>
      <c r="D48" s="1733">
        <v>3.2500000000000001E-2</v>
      </c>
      <c r="E48" s="481">
        <f t="shared" ref="E48:E65" si="7">+D48/12</f>
        <v>2.7083333333333334E-3</v>
      </c>
      <c r="F48" s="841">
        <f t="shared" si="2"/>
        <v>112228.27074074015</v>
      </c>
      <c r="G48" s="1678">
        <f t="shared" si="4"/>
        <v>3453177.5612535425</v>
      </c>
      <c r="H48" s="1450">
        <f t="shared" si="5"/>
        <v>41438130.735042512</v>
      </c>
      <c r="I48" s="841">
        <f t="shared" si="6"/>
        <v>41653234.920628928</v>
      </c>
      <c r="J48" s="42"/>
      <c r="K48" s="249"/>
      <c r="L48" s="77"/>
      <c r="M48" s="249"/>
    </row>
    <row r="49" spans="1:13" s="261" customFormat="1" ht="15">
      <c r="A49" s="866">
        <f t="shared" si="3"/>
        <v>26.13000000000002</v>
      </c>
      <c r="B49" s="41">
        <v>1</v>
      </c>
      <c r="C49" s="1732">
        <v>42370</v>
      </c>
      <c r="D49" s="1733">
        <v>3.2500000000000001E-2</v>
      </c>
      <c r="E49" s="481">
        <f t="shared" si="7"/>
        <v>2.7083333333333334E-3</v>
      </c>
      <c r="F49" s="841">
        <f t="shared" si="2"/>
        <v>112810.84457670336</v>
      </c>
      <c r="G49" s="1678"/>
      <c r="H49" s="1450">
        <f t="shared" si="5"/>
        <v>41653234.920628928</v>
      </c>
      <c r="I49" s="841">
        <f t="shared" si="6"/>
        <v>41766045.765205629</v>
      </c>
      <c r="J49" s="42"/>
      <c r="K49" s="487"/>
      <c r="L49" s="476"/>
      <c r="M49" s="487"/>
    </row>
    <row r="50" spans="1:13" s="261" customFormat="1">
      <c r="A50" s="866">
        <f t="shared" si="3"/>
        <v>26.140000000000022</v>
      </c>
      <c r="B50" s="83"/>
      <c r="C50" s="1732">
        <v>42401</v>
      </c>
      <c r="D50" s="1733">
        <v>3.2500000000000001E-2</v>
      </c>
      <c r="E50" s="481">
        <f t="shared" si="7"/>
        <v>2.7083333333333334E-3</v>
      </c>
      <c r="F50" s="841">
        <f t="shared" si="2"/>
        <v>112810.84457670336</v>
      </c>
      <c r="G50" s="1678"/>
      <c r="H50" s="1450">
        <f t="shared" si="5"/>
        <v>41653234.920628928</v>
      </c>
      <c r="I50" s="841">
        <f t="shared" si="6"/>
        <v>41878856.609782331</v>
      </c>
      <c r="J50" s="42"/>
      <c r="K50" s="249"/>
      <c r="L50" s="249"/>
      <c r="M50" s="42"/>
    </row>
    <row r="51" spans="1:13" s="261" customFormat="1">
      <c r="A51" s="866">
        <f t="shared" si="3"/>
        <v>26.150000000000023</v>
      </c>
      <c r="B51" s="488"/>
      <c r="C51" s="1732">
        <v>42430</v>
      </c>
      <c r="D51" s="1733">
        <v>3.2500000000000001E-2</v>
      </c>
      <c r="E51" s="481">
        <f t="shared" si="7"/>
        <v>2.7083333333333334E-3</v>
      </c>
      <c r="F51" s="841">
        <f t="shared" si="2"/>
        <v>112810.84457670336</v>
      </c>
      <c r="G51" s="1678"/>
      <c r="H51" s="1450">
        <f t="shared" si="5"/>
        <v>41653234.920628928</v>
      </c>
      <c r="I51" s="841">
        <f t="shared" si="6"/>
        <v>41991667.454359032</v>
      </c>
      <c r="J51" s="42"/>
      <c r="K51" s="42"/>
      <c r="L51" s="42"/>
      <c r="M51" s="42"/>
    </row>
    <row r="52" spans="1:13" s="261" customFormat="1">
      <c r="A52" s="866">
        <f t="shared" si="3"/>
        <v>26.160000000000025</v>
      </c>
      <c r="B52" s="41">
        <v>1</v>
      </c>
      <c r="C52" s="1732">
        <v>42461</v>
      </c>
      <c r="D52" s="1733">
        <v>3.4599999999999999E-2</v>
      </c>
      <c r="E52" s="481">
        <f t="shared" si="7"/>
        <v>2.8833333333333332E-3</v>
      </c>
      <c r="F52" s="841">
        <f t="shared" si="2"/>
        <v>121075.97449340187</v>
      </c>
      <c r="G52" s="1678"/>
      <c r="H52" s="1450">
        <f t="shared" si="5"/>
        <v>41991667.454359032</v>
      </c>
      <c r="I52" s="841">
        <f t="shared" si="6"/>
        <v>42112743.428852431</v>
      </c>
      <c r="J52" s="42"/>
      <c r="K52" s="42"/>
      <c r="L52" s="42"/>
      <c r="M52" s="42"/>
    </row>
    <row r="53" spans="1:13" s="261" customFormat="1">
      <c r="A53" s="866">
        <f t="shared" si="3"/>
        <v>26.170000000000027</v>
      </c>
      <c r="B53" s="488"/>
      <c r="C53" s="1732">
        <v>42491</v>
      </c>
      <c r="D53" s="1733">
        <v>3.4599999999999999E-2</v>
      </c>
      <c r="E53" s="481">
        <f t="shared" si="7"/>
        <v>2.8833333333333332E-3</v>
      </c>
      <c r="F53" s="841">
        <f t="shared" si="2"/>
        <v>121075.97449340187</v>
      </c>
      <c r="G53" s="1678"/>
      <c r="H53" s="1450">
        <f t="shared" si="5"/>
        <v>41991667.454359032</v>
      </c>
      <c r="I53" s="841">
        <f t="shared" si="6"/>
        <v>42233819.403345831</v>
      </c>
      <c r="J53" s="42"/>
      <c r="K53" s="41"/>
      <c r="L53" s="41"/>
      <c r="M53" s="41"/>
    </row>
    <row r="54" spans="1:13" s="261" customFormat="1">
      <c r="A54" s="866">
        <f t="shared" si="3"/>
        <v>26.180000000000028</v>
      </c>
      <c r="B54" s="488"/>
      <c r="C54" s="1732">
        <v>42522</v>
      </c>
      <c r="D54" s="1733">
        <v>3.4599999999999999E-2</v>
      </c>
      <c r="E54" s="481">
        <f t="shared" si="7"/>
        <v>2.8833333333333332E-3</v>
      </c>
      <c r="F54" s="841">
        <f t="shared" si="2"/>
        <v>110765.55549767104</v>
      </c>
      <c r="G54" s="153">
        <v>-3575867.859791039</v>
      </c>
      <c r="H54" s="199">
        <f>IF((B54=1),I53+G54,+H53+G54)</f>
        <v>38415799.594567992</v>
      </c>
      <c r="I54" s="1678">
        <f>I53+F54+G54</f>
        <v>38768717.099052459</v>
      </c>
      <c r="J54" s="42"/>
      <c r="K54" s="477"/>
      <c r="L54" s="41"/>
      <c r="M54" s="41"/>
    </row>
    <row r="55" spans="1:13" s="261" customFormat="1">
      <c r="A55" s="866">
        <f t="shared" si="3"/>
        <v>26.19000000000003</v>
      </c>
      <c r="B55" s="41">
        <v>1</v>
      </c>
      <c r="C55" s="1732">
        <v>42552</v>
      </c>
      <c r="D55" s="1733">
        <v>3.5000000000000003E-2</v>
      </c>
      <c r="E55" s="481">
        <f t="shared" si="7"/>
        <v>2.9166666666666668E-3</v>
      </c>
      <c r="F55" s="841">
        <f t="shared" si="2"/>
        <v>102645.81028117915</v>
      </c>
      <c r="G55" s="1678">
        <f>+G54</f>
        <v>-3575867.859791039</v>
      </c>
      <c r="H55" s="199">
        <f t="shared" si="5"/>
        <v>35192849.239261419</v>
      </c>
      <c r="I55" s="1678">
        <f t="shared" si="6"/>
        <v>35295495.049542598</v>
      </c>
      <c r="J55" s="42"/>
      <c r="K55" s="41"/>
      <c r="L55" s="41"/>
      <c r="M55" s="41"/>
    </row>
    <row r="56" spans="1:13" s="261" customFormat="1">
      <c r="A56" s="866">
        <f t="shared" si="3"/>
        <v>26.200000000000031</v>
      </c>
      <c r="B56" s="42"/>
      <c r="C56" s="1732">
        <v>42583</v>
      </c>
      <c r="D56" s="1733">
        <v>3.5000000000000003E-2</v>
      </c>
      <c r="E56" s="481">
        <f t="shared" si="7"/>
        <v>2.9166666666666668E-3</v>
      </c>
      <c r="F56" s="841">
        <f t="shared" si="2"/>
        <v>92216.195690121938</v>
      </c>
      <c r="G56" s="1678">
        <f>+G55</f>
        <v>-3575867.859791039</v>
      </c>
      <c r="H56" s="199">
        <f t="shared" si="5"/>
        <v>31616981.379470378</v>
      </c>
      <c r="I56" s="1678">
        <f t="shared" si="6"/>
        <v>31811843.385441683</v>
      </c>
      <c r="J56" s="42"/>
      <c r="K56" s="41"/>
      <c r="L56" s="41"/>
      <c r="M56" s="41"/>
    </row>
    <row r="57" spans="1:13" s="261" customFormat="1">
      <c r="A57" s="866">
        <f t="shared" si="3"/>
        <v>26.210000000000033</v>
      </c>
      <c r="B57" s="42"/>
      <c r="C57" s="1732">
        <v>42614</v>
      </c>
      <c r="D57" s="1733">
        <v>3.5000000000000003E-2</v>
      </c>
      <c r="E57" s="481">
        <f t="shared" si="7"/>
        <v>2.9166666666666668E-3</v>
      </c>
      <c r="F57" s="841">
        <f t="shared" si="2"/>
        <v>81786.581099064744</v>
      </c>
      <c r="G57" s="1678">
        <f t="shared" ref="G57:G65" si="8">+G56</f>
        <v>-3575867.859791039</v>
      </c>
      <c r="H57" s="199">
        <f t="shared" si="5"/>
        <v>28041113.519679338</v>
      </c>
      <c r="I57" s="1678">
        <f t="shared" si="6"/>
        <v>28317762.106749706</v>
      </c>
      <c r="J57" s="42"/>
      <c r="K57" s="41"/>
      <c r="L57" s="41"/>
      <c r="M57" s="41"/>
    </row>
    <row r="58" spans="1:13" s="261" customFormat="1">
      <c r="A58" s="866">
        <f t="shared" si="3"/>
        <v>26.220000000000034</v>
      </c>
      <c r="B58" s="41">
        <v>1</v>
      </c>
      <c r="C58" s="1732">
        <v>42644</v>
      </c>
      <c r="D58" s="1733">
        <v>3.5000000000000003E-2</v>
      </c>
      <c r="E58" s="481">
        <f t="shared" si="7"/>
        <v>2.9166666666666668E-3</v>
      </c>
      <c r="F58" s="841">
        <f t="shared" si="2"/>
        <v>72163.858220296112</v>
      </c>
      <c r="G58" s="1678">
        <f t="shared" si="8"/>
        <v>-3575867.859791039</v>
      </c>
      <c r="H58" s="199">
        <f t="shared" si="5"/>
        <v>24741894.246958666</v>
      </c>
      <c r="I58" s="1678">
        <f t="shared" si="6"/>
        <v>24814058.105178963</v>
      </c>
      <c r="J58" s="42"/>
      <c r="K58" s="41" t="s">
        <v>429</v>
      </c>
      <c r="L58" s="41"/>
      <c r="M58" s="41"/>
    </row>
    <row r="59" spans="1:13" s="261" customFormat="1">
      <c r="A59" s="866">
        <f t="shared" si="3"/>
        <v>26.230000000000036</v>
      </c>
      <c r="B59" s="42"/>
      <c r="C59" s="1732">
        <v>42675</v>
      </c>
      <c r="D59" s="1733">
        <v>3.5000000000000003E-2</v>
      </c>
      <c r="E59" s="481">
        <f t="shared" si="7"/>
        <v>2.9166666666666668E-3</v>
      </c>
      <c r="F59" s="841">
        <f t="shared" si="2"/>
        <v>61734.24362923891</v>
      </c>
      <c r="G59" s="1678">
        <f t="shared" si="8"/>
        <v>-3575867.859791039</v>
      </c>
      <c r="H59" s="199">
        <f t="shared" si="5"/>
        <v>21166026.387167625</v>
      </c>
      <c r="I59" s="1678">
        <f t="shared" si="6"/>
        <v>21299924.489017162</v>
      </c>
      <c r="J59" s="42"/>
      <c r="K59" s="41" t="s">
        <v>430</v>
      </c>
      <c r="L59" s="41"/>
      <c r="M59" s="41"/>
    </row>
    <row r="60" spans="1:13" s="261" customFormat="1">
      <c r="A60" s="866">
        <f t="shared" si="3"/>
        <v>26.240000000000038</v>
      </c>
      <c r="B60" s="42"/>
      <c r="C60" s="1732">
        <v>42705</v>
      </c>
      <c r="D60" s="1733">
        <v>3.5000000000000003E-2</v>
      </c>
      <c r="E60" s="481">
        <f t="shared" si="7"/>
        <v>2.9166666666666668E-3</v>
      </c>
      <c r="F60" s="841">
        <f t="shared" si="2"/>
        <v>51304.629038181709</v>
      </c>
      <c r="G60" s="1678">
        <f t="shared" si="8"/>
        <v>-3575867.859791039</v>
      </c>
      <c r="H60" s="199">
        <f t="shared" si="5"/>
        <v>17590158.527376585</v>
      </c>
      <c r="I60" s="1678">
        <f t="shared" si="6"/>
        <v>17775361.258264303</v>
      </c>
      <c r="J60" s="42"/>
      <c r="K60" s="41"/>
      <c r="L60" s="41"/>
      <c r="M60" s="41"/>
    </row>
    <row r="61" spans="1:13" s="261" customFormat="1">
      <c r="A61" s="866">
        <f t="shared" si="3"/>
        <v>26.250000000000039</v>
      </c>
      <c r="B61" s="41">
        <v>1</v>
      </c>
      <c r="C61" s="1732">
        <v>42736</v>
      </c>
      <c r="D61" s="1733">
        <v>3.5000000000000003E-2</v>
      </c>
      <c r="E61" s="481">
        <f t="shared" si="7"/>
        <v>2.9166666666666668E-3</v>
      </c>
      <c r="F61" s="841">
        <f t="shared" si="2"/>
        <v>41415.189078880358</v>
      </c>
      <c r="G61" s="1678">
        <f t="shared" si="8"/>
        <v>-3575867.859791039</v>
      </c>
      <c r="H61" s="199">
        <f t="shared" si="5"/>
        <v>14199493.398473265</v>
      </c>
      <c r="I61" s="1678">
        <f t="shared" si="6"/>
        <v>14240908.587552143</v>
      </c>
      <c r="J61" s="41"/>
      <c r="K61" s="41" t="s">
        <v>431</v>
      </c>
      <c r="L61" s="41"/>
      <c r="M61" s="41"/>
    </row>
    <row r="62" spans="1:13" s="261" customFormat="1">
      <c r="A62" s="866">
        <f t="shared" si="3"/>
        <v>26.260000000000041</v>
      </c>
      <c r="B62" s="83"/>
      <c r="C62" s="1732">
        <v>42767</v>
      </c>
      <c r="D62" s="1733">
        <v>3.5000000000000003E-2</v>
      </c>
      <c r="E62" s="481">
        <f t="shared" si="7"/>
        <v>2.9166666666666668E-3</v>
      </c>
      <c r="F62" s="841">
        <f t="shared" si="2"/>
        <v>30985.57448782316</v>
      </c>
      <c r="G62" s="1678">
        <f t="shared" si="8"/>
        <v>-3575867.859791039</v>
      </c>
      <c r="H62" s="199">
        <f t="shared" si="5"/>
        <v>10623625.538682226</v>
      </c>
      <c r="I62" s="1678">
        <f t="shared" si="6"/>
        <v>10696026.302248929</v>
      </c>
      <c r="J62" s="41"/>
      <c r="K62" s="41"/>
      <c r="L62" s="899" t="s">
        <v>432</v>
      </c>
      <c r="M62" s="900" t="str">
        <f ca="1">CELL("address",I65)</f>
        <v>$I$65</v>
      </c>
    </row>
    <row r="63" spans="1:13" s="261" customFormat="1">
      <c r="A63" s="866">
        <f t="shared" si="3"/>
        <v>26.270000000000042</v>
      </c>
      <c r="B63" s="488"/>
      <c r="C63" s="1732">
        <v>42795</v>
      </c>
      <c r="D63" s="1733">
        <v>3.5000000000000003E-2</v>
      </c>
      <c r="E63" s="481">
        <f t="shared" si="7"/>
        <v>2.9166666666666668E-3</v>
      </c>
      <c r="F63" s="841">
        <f t="shared" si="2"/>
        <v>20555.959896765966</v>
      </c>
      <c r="G63" s="1678">
        <f t="shared" si="8"/>
        <v>-3575867.859791039</v>
      </c>
      <c r="H63" s="1450">
        <f t="shared" si="5"/>
        <v>7047757.6788911875</v>
      </c>
      <c r="I63" s="841">
        <f t="shared" si="6"/>
        <v>7140714.4023546558</v>
      </c>
      <c r="J63" s="41"/>
      <c r="K63" s="41"/>
      <c r="L63" s="899" t="s">
        <v>433</v>
      </c>
      <c r="M63" s="899">
        <v>0</v>
      </c>
    </row>
    <row r="64" spans="1:13" s="261" customFormat="1">
      <c r="A64" s="866">
        <f t="shared" si="3"/>
        <v>26.280000000000044</v>
      </c>
      <c r="B64" s="41">
        <v>1</v>
      </c>
      <c r="C64" s="1732">
        <v>42826</v>
      </c>
      <c r="D64" s="1733">
        <v>3.7100000000000001E-2</v>
      </c>
      <c r="E64" s="481">
        <f t="shared" si="7"/>
        <v>3.0916666666666666E-3</v>
      </c>
      <c r="F64" s="841">
        <f t="shared" si="2"/>
        <v>11021.317227425849</v>
      </c>
      <c r="G64" s="1678">
        <f t="shared" si="8"/>
        <v>-3575867.859791039</v>
      </c>
      <c r="H64" s="1450">
        <f t="shared" si="5"/>
        <v>3564846.5425636168</v>
      </c>
      <c r="I64" s="841">
        <f t="shared" si="6"/>
        <v>3575867.8597910427</v>
      </c>
      <c r="J64" s="41"/>
      <c r="K64" s="41"/>
      <c r="L64" s="899" t="s">
        <v>434</v>
      </c>
      <c r="M64" s="900" t="str">
        <f ca="1">CELL("address",G54)</f>
        <v>$G$54</v>
      </c>
    </row>
    <row r="65" spans="1:21" s="261" customFormat="1" ht="15">
      <c r="A65" s="866">
        <f t="shared" si="3"/>
        <v>26.290000000000045</v>
      </c>
      <c r="B65" s="41"/>
      <c r="C65" s="1732">
        <v>42856</v>
      </c>
      <c r="D65" s="1733">
        <v>3.7100000000000001E-2</v>
      </c>
      <c r="E65" s="481">
        <f t="shared" si="7"/>
        <v>3.0916666666666666E-3</v>
      </c>
      <c r="F65" s="1736">
        <f>H65*E65</f>
        <v>0</v>
      </c>
      <c r="G65" s="1678">
        <f t="shared" si="8"/>
        <v>-3575867.859791039</v>
      </c>
      <c r="H65" s="1450"/>
      <c r="I65" s="1277">
        <f t="shared" si="6"/>
        <v>3.7252902984619141E-9</v>
      </c>
      <c r="J65" s="41"/>
      <c r="K65" s="41"/>
      <c r="L65" s="41"/>
      <c r="M65" s="41"/>
    </row>
    <row r="66" spans="1:21" s="261" customFormat="1">
      <c r="A66" s="868">
        <f>+A36+1</f>
        <v>27</v>
      </c>
      <c r="B66" s="41" t="s">
        <v>842</v>
      </c>
      <c r="C66" s="480"/>
      <c r="D66" s="486"/>
      <c r="E66" s="1147"/>
      <c r="F66" s="841">
        <f>SUM(F37:F65)</f>
        <v>1472283.582449981</v>
      </c>
      <c r="G66" s="901"/>
      <c r="H66" s="482" t="str">
        <f>+"Col. "&amp;F6&amp;" Sum of Line "&amp;A36&amp;" Subparts"</f>
        <v>Col. E Sum of Line 26 Subparts</v>
      </c>
      <c r="I66" s="902"/>
      <c r="J66" s="41"/>
      <c r="K66" s="41"/>
      <c r="L66" s="41"/>
      <c r="M66" s="41"/>
    </row>
    <row r="67" spans="1:21" s="261" customFormat="1" ht="13.8" thickBot="1">
      <c r="A67" s="1412">
        <f>A66+1</f>
        <v>28</v>
      </c>
      <c r="B67" s="1490" t="s">
        <v>1107</v>
      </c>
      <c r="C67" s="480"/>
      <c r="D67" s="486"/>
      <c r="E67" s="1147"/>
      <c r="F67" s="1491">
        <f>+G29+G31</f>
        <v>41438130.735042512</v>
      </c>
      <c r="G67" s="490"/>
      <c r="H67" s="1963" t="str">
        <f>+"Col. "&amp;G6&amp;" Line "&amp;A29&amp;" + Line "&amp;A31</f>
        <v>Col. F Line 21 + Line 23</v>
      </c>
      <c r="I67" s="1963"/>
      <c r="J67" s="41"/>
      <c r="K67" s="41"/>
      <c r="L67" s="41"/>
      <c r="M67" s="41"/>
    </row>
    <row r="68" spans="1:21" s="261" customFormat="1" ht="13.8" thickBot="1">
      <c r="A68" s="1412">
        <f>A67+1</f>
        <v>29</v>
      </c>
      <c r="B68" s="41" t="s">
        <v>1108</v>
      </c>
      <c r="C68" s="480"/>
      <c r="D68" s="486"/>
      <c r="E68" s="1147"/>
      <c r="F68" s="1492">
        <f>SUM(F66:F67)</f>
        <v>42910414.317492492</v>
      </c>
      <c r="G68" s="482"/>
      <c r="H68" s="482" t="str">
        <f>+"Col. "&amp;F6&amp;" Line "&amp;A66&amp;" + "&amp;A67</f>
        <v>Col. E Line 27 + 28</v>
      </c>
      <c r="I68" s="482"/>
      <c r="J68" s="41"/>
      <c r="K68" s="41"/>
      <c r="L68" s="41"/>
      <c r="M68" s="41"/>
    </row>
    <row r="69" spans="1:21" s="261" customFormat="1" ht="13.8" thickBot="1">
      <c r="A69" s="42"/>
      <c r="B69" s="41"/>
      <c r="C69" s="41"/>
      <c r="D69" s="41"/>
      <c r="E69" s="41"/>
      <c r="F69" s="41"/>
      <c r="G69" s="1492">
        <f>+SUM(G54:G60)</f>
        <v>-25031075.018537275</v>
      </c>
      <c r="H69" s="43" t="s">
        <v>2132</v>
      </c>
      <c r="I69" s="43"/>
      <c r="J69" s="41"/>
      <c r="K69" s="41"/>
      <c r="L69" s="41"/>
      <c r="M69" s="41"/>
    </row>
    <row r="70" spans="1:21" s="42" customFormat="1">
      <c r="B70" s="41"/>
      <c r="C70" s="480"/>
      <c r="D70" s="486"/>
      <c r="E70" s="1147"/>
      <c r="F70" s="482"/>
      <c r="G70" s="483"/>
      <c r="H70" s="489"/>
      <c r="I70" s="482"/>
      <c r="J70" s="41"/>
      <c r="K70" s="41"/>
      <c r="L70" s="41"/>
      <c r="M70" s="41"/>
    </row>
    <row r="71" spans="1:21" s="261" customFormat="1">
      <c r="A71" s="42" t="s">
        <v>298</v>
      </c>
      <c r="B71" s="41"/>
      <c r="C71" s="480"/>
      <c r="D71" s="486"/>
      <c r="E71" s="1147"/>
      <c r="F71" s="482"/>
      <c r="G71" s="483"/>
      <c r="H71" s="489"/>
      <c r="I71" s="482"/>
      <c r="J71" s="42"/>
      <c r="K71" s="42"/>
      <c r="L71" s="42"/>
      <c r="M71" s="42"/>
    </row>
    <row r="72" spans="1:21" s="261" customFormat="1" ht="39.6" customHeight="1">
      <c r="A72" s="691">
        <v>1</v>
      </c>
      <c r="B72" s="1961" t="s">
        <v>1081</v>
      </c>
      <c r="C72" s="1961"/>
      <c r="D72" s="1961"/>
      <c r="E72" s="1961"/>
      <c r="F72" s="1961"/>
      <c r="G72" s="1961"/>
      <c r="H72" s="1961"/>
      <c r="I72" s="1961"/>
      <c r="J72" s="42"/>
      <c r="K72" s="42"/>
      <c r="L72" s="42"/>
      <c r="M72" s="42"/>
    </row>
    <row r="73" spans="1:21" s="261" customFormat="1" ht="27" customHeight="1">
      <c r="A73" s="867">
        <v>2</v>
      </c>
      <c r="B73" s="1911" t="s">
        <v>1101</v>
      </c>
      <c r="C73" s="1911"/>
      <c r="D73" s="1911"/>
      <c r="E73" s="1911"/>
      <c r="F73" s="1911"/>
      <c r="G73" s="1911"/>
      <c r="H73" s="1911"/>
      <c r="I73" s="1911"/>
      <c r="J73" s="42"/>
      <c r="K73" s="1959"/>
      <c r="L73" s="1959"/>
      <c r="M73" s="1959"/>
      <c r="N73" s="1959"/>
      <c r="O73" s="1959"/>
      <c r="P73" s="1959"/>
      <c r="Q73" s="1959"/>
      <c r="R73" s="1959"/>
      <c r="S73" s="1959"/>
      <c r="T73" s="1959"/>
      <c r="U73" s="1959"/>
    </row>
    <row r="74" spans="1:21" s="261" customFormat="1" ht="27" customHeight="1">
      <c r="A74" s="691">
        <v>3</v>
      </c>
      <c r="B74" s="1911" t="s">
        <v>455</v>
      </c>
      <c r="C74" s="1911"/>
      <c r="D74" s="1911"/>
      <c r="E74" s="1911"/>
      <c r="F74" s="1911"/>
      <c r="G74" s="1911"/>
      <c r="H74" s="1911"/>
      <c r="I74" s="1911"/>
      <c r="J74" s="42"/>
      <c r="K74" s="42"/>
      <c r="L74" s="42"/>
      <c r="M74" s="42"/>
    </row>
    <row r="75" spans="1:21" s="261" customFormat="1" ht="66" customHeight="1">
      <c r="A75" s="691">
        <v>4</v>
      </c>
      <c r="B75" s="1911" t="s">
        <v>1109</v>
      </c>
      <c r="C75" s="1911"/>
      <c r="D75" s="1911"/>
      <c r="E75" s="1911"/>
      <c r="F75" s="1911"/>
      <c r="G75" s="1911"/>
      <c r="H75" s="1911"/>
      <c r="I75" s="1911"/>
      <c r="J75" s="42"/>
      <c r="K75" s="42"/>
      <c r="L75" s="42"/>
      <c r="M75" s="42"/>
    </row>
    <row r="76" spans="1:21" s="261" customFormat="1" ht="42" customHeight="1">
      <c r="A76" s="556">
        <v>5</v>
      </c>
      <c r="B76" s="1911" t="s">
        <v>1110</v>
      </c>
      <c r="C76" s="1911"/>
      <c r="D76" s="1911"/>
      <c r="E76" s="1911"/>
      <c r="F76" s="1911"/>
      <c r="G76" s="1911"/>
      <c r="H76" s="1911"/>
      <c r="I76" s="1911"/>
      <c r="J76" s="42"/>
      <c r="K76" s="42"/>
      <c r="L76" s="42"/>
      <c r="M76" s="42"/>
    </row>
    <row r="77" spans="1:21" s="261" customFormat="1" ht="79.95" customHeight="1">
      <c r="A77" s="556">
        <v>6</v>
      </c>
      <c r="B77" s="1911" t="s">
        <v>1111</v>
      </c>
      <c r="C77" s="1911"/>
      <c r="D77" s="1911"/>
      <c r="E77" s="1911"/>
      <c r="F77" s="1911"/>
      <c r="G77" s="1911"/>
      <c r="H77" s="1911"/>
      <c r="I77" s="1911"/>
      <c r="J77" s="42"/>
      <c r="K77" s="42"/>
      <c r="L77" s="42"/>
      <c r="M77" s="42"/>
    </row>
    <row r="78" spans="1:21" s="261" customFormat="1" ht="54.6" customHeight="1">
      <c r="A78" s="1812">
        <v>7</v>
      </c>
      <c r="B78" s="1911" t="s">
        <v>1112</v>
      </c>
      <c r="C78" s="1911"/>
      <c r="D78" s="1911"/>
      <c r="E78" s="1911"/>
      <c r="F78" s="1911"/>
      <c r="G78" s="1911"/>
      <c r="H78" s="1911"/>
      <c r="I78" s="1911"/>
      <c r="J78" s="42"/>
      <c r="K78" s="42"/>
      <c r="L78" s="42"/>
      <c r="M78" s="42"/>
    </row>
    <row r="79" spans="1:21" s="261" customFormat="1">
      <c r="A79" s="556">
        <v>8</v>
      </c>
      <c r="B79" s="954" t="s">
        <v>1890</v>
      </c>
      <c r="C79" s="507"/>
      <c r="D79" s="1861"/>
      <c r="E79" s="1862"/>
      <c r="F79" s="482"/>
      <c r="G79" s="483"/>
      <c r="H79" s="489"/>
      <c r="I79" s="482"/>
      <c r="J79" s="42"/>
      <c r="K79" s="42"/>
      <c r="L79" s="42"/>
      <c r="M79" s="42"/>
    </row>
    <row r="80" spans="1:21" s="261" customFormat="1">
      <c r="A80" s="556">
        <v>9</v>
      </c>
      <c r="B80" s="41" t="s">
        <v>1891</v>
      </c>
      <c r="C80" s="480"/>
      <c r="D80" s="486"/>
      <c r="E80" s="1147"/>
      <c r="F80" s="482"/>
      <c r="G80" s="483"/>
      <c r="H80" s="489"/>
      <c r="I80" s="482"/>
      <c r="J80" s="42"/>
      <c r="K80" s="42"/>
      <c r="L80" s="42"/>
      <c r="M80" s="42"/>
    </row>
    <row r="81" spans="1:13" s="261" customFormat="1" ht="39" customHeight="1">
      <c r="A81" s="556">
        <v>10</v>
      </c>
      <c r="B81" s="1911" t="s">
        <v>2079</v>
      </c>
      <c r="C81" s="1911"/>
      <c r="D81" s="1911"/>
      <c r="E81" s="1911"/>
      <c r="F81" s="1911"/>
      <c r="G81" s="1911"/>
      <c r="H81" s="1911"/>
      <c r="I81" s="1911"/>
      <c r="J81" s="42"/>
      <c r="K81" s="42"/>
      <c r="L81" s="42"/>
      <c r="M81" s="42"/>
    </row>
    <row r="82" spans="1:13" s="261" customFormat="1" ht="30.6" customHeight="1">
      <c r="A82" s="556">
        <v>11</v>
      </c>
      <c r="B82" s="1911" t="s">
        <v>2080</v>
      </c>
      <c r="C82" s="1911"/>
      <c r="D82" s="1911"/>
      <c r="E82" s="1911"/>
      <c r="F82" s="1911"/>
      <c r="G82" s="1911"/>
      <c r="H82" s="1911"/>
      <c r="I82" s="1911"/>
      <c r="J82" s="42"/>
      <c r="K82" s="42"/>
      <c r="L82" s="42"/>
      <c r="M82" s="42"/>
    </row>
    <row r="83" spans="1:13" s="261" customFormat="1">
      <c r="A83" s="42"/>
      <c r="B83" s="41"/>
      <c r="C83" s="480"/>
      <c r="D83" s="491"/>
      <c r="E83" s="481"/>
      <c r="F83" s="482"/>
      <c r="G83" s="483"/>
      <c r="H83" s="489"/>
      <c r="I83" s="482"/>
      <c r="J83" s="42"/>
      <c r="K83" s="42"/>
      <c r="L83" s="42"/>
      <c r="M83" s="42"/>
    </row>
    <row r="84" spans="1:13" s="261" customFormat="1">
      <c r="A84" s="42"/>
      <c r="B84" s="41"/>
      <c r="C84" s="480"/>
      <c r="D84" s="491"/>
      <c r="E84" s="481"/>
      <c r="F84" s="482"/>
      <c r="G84" s="483"/>
      <c r="H84" s="489"/>
      <c r="I84" s="482"/>
      <c r="J84" s="42"/>
      <c r="K84" s="42"/>
      <c r="L84" s="42"/>
      <c r="M84" s="42"/>
    </row>
    <row r="85" spans="1:13" s="261" customFormat="1">
      <c r="A85" s="42"/>
      <c r="B85" s="41"/>
      <c r="C85" s="480"/>
      <c r="D85" s="491"/>
      <c r="E85" s="481"/>
      <c r="F85" s="482"/>
      <c r="G85" s="483"/>
      <c r="H85" s="489"/>
      <c r="I85" s="482"/>
      <c r="J85" s="42"/>
      <c r="K85" s="42"/>
      <c r="L85" s="42"/>
      <c r="M85" s="42"/>
    </row>
    <row r="86" spans="1:13" s="261" customFormat="1">
      <c r="A86" s="42"/>
      <c r="B86" s="42"/>
      <c r="C86" s="480"/>
      <c r="D86" s="491"/>
      <c r="E86" s="481"/>
      <c r="F86" s="482"/>
      <c r="G86" s="483"/>
      <c r="H86" s="489"/>
      <c r="I86" s="482"/>
      <c r="J86" s="42"/>
      <c r="K86" s="42"/>
      <c r="L86" s="42"/>
      <c r="M86" s="42"/>
    </row>
    <row r="87" spans="1:13" s="261" customFormat="1">
      <c r="A87" s="42"/>
      <c r="B87" s="42"/>
      <c r="C87" s="480"/>
      <c r="D87" s="491"/>
      <c r="E87" s="481"/>
      <c r="F87" s="482"/>
      <c r="G87" s="483"/>
      <c r="H87" s="489"/>
      <c r="I87" s="482"/>
      <c r="J87" s="42"/>
      <c r="K87" s="42"/>
      <c r="L87" s="42"/>
      <c r="M87" s="42"/>
    </row>
    <row r="88" spans="1:13" s="261" customFormat="1">
      <c r="A88" s="42"/>
      <c r="B88" s="42"/>
      <c r="C88" s="480"/>
      <c r="D88" s="491"/>
      <c r="E88" s="481"/>
      <c r="F88" s="482"/>
      <c r="G88" s="483"/>
      <c r="H88" s="489"/>
      <c r="I88" s="482"/>
      <c r="J88" s="42"/>
      <c r="K88" s="42"/>
      <c r="L88" s="42"/>
      <c r="M88" s="42"/>
    </row>
    <row r="89" spans="1:13" s="261" customFormat="1">
      <c r="A89" s="42"/>
      <c r="B89" s="42"/>
      <c r="C89" s="480"/>
      <c r="D89" s="491"/>
      <c r="E89" s="481"/>
      <c r="F89" s="482"/>
      <c r="G89" s="483"/>
      <c r="H89" s="489"/>
      <c r="I89" s="482"/>
      <c r="J89" s="42"/>
      <c r="K89" s="42"/>
      <c r="L89" s="42"/>
      <c r="M89" s="42"/>
    </row>
    <row r="90" spans="1:13" s="261" customFormat="1">
      <c r="A90" s="42"/>
      <c r="B90" s="42"/>
      <c r="C90" s="480"/>
      <c r="D90" s="491"/>
      <c r="E90" s="481"/>
      <c r="F90" s="482"/>
      <c r="G90" s="483"/>
      <c r="H90" s="489"/>
      <c r="I90" s="482"/>
      <c r="J90" s="42"/>
      <c r="K90" s="42"/>
      <c r="L90" s="42"/>
      <c r="M90" s="42"/>
    </row>
    <row r="91" spans="1:13" s="261" customFormat="1">
      <c r="A91" s="42"/>
      <c r="B91" s="42"/>
      <c r="C91" s="480"/>
      <c r="D91" s="491"/>
      <c r="E91" s="481"/>
      <c r="F91" s="482"/>
      <c r="G91" s="483"/>
      <c r="H91" s="489"/>
      <c r="I91" s="482"/>
      <c r="J91" s="42"/>
      <c r="K91" s="42"/>
      <c r="L91" s="42"/>
      <c r="M91" s="42"/>
    </row>
    <row r="92" spans="1:13" s="261" customFormat="1">
      <c r="A92" s="42"/>
      <c r="B92" s="42"/>
      <c r="C92" s="480"/>
      <c r="D92" s="491"/>
      <c r="E92" s="481"/>
      <c r="F92" s="482"/>
      <c r="G92" s="483"/>
      <c r="H92" s="489"/>
      <c r="I92" s="482"/>
      <c r="J92" s="42"/>
      <c r="K92" s="42"/>
      <c r="L92" s="42"/>
      <c r="M92" s="42"/>
    </row>
    <row r="93" spans="1:13" s="261" customFormat="1">
      <c r="A93" s="42"/>
      <c r="B93" s="42"/>
      <c r="C93" s="480"/>
      <c r="D93" s="491"/>
      <c r="E93" s="481"/>
      <c r="F93" s="482"/>
      <c r="G93" s="483"/>
      <c r="H93" s="489"/>
      <c r="I93" s="482"/>
      <c r="J93" s="42"/>
      <c r="K93" s="42"/>
      <c r="L93" s="42"/>
      <c r="M93" s="42"/>
    </row>
    <row r="94" spans="1:13" s="261" customFormat="1">
      <c r="A94" s="42"/>
      <c r="B94" s="42"/>
      <c r="C94" s="480"/>
      <c r="D94" s="491"/>
      <c r="E94" s="481"/>
      <c r="F94" s="482"/>
      <c r="G94" s="483"/>
      <c r="H94" s="489"/>
      <c r="I94" s="482"/>
      <c r="J94" s="42"/>
      <c r="K94" s="42"/>
      <c r="L94" s="42"/>
      <c r="M94" s="42"/>
    </row>
    <row r="95" spans="1:13" s="261" customFormat="1">
      <c r="A95" s="42"/>
      <c r="B95" s="42"/>
      <c r="C95" s="480"/>
      <c r="D95" s="491"/>
      <c r="E95" s="481"/>
      <c r="F95" s="482"/>
      <c r="G95" s="483"/>
      <c r="H95" s="489"/>
      <c r="I95" s="482"/>
      <c r="J95" s="42"/>
      <c r="K95" s="42"/>
      <c r="L95" s="42"/>
      <c r="M95" s="42"/>
    </row>
    <row r="96" spans="1:13" s="261" customFormat="1">
      <c r="A96" s="42"/>
      <c r="B96" s="42"/>
      <c r="C96" s="480"/>
      <c r="D96" s="491"/>
      <c r="E96" s="481"/>
      <c r="F96" s="482"/>
      <c r="G96" s="483"/>
      <c r="H96" s="489"/>
      <c r="I96" s="482"/>
      <c r="J96" s="42"/>
      <c r="K96" s="42"/>
      <c r="L96" s="42"/>
      <c r="M96" s="42"/>
    </row>
    <row r="97" spans="1:38" s="261" customFormat="1">
      <c r="A97" s="42"/>
      <c r="B97" s="42"/>
      <c r="C97" s="480"/>
      <c r="D97" s="491"/>
      <c r="E97" s="481"/>
      <c r="F97" s="482"/>
      <c r="G97" s="483"/>
      <c r="H97" s="489"/>
      <c r="I97" s="482"/>
      <c r="J97" s="42"/>
      <c r="K97" s="42"/>
      <c r="L97" s="42"/>
      <c r="M97" s="42"/>
    </row>
    <row r="98" spans="1:38" s="261" customFormat="1">
      <c r="A98" s="42"/>
      <c r="B98" s="42"/>
      <c r="C98" s="480"/>
      <c r="D98" s="491"/>
      <c r="E98" s="481"/>
      <c r="F98" s="482"/>
      <c r="G98" s="483"/>
      <c r="H98" s="489"/>
      <c r="I98" s="482"/>
      <c r="J98" s="42"/>
      <c r="K98" s="42"/>
      <c r="L98" s="42"/>
      <c r="M98" s="42"/>
    </row>
    <row r="99" spans="1:38" s="261" customFormat="1">
      <c r="A99" s="42"/>
      <c r="B99" s="42"/>
      <c r="C99" s="480"/>
      <c r="D99" s="491"/>
      <c r="E99" s="481"/>
      <c r="F99" s="482"/>
      <c r="G99" s="483"/>
      <c r="H99" s="489"/>
      <c r="I99" s="482"/>
      <c r="J99" s="42"/>
      <c r="K99" s="42"/>
      <c r="L99" s="42"/>
      <c r="M99" s="42"/>
    </row>
    <row r="100" spans="1:38" s="261" customFormat="1">
      <c r="A100" s="42"/>
      <c r="B100" s="42"/>
      <c r="C100" s="480"/>
      <c r="D100" s="491"/>
      <c r="E100" s="481"/>
      <c r="F100" s="482"/>
      <c r="G100" s="483"/>
      <c r="H100" s="489"/>
      <c r="I100" s="482"/>
      <c r="J100" s="42"/>
      <c r="K100" s="42"/>
      <c r="L100" s="42"/>
      <c r="M100" s="42"/>
    </row>
    <row r="101" spans="1:38" s="261" customFormat="1">
      <c r="A101" s="42"/>
      <c r="B101" s="42"/>
      <c r="C101" s="480"/>
      <c r="D101" s="491"/>
      <c r="E101" s="481"/>
      <c r="F101" s="482"/>
      <c r="G101" s="483"/>
      <c r="H101" s="489"/>
      <c r="I101" s="482"/>
      <c r="J101" s="42"/>
      <c r="K101" s="42"/>
      <c r="L101" s="42"/>
      <c r="M101" s="42"/>
    </row>
    <row r="102" spans="1:38">
      <c r="C102" s="480"/>
      <c r="D102" s="491"/>
      <c r="E102" s="481"/>
      <c r="F102" s="482"/>
      <c r="G102" s="483"/>
      <c r="H102" s="489"/>
      <c r="I102" s="482"/>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c r="C103" s="480"/>
      <c r="D103" s="491"/>
      <c r="E103" s="481"/>
      <c r="F103" s="482"/>
      <c r="G103" s="483"/>
      <c r="H103" s="489"/>
      <c r="I103" s="482"/>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c r="C104" s="480"/>
      <c r="D104" s="491"/>
      <c r="E104" s="481"/>
      <c r="F104" s="482"/>
      <c r="G104" s="483"/>
      <c r="H104" s="489"/>
      <c r="I104" s="482"/>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row>
    <row r="105" spans="1:38">
      <c r="C105" s="480"/>
      <c r="D105" s="491"/>
      <c r="E105" s="481"/>
      <c r="F105" s="482"/>
      <c r="G105" s="483"/>
      <c r="H105" s="489"/>
      <c r="I105" s="482"/>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row>
    <row r="106" spans="1:38">
      <c r="C106" s="480"/>
      <c r="D106" s="491"/>
      <c r="E106" s="481"/>
      <c r="F106" s="482"/>
      <c r="G106" s="483"/>
      <c r="H106" s="489"/>
      <c r="I106" s="482"/>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row>
    <row r="107" spans="1:38">
      <c r="C107" s="480"/>
      <c r="D107" s="491"/>
      <c r="E107" s="481"/>
      <c r="F107" s="482"/>
      <c r="G107" s="483"/>
      <c r="H107" s="489"/>
      <c r="I107" s="482"/>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row>
    <row r="108" spans="1:38">
      <c r="C108" s="480"/>
      <c r="D108" s="491"/>
      <c r="E108" s="481"/>
      <c r="F108" s="482"/>
      <c r="G108" s="483"/>
      <c r="H108" s="489"/>
      <c r="I108" s="482"/>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row>
    <row r="109" spans="1:38">
      <c r="C109" s="480"/>
      <c r="D109" s="491"/>
      <c r="E109" s="481"/>
      <c r="F109" s="482"/>
      <c r="G109" s="483"/>
      <c r="H109" s="489"/>
      <c r="I109" s="482"/>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row>
    <row r="110" spans="1:38">
      <c r="B110" s="63"/>
      <c r="C110" s="480"/>
      <c r="D110" s="491"/>
      <c r="E110" s="481"/>
      <c r="F110" s="482"/>
      <c r="G110" s="483"/>
      <c r="H110" s="489"/>
      <c r="I110" s="482"/>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row>
    <row r="111" spans="1:38">
      <c r="A111" s="63"/>
      <c r="B111" s="63"/>
      <c r="C111" s="480"/>
      <c r="D111" s="491"/>
      <c r="E111" s="481"/>
      <c r="F111" s="482"/>
      <c r="G111" s="483"/>
      <c r="H111" s="489"/>
      <c r="I111" s="482"/>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row>
    <row r="112" spans="1:38">
      <c r="A112" s="63"/>
      <c r="B112" s="63"/>
      <c r="C112" s="480"/>
      <c r="D112" s="491"/>
      <c r="E112" s="481"/>
      <c r="F112" s="482"/>
      <c r="G112" s="483"/>
      <c r="H112" s="489"/>
      <c r="I112" s="482"/>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row>
    <row r="113" spans="1:38">
      <c r="A113" s="63"/>
      <c r="B113" s="63"/>
      <c r="C113" s="480"/>
      <c r="D113" s="491"/>
      <c r="E113" s="481"/>
      <c r="F113" s="482"/>
      <c r="G113" s="483"/>
      <c r="H113" s="489"/>
      <c r="I113" s="482"/>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row>
    <row r="114" spans="1:38">
      <c r="A114" s="63"/>
      <c r="B114" s="63"/>
      <c r="C114" s="480"/>
      <c r="D114" s="491"/>
      <c r="E114" s="481"/>
      <c r="F114" s="482"/>
      <c r="G114" s="483"/>
      <c r="H114" s="489"/>
      <c r="I114" s="482"/>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row>
    <row r="115" spans="1:38">
      <c r="A115" s="63"/>
      <c r="B115" s="63"/>
      <c r="C115" s="480"/>
      <c r="D115" s="491"/>
      <c r="E115" s="481"/>
      <c r="F115" s="482"/>
      <c r="G115" s="483"/>
      <c r="H115" s="489"/>
      <c r="I115" s="482"/>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row>
    <row r="116" spans="1:38">
      <c r="A116" s="63"/>
      <c r="B116" s="63"/>
      <c r="C116" s="480"/>
      <c r="D116" s="491"/>
      <c r="E116" s="481"/>
      <c r="F116" s="482"/>
      <c r="G116" s="483"/>
      <c r="H116" s="489"/>
      <c r="I116" s="482"/>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row>
    <row r="117" spans="1:38">
      <c r="A117" s="63"/>
      <c r="B117" s="63"/>
      <c r="C117" s="480"/>
      <c r="D117" s="491"/>
      <c r="E117" s="481"/>
      <c r="F117" s="482"/>
      <c r="G117" s="483"/>
      <c r="H117" s="489"/>
      <c r="I117" s="482"/>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row>
    <row r="118" spans="1:38">
      <c r="A118" s="63"/>
      <c r="B118" s="63"/>
      <c r="C118" s="480"/>
      <c r="D118" s="491"/>
      <c r="E118" s="481"/>
      <c r="F118" s="482"/>
      <c r="G118" s="483"/>
      <c r="H118" s="489"/>
      <c r="I118" s="482"/>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row>
    <row r="119" spans="1:38">
      <c r="A119" s="63"/>
      <c r="B119" s="63"/>
      <c r="C119" s="480"/>
      <c r="D119" s="491"/>
      <c r="E119" s="481"/>
      <c r="F119" s="482"/>
      <c r="G119" s="483"/>
      <c r="H119" s="489"/>
      <c r="I119" s="482"/>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row>
    <row r="120" spans="1:38">
      <c r="A120" s="63"/>
      <c r="B120" s="63"/>
      <c r="C120" s="480"/>
      <c r="D120" s="491"/>
      <c r="E120" s="481"/>
      <c r="F120" s="482"/>
      <c r="G120" s="483"/>
      <c r="H120" s="489"/>
      <c r="I120" s="482"/>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row>
    <row r="121" spans="1:38">
      <c r="A121" s="63"/>
      <c r="B121" s="63"/>
      <c r="C121" s="480"/>
      <c r="D121" s="491"/>
      <c r="E121" s="481"/>
      <c r="F121" s="482"/>
      <c r="G121" s="483"/>
      <c r="H121" s="489"/>
      <c r="I121" s="482"/>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row>
    <row r="122" spans="1:38">
      <c r="A122" s="63"/>
      <c r="B122" s="63"/>
      <c r="C122" s="480"/>
      <c r="D122" s="491"/>
      <c r="E122" s="481"/>
      <c r="F122" s="482"/>
      <c r="G122" s="483"/>
      <c r="H122" s="489"/>
      <c r="I122" s="482"/>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row>
    <row r="123" spans="1:38">
      <c r="A123" s="63"/>
      <c r="B123" s="63"/>
      <c r="F123" s="492"/>
      <c r="G123" s="492"/>
      <c r="H123" s="492"/>
      <c r="I123" s="492"/>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row>
    <row r="124" spans="1:38">
      <c r="A124" s="63"/>
      <c r="B124" s="63"/>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row>
    <row r="125" spans="1:38">
      <c r="A125" s="63"/>
      <c r="B125" s="63"/>
      <c r="F125" s="493"/>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row>
    <row r="126" spans="1:38">
      <c r="A126" s="63"/>
      <c r="B126" s="63"/>
      <c r="C126" s="63"/>
      <c r="D126" s="63"/>
      <c r="E126" s="63"/>
      <c r="F126" s="493"/>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row>
    <row r="127" spans="1:38">
      <c r="A127" s="63"/>
      <c r="B127" s="63"/>
      <c r="C127" s="63"/>
      <c r="D127" s="63"/>
      <c r="E127" s="63"/>
      <c r="F127" s="492"/>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row>
    <row r="128" spans="1:38">
      <c r="A128" s="63"/>
      <c r="B128" s="63"/>
      <c r="C128" s="63"/>
      <c r="D128" s="63"/>
      <c r="E128" s="63"/>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row>
    <row r="129" spans="1:38">
      <c r="A129" s="63"/>
      <c r="B129" s="63"/>
      <c r="C129" s="63"/>
      <c r="D129" s="63"/>
      <c r="E129" s="63"/>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row>
    <row r="130" spans="1:38">
      <c r="A130" s="63"/>
      <c r="B130" s="63"/>
      <c r="C130" s="63"/>
      <c r="D130" s="63"/>
      <c r="E130" s="63"/>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row>
    <row r="131" spans="1:38">
      <c r="A131" s="63"/>
      <c r="B131" s="63"/>
      <c r="C131" s="63"/>
      <c r="D131" s="63"/>
      <c r="E131" s="63"/>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row>
    <row r="132" spans="1:38">
      <c r="A132" s="63"/>
      <c r="B132" s="63"/>
      <c r="C132" s="63"/>
      <c r="D132" s="63"/>
      <c r="E132" s="63"/>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row>
    <row r="133" spans="1:38">
      <c r="A133" s="63"/>
      <c r="B133" s="63"/>
      <c r="C133" s="63"/>
      <c r="D133" s="63"/>
      <c r="E133" s="63"/>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row>
    <row r="134" spans="1:38">
      <c r="A134" s="63"/>
      <c r="B134" s="63"/>
      <c r="C134" s="63"/>
      <c r="D134" s="63"/>
      <c r="E134" s="63"/>
      <c r="N134" s="79"/>
      <c r="O134" s="79"/>
      <c r="P134" s="79"/>
      <c r="Q134" s="79"/>
      <c r="R134" s="79"/>
      <c r="S134" s="79"/>
      <c r="T134" s="79"/>
      <c r="U134" s="79"/>
      <c r="V134" s="79"/>
      <c r="W134" s="79"/>
      <c r="X134" s="79"/>
      <c r="Y134" s="79"/>
      <c r="Z134" s="79"/>
      <c r="AA134" s="79"/>
      <c r="AB134" s="79"/>
      <c r="AC134" s="79"/>
      <c r="AD134" s="79"/>
      <c r="AE134" s="79"/>
      <c r="AF134" s="79"/>
      <c r="AG134" s="79"/>
      <c r="AH134" s="79"/>
      <c r="AI134" s="79"/>
      <c r="AJ134" s="79"/>
      <c r="AK134" s="79"/>
      <c r="AL134" s="79"/>
    </row>
    <row r="135" spans="1:38">
      <c r="A135" s="63"/>
      <c r="B135" s="63"/>
      <c r="C135" s="63"/>
      <c r="D135" s="63"/>
      <c r="E135" s="63"/>
      <c r="N135" s="79"/>
      <c r="O135" s="79"/>
      <c r="P135" s="79"/>
      <c r="Q135" s="79"/>
      <c r="R135" s="79"/>
      <c r="S135" s="79"/>
      <c r="T135" s="79"/>
      <c r="U135" s="79"/>
      <c r="V135" s="79"/>
      <c r="W135" s="79"/>
      <c r="X135" s="79"/>
      <c r="Y135" s="79"/>
      <c r="Z135" s="79"/>
      <c r="AA135" s="79"/>
      <c r="AB135" s="79"/>
      <c r="AC135" s="79"/>
      <c r="AD135" s="79"/>
      <c r="AE135" s="79"/>
      <c r="AF135" s="79"/>
      <c r="AG135" s="79"/>
      <c r="AH135" s="79"/>
      <c r="AI135" s="79"/>
      <c r="AJ135" s="79"/>
      <c r="AK135" s="79"/>
      <c r="AL135" s="79"/>
    </row>
    <row r="136" spans="1:38">
      <c r="A136" s="63"/>
      <c r="B136" s="63"/>
      <c r="C136" s="63"/>
      <c r="D136" s="63"/>
      <c r="E136" s="63"/>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row>
    <row r="137" spans="1:38">
      <c r="A137" s="63"/>
      <c r="B137" s="63"/>
      <c r="C137" s="63"/>
      <c r="D137" s="63"/>
      <c r="E137" s="63"/>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row>
    <row r="138" spans="1:38">
      <c r="A138" s="63"/>
      <c r="B138" s="63"/>
      <c r="C138" s="63"/>
      <c r="D138" s="63"/>
      <c r="E138" s="63"/>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row>
    <row r="139" spans="1:38">
      <c r="A139" s="63"/>
      <c r="B139" s="63"/>
      <c r="C139" s="63"/>
      <c r="D139" s="63"/>
      <c r="E139" s="63"/>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row>
    <row r="140" spans="1:38">
      <c r="A140" s="63"/>
      <c r="B140" s="63"/>
      <c r="C140" s="63"/>
      <c r="D140" s="63"/>
      <c r="E140" s="63"/>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row>
    <row r="141" spans="1:38">
      <c r="A141" s="63"/>
      <c r="B141" s="63"/>
      <c r="C141" s="63"/>
      <c r="D141" s="63"/>
      <c r="E141" s="63"/>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row>
    <row r="142" spans="1:38">
      <c r="A142" s="63"/>
      <c r="B142" s="63"/>
      <c r="C142" s="63"/>
      <c r="D142" s="63"/>
      <c r="E142" s="63"/>
      <c r="F142" s="63"/>
      <c r="G142" s="63"/>
      <c r="H142" s="63"/>
      <c r="I142" s="63"/>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row>
    <row r="143" spans="1:38">
      <c r="A143" s="63"/>
      <c r="B143" s="63"/>
      <c r="C143" s="63"/>
      <c r="D143" s="63"/>
      <c r="E143" s="63"/>
      <c r="F143" s="63"/>
      <c r="G143" s="63"/>
      <c r="H143" s="63"/>
      <c r="I143" s="63"/>
      <c r="J143" s="63"/>
      <c r="K143" s="63"/>
      <c r="L143" s="63"/>
      <c r="M143" s="63"/>
      <c r="N143" s="79"/>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79"/>
    </row>
    <row r="144" spans="1:38">
      <c r="A144" s="63"/>
      <c r="B144" s="63"/>
      <c r="C144" s="63"/>
      <c r="D144" s="63"/>
      <c r="E144" s="63"/>
      <c r="F144" s="63"/>
      <c r="G144" s="63"/>
      <c r="H144" s="63"/>
      <c r="I144" s="63"/>
      <c r="J144" s="63"/>
      <c r="K144" s="63"/>
      <c r="L144" s="63"/>
      <c r="M144" s="63"/>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row>
    <row r="145" spans="1:38">
      <c r="A145" s="63"/>
      <c r="B145" s="63"/>
      <c r="C145" s="63"/>
      <c r="D145" s="63"/>
      <c r="E145" s="63"/>
      <c r="F145" s="63"/>
      <c r="G145" s="63"/>
      <c r="H145" s="63"/>
      <c r="I145" s="63"/>
      <c r="J145" s="63"/>
      <c r="K145" s="63"/>
      <c r="L145" s="63"/>
      <c r="M145" s="63"/>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row>
    <row r="146" spans="1:38">
      <c r="A146" s="63"/>
      <c r="B146" s="63"/>
      <c r="C146" s="63"/>
      <c r="D146" s="63"/>
      <c r="E146" s="63"/>
      <c r="F146" s="63"/>
      <c r="G146" s="63"/>
      <c r="H146" s="63"/>
      <c r="I146" s="63"/>
      <c r="J146" s="63"/>
      <c r="K146" s="63"/>
      <c r="L146" s="63"/>
      <c r="M146" s="63"/>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row>
    <row r="147" spans="1:38">
      <c r="A147" s="63"/>
      <c r="B147" s="63"/>
      <c r="C147" s="63"/>
      <c r="D147" s="63"/>
      <c r="E147" s="63"/>
      <c r="F147" s="63"/>
      <c r="G147" s="63"/>
      <c r="H147" s="63"/>
      <c r="I147" s="63"/>
      <c r="J147" s="63"/>
      <c r="K147" s="63"/>
      <c r="L147" s="63"/>
      <c r="M147" s="63"/>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row>
    <row r="148" spans="1:38">
      <c r="A148" s="63"/>
      <c r="B148" s="63"/>
      <c r="C148" s="63"/>
      <c r="D148" s="63"/>
      <c r="E148" s="63"/>
      <c r="F148" s="63"/>
      <c r="G148" s="63"/>
      <c r="H148" s="63"/>
      <c r="I148" s="63"/>
      <c r="J148" s="63"/>
      <c r="K148" s="63"/>
      <c r="L148" s="63"/>
      <c r="M148" s="63"/>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row>
    <row r="149" spans="1:38">
      <c r="A149" s="63"/>
      <c r="B149" s="63"/>
      <c r="C149" s="63"/>
      <c r="D149" s="63"/>
      <c r="E149" s="63"/>
      <c r="F149" s="63"/>
      <c r="G149" s="63"/>
      <c r="H149" s="63"/>
      <c r="I149" s="63"/>
      <c r="J149" s="63"/>
      <c r="K149" s="63"/>
      <c r="L149" s="63"/>
      <c r="M149" s="63"/>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row>
    <row r="150" spans="1:38">
      <c r="A150" s="63"/>
      <c r="B150" s="63"/>
      <c r="C150" s="63"/>
      <c r="D150" s="63"/>
      <c r="E150" s="63"/>
      <c r="F150" s="63"/>
      <c r="G150" s="63"/>
      <c r="H150" s="63"/>
      <c r="I150" s="63"/>
      <c r="J150" s="63"/>
      <c r="K150" s="63"/>
      <c r="L150" s="63"/>
      <c r="M150" s="63"/>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row>
    <row r="151" spans="1:38">
      <c r="A151" s="63"/>
      <c r="B151" s="63"/>
      <c r="C151" s="63"/>
      <c r="D151" s="63"/>
      <c r="E151" s="63"/>
      <c r="F151" s="63"/>
      <c r="G151" s="63"/>
      <c r="H151" s="63"/>
      <c r="I151" s="63"/>
      <c r="J151" s="63"/>
      <c r="K151" s="63"/>
      <c r="L151" s="63"/>
      <c r="M151" s="63"/>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row>
    <row r="152" spans="1:38">
      <c r="A152" s="63"/>
      <c r="B152" s="63"/>
      <c r="C152" s="63"/>
      <c r="D152" s="63"/>
      <c r="E152" s="63"/>
      <c r="F152" s="63"/>
      <c r="G152" s="63"/>
      <c r="H152" s="63"/>
      <c r="I152" s="63"/>
      <c r="J152" s="63"/>
      <c r="K152" s="63"/>
      <c r="L152" s="63"/>
      <c r="M152" s="63"/>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row>
    <row r="153" spans="1:38">
      <c r="A153" s="63"/>
      <c r="B153" s="63"/>
      <c r="C153" s="63"/>
      <c r="D153" s="63"/>
      <c r="E153" s="63"/>
      <c r="F153" s="63"/>
      <c r="G153" s="63"/>
      <c r="H153" s="63"/>
      <c r="I153" s="63"/>
      <c r="J153" s="63"/>
      <c r="K153" s="63"/>
      <c r="L153" s="63"/>
      <c r="M153" s="63"/>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row>
    <row r="154" spans="1:38">
      <c r="A154" s="63"/>
      <c r="B154" s="63"/>
      <c r="C154" s="63"/>
      <c r="D154" s="63"/>
      <c r="E154" s="63"/>
      <c r="F154" s="63"/>
      <c r="G154" s="63"/>
      <c r="H154" s="63"/>
      <c r="I154" s="63"/>
      <c r="J154" s="63"/>
      <c r="K154" s="63"/>
      <c r="L154" s="63"/>
      <c r="M154" s="63"/>
      <c r="N154" s="79"/>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79"/>
      <c r="AL154" s="79"/>
    </row>
    <row r="155" spans="1:38">
      <c r="A155" s="63"/>
      <c r="B155" s="63"/>
      <c r="C155" s="63"/>
      <c r="D155" s="63"/>
      <c r="E155" s="63"/>
      <c r="F155" s="63"/>
      <c r="G155" s="63"/>
      <c r="H155" s="63"/>
      <c r="I155" s="63"/>
      <c r="J155" s="63"/>
      <c r="K155" s="63"/>
      <c r="L155" s="63"/>
      <c r="M155" s="63"/>
      <c r="N155" s="79"/>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79"/>
      <c r="AL155" s="79"/>
    </row>
    <row r="156" spans="1:38">
      <c r="A156" s="63"/>
      <c r="B156" s="63"/>
      <c r="C156" s="63"/>
      <c r="D156" s="63"/>
      <c r="E156" s="63"/>
      <c r="F156" s="63"/>
      <c r="G156" s="63"/>
      <c r="H156" s="63"/>
      <c r="I156" s="63"/>
      <c r="J156" s="63"/>
      <c r="K156" s="63"/>
      <c r="L156" s="63"/>
      <c r="M156" s="63"/>
      <c r="N156" s="79"/>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79"/>
      <c r="AL156" s="79"/>
    </row>
    <row r="157" spans="1:38">
      <c r="A157" s="63"/>
      <c r="B157" s="63"/>
      <c r="C157" s="63"/>
      <c r="D157" s="63"/>
      <c r="E157" s="63"/>
      <c r="F157" s="63"/>
      <c r="G157" s="63"/>
      <c r="H157" s="63"/>
      <c r="I157" s="63"/>
      <c r="J157" s="63"/>
      <c r="K157" s="63"/>
      <c r="L157" s="63"/>
      <c r="M157" s="63"/>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row>
    <row r="158" spans="1:38">
      <c r="A158" s="63"/>
      <c r="J158" s="63"/>
      <c r="K158" s="63"/>
      <c r="L158" s="63"/>
      <c r="M158" s="63"/>
      <c r="N158" s="79"/>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79"/>
      <c r="AL158" s="79"/>
    </row>
    <row r="159" spans="1:38" s="226" customFormat="1">
      <c r="A159" s="42"/>
      <c r="B159" s="42"/>
      <c r="C159" s="41"/>
      <c r="D159" s="42"/>
      <c r="E159" s="42"/>
      <c r="F159" s="42"/>
      <c r="G159" s="42"/>
      <c r="H159" s="42"/>
      <c r="I159" s="42"/>
      <c r="J159" s="42"/>
      <c r="K159" s="42"/>
      <c r="L159" s="42"/>
      <c r="M159" s="42"/>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row>
    <row r="160" spans="1:38">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row>
    <row r="161" spans="1:38">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row>
    <row r="162" spans="1:38">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row>
    <row r="163" spans="1:38">
      <c r="N163" s="79"/>
      <c r="O163" s="79"/>
      <c r="P163" s="79"/>
      <c r="Q163" s="79"/>
      <c r="R163" s="79"/>
      <c r="S163" s="79"/>
      <c r="T163" s="79"/>
      <c r="U163" s="79"/>
      <c r="V163" s="79"/>
      <c r="W163" s="79"/>
      <c r="X163" s="79"/>
      <c r="Y163" s="79"/>
      <c r="Z163" s="79"/>
      <c r="AA163" s="79"/>
      <c r="AB163" s="79"/>
      <c r="AC163" s="79"/>
      <c r="AD163" s="79"/>
      <c r="AE163" s="79"/>
      <c r="AF163" s="79"/>
      <c r="AG163" s="79"/>
      <c r="AH163" s="79"/>
      <c r="AI163" s="79"/>
      <c r="AJ163" s="79"/>
      <c r="AK163" s="79"/>
      <c r="AL163" s="79"/>
    </row>
    <row r="164" spans="1:38">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row>
    <row r="165" spans="1:38">
      <c r="N165" s="79"/>
      <c r="O165" s="79"/>
      <c r="P165" s="79"/>
      <c r="Q165" s="79"/>
      <c r="R165" s="79"/>
      <c r="S165" s="79"/>
      <c r="T165" s="79"/>
      <c r="U165" s="79"/>
      <c r="V165" s="79"/>
      <c r="W165" s="79"/>
      <c r="X165" s="79"/>
      <c r="Y165" s="79"/>
      <c r="Z165" s="79"/>
      <c r="AA165" s="79"/>
      <c r="AB165" s="79"/>
      <c r="AC165" s="79"/>
      <c r="AD165" s="79"/>
      <c r="AE165" s="79"/>
      <c r="AF165" s="79"/>
      <c r="AG165" s="79"/>
      <c r="AH165" s="79"/>
      <c r="AI165" s="79"/>
      <c r="AJ165" s="79"/>
      <c r="AK165" s="79"/>
      <c r="AL165" s="79"/>
    </row>
    <row r="166" spans="1:38">
      <c r="N166" s="79"/>
      <c r="O166" s="79"/>
      <c r="P166" s="79"/>
      <c r="Q166" s="79"/>
      <c r="R166" s="79"/>
      <c r="S166" s="79"/>
      <c r="T166" s="79"/>
      <c r="U166" s="79"/>
      <c r="V166" s="79"/>
      <c r="W166" s="79"/>
      <c r="X166" s="79"/>
      <c r="Y166" s="79"/>
      <c r="Z166" s="79"/>
      <c r="AA166" s="79"/>
      <c r="AB166" s="79"/>
      <c r="AC166" s="79"/>
      <c r="AD166" s="79"/>
      <c r="AE166" s="79"/>
      <c r="AF166" s="79"/>
      <c r="AG166" s="79"/>
      <c r="AH166" s="79"/>
      <c r="AI166" s="79"/>
      <c r="AJ166" s="79"/>
      <c r="AK166" s="79"/>
      <c r="AL166" s="79"/>
    </row>
    <row r="167" spans="1:38">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row>
    <row r="168" spans="1:38">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row>
    <row r="169" spans="1:38">
      <c r="N169" s="79"/>
      <c r="O169" s="79"/>
      <c r="P169" s="79"/>
      <c r="Q169" s="79"/>
      <c r="R169" s="79"/>
      <c r="S169" s="79"/>
      <c r="T169" s="79"/>
      <c r="U169" s="79"/>
      <c r="V169" s="79"/>
      <c r="W169" s="79"/>
      <c r="X169" s="79"/>
      <c r="Y169" s="79"/>
      <c r="Z169" s="79"/>
      <c r="AA169" s="79"/>
      <c r="AB169" s="79"/>
      <c r="AC169" s="79"/>
      <c r="AD169" s="79"/>
      <c r="AE169" s="79"/>
      <c r="AF169" s="79"/>
      <c r="AG169" s="79"/>
      <c r="AH169" s="79"/>
      <c r="AI169" s="79"/>
      <c r="AJ169" s="79"/>
      <c r="AK169" s="79"/>
      <c r="AL169" s="79"/>
    </row>
    <row r="170" spans="1:38">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row>
    <row r="171" spans="1:38">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row>
    <row r="172" spans="1:38">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row>
    <row r="173" spans="1:38">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row>
    <row r="174" spans="1:38">
      <c r="B174" s="63"/>
      <c r="C174" s="63"/>
      <c r="D174" s="63"/>
      <c r="E174" s="63"/>
      <c r="F174" s="63"/>
      <c r="G174" s="63"/>
      <c r="H174" s="63"/>
      <c r="I174" s="63"/>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row>
    <row r="175" spans="1:38">
      <c r="A175" s="63"/>
      <c r="B175" s="63"/>
      <c r="C175" s="63"/>
      <c r="D175" s="63"/>
      <c r="E175" s="63"/>
      <c r="F175" s="63"/>
      <c r="G175" s="63"/>
      <c r="H175" s="63"/>
      <c r="I175" s="63"/>
      <c r="J175" s="63"/>
      <c r="K175" s="63"/>
      <c r="L175" s="63"/>
      <c r="M175" s="63"/>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row>
    <row r="176" spans="1:38">
      <c r="A176" s="63"/>
      <c r="B176" s="63"/>
      <c r="C176" s="63"/>
      <c r="D176" s="63"/>
      <c r="E176" s="63"/>
      <c r="F176" s="63"/>
      <c r="G176" s="63"/>
      <c r="H176" s="63"/>
      <c r="I176" s="63"/>
      <c r="J176" s="63"/>
      <c r="K176" s="63"/>
      <c r="L176" s="63"/>
      <c r="M176" s="63"/>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row>
    <row r="177" spans="1:38">
      <c r="A177" s="63"/>
      <c r="B177" s="63"/>
      <c r="C177" s="63"/>
      <c r="D177" s="63"/>
      <c r="E177" s="63"/>
      <c r="F177" s="63"/>
      <c r="G177" s="63"/>
      <c r="H177" s="63"/>
      <c r="I177" s="63"/>
      <c r="J177" s="63"/>
      <c r="K177" s="63"/>
      <c r="L177" s="63"/>
      <c r="M177" s="63"/>
      <c r="N177" s="79"/>
      <c r="O177" s="79"/>
      <c r="P177" s="79"/>
      <c r="Q177" s="79"/>
      <c r="R177" s="79"/>
      <c r="S177" s="79"/>
      <c r="T177" s="79"/>
      <c r="U177" s="79"/>
      <c r="V177" s="79"/>
      <c r="W177" s="79"/>
      <c r="X177" s="79"/>
      <c r="Y177" s="79"/>
      <c r="Z177" s="79"/>
      <c r="AA177" s="79"/>
      <c r="AB177" s="79"/>
      <c r="AC177" s="79"/>
      <c r="AD177" s="79"/>
      <c r="AE177" s="79"/>
      <c r="AF177" s="79"/>
      <c r="AG177" s="79"/>
      <c r="AH177" s="79"/>
      <c r="AI177" s="79"/>
      <c r="AJ177" s="79"/>
      <c r="AK177" s="79"/>
      <c r="AL177" s="79"/>
    </row>
    <row r="178" spans="1:38">
      <c r="A178" s="63"/>
      <c r="B178" s="63"/>
      <c r="C178" s="63"/>
      <c r="D178" s="63"/>
      <c r="E178" s="63"/>
      <c r="F178" s="63"/>
      <c r="G178" s="63"/>
      <c r="H178" s="63"/>
      <c r="I178" s="63"/>
      <c r="J178" s="63"/>
      <c r="K178" s="63"/>
      <c r="L178" s="63"/>
      <c r="M178" s="63"/>
      <c r="N178" s="79"/>
      <c r="O178" s="79"/>
      <c r="P178" s="79"/>
      <c r="Q178" s="79"/>
      <c r="R178" s="79"/>
      <c r="S178" s="79"/>
      <c r="T178" s="79"/>
      <c r="U178" s="79"/>
      <c r="V178" s="79"/>
      <c r="W178" s="79"/>
      <c r="X178" s="79"/>
      <c r="Y178" s="79"/>
      <c r="Z178" s="79"/>
      <c r="AA178" s="79"/>
      <c r="AB178" s="79"/>
      <c r="AC178" s="79"/>
      <c r="AD178" s="79"/>
      <c r="AE178" s="79"/>
      <c r="AF178" s="79"/>
      <c r="AG178" s="79"/>
      <c r="AH178" s="79"/>
      <c r="AI178" s="79"/>
      <c r="AJ178" s="79"/>
      <c r="AK178" s="79"/>
      <c r="AL178" s="79"/>
    </row>
    <row r="179" spans="1:38">
      <c r="A179" s="63"/>
      <c r="J179" s="63"/>
      <c r="K179" s="63"/>
      <c r="L179" s="63"/>
      <c r="M179" s="63"/>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row>
  </sheetData>
  <mergeCells count="18">
    <mergeCell ref="K73:U73"/>
    <mergeCell ref="A2:I2"/>
    <mergeCell ref="A3:I3"/>
    <mergeCell ref="A4:I4"/>
    <mergeCell ref="H9:I9"/>
    <mergeCell ref="B24:F24"/>
    <mergeCell ref="K2:Q3"/>
    <mergeCell ref="B82:I82"/>
    <mergeCell ref="B81:I81"/>
    <mergeCell ref="A1:I1"/>
    <mergeCell ref="B76:I76"/>
    <mergeCell ref="B77:I77"/>
    <mergeCell ref="B78:I78"/>
    <mergeCell ref="H67:I67"/>
    <mergeCell ref="B72:I72"/>
    <mergeCell ref="B73:I73"/>
    <mergeCell ref="B74:I74"/>
    <mergeCell ref="B75:I75"/>
  </mergeCells>
  <pageMargins left="0.7" right="0.7" top="0.75" bottom="0.75" header="0.3" footer="0.3"/>
  <pageSetup scale="89" fitToHeight="2" orientation="portrait" r:id="rId1"/>
  <headerFooter>
    <oddFooter>&amp;R&amp;A</oddFooter>
  </headerFooter>
  <ignoredErrors>
    <ignoredError sqref="H10:H28 D3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183"/>
  <sheetViews>
    <sheetView zoomScale="90" zoomScaleNormal="90" zoomScaleSheetLayoutView="70" workbookViewId="0">
      <pane ySplit="5" topLeftCell="A171" activePane="bottomLeft" state="frozen"/>
      <selection activeCell="A21" sqref="A21"/>
      <selection pane="bottomLeft" activeCell="A21" sqref="A21"/>
    </sheetView>
  </sheetViews>
  <sheetFormatPr defaultColWidth="9.109375" defaultRowHeight="13.2"/>
  <cols>
    <col min="1" max="1" width="8.109375" style="564" bestFit="1" customWidth="1"/>
    <col min="2" max="2" width="2.6640625" style="63" customWidth="1"/>
    <col min="3" max="3" width="63.6640625" style="63" customWidth="1"/>
    <col min="4" max="4" width="15.6640625" style="63" customWidth="1"/>
    <col min="5" max="5" width="16.6640625" style="63" customWidth="1"/>
    <col min="6" max="7" width="12.44140625" style="63" bestFit="1" customWidth="1"/>
    <col min="8" max="8" width="14.88671875" style="63" customWidth="1"/>
    <col min="9" max="9" width="32.33203125" style="681" bestFit="1" customWidth="1"/>
    <col min="10" max="10" width="27.109375" style="78" customWidth="1"/>
    <col min="11" max="11" width="18.88671875" style="78" customWidth="1"/>
    <col min="12" max="12" width="16.5546875" style="261" customWidth="1"/>
    <col min="13" max="13" width="15.109375" style="261" customWidth="1"/>
    <col min="14" max="14" width="17.88671875" style="261" customWidth="1"/>
    <col min="15" max="15" width="17.88671875" style="78" customWidth="1"/>
    <col min="16" max="16" width="15.6640625" style="78" customWidth="1"/>
    <col min="17" max="17" width="4.109375" style="78" customWidth="1"/>
    <col min="18" max="18" width="17.88671875" style="63" customWidth="1"/>
    <col min="19" max="19" width="15.6640625" style="63" customWidth="1"/>
    <col min="20" max="20" width="23" style="63" customWidth="1"/>
    <col min="21" max="16384" width="9.109375" style="63"/>
  </cols>
  <sheetData>
    <row r="1" spans="1:17">
      <c r="A1" s="1964" t="str">
        <f>+'MISO Cover'!C6</f>
        <v>Entergy Louisiana, LLC</v>
      </c>
      <c r="B1" s="1964"/>
      <c r="C1" s="1964"/>
      <c r="D1" s="1964"/>
      <c r="E1" s="1964"/>
      <c r="F1" s="1964"/>
      <c r="G1" s="1964"/>
      <c r="H1" s="1964"/>
      <c r="I1" s="1964"/>
      <c r="J1" s="178"/>
      <c r="K1" s="178"/>
      <c r="L1" s="178"/>
      <c r="M1" s="178"/>
    </row>
    <row r="2" spans="1:17">
      <c r="A2" s="1957" t="s">
        <v>694</v>
      </c>
      <c r="B2" s="1957"/>
      <c r="C2" s="1957"/>
      <c r="D2" s="1957"/>
      <c r="E2" s="1957"/>
      <c r="F2" s="1957"/>
      <c r="G2" s="1957"/>
      <c r="H2" s="1957"/>
      <c r="I2" s="1957"/>
      <c r="J2" s="178"/>
      <c r="K2" s="178"/>
      <c r="L2" s="178"/>
      <c r="M2" s="178"/>
    </row>
    <row r="3" spans="1:17">
      <c r="A3" s="1964" t="str">
        <f>+'MISO Cover'!K4</f>
        <v>For  the 12 Months Ended 12/31/2016</v>
      </c>
      <c r="B3" s="1964"/>
      <c r="C3" s="1964"/>
      <c r="D3" s="1964"/>
      <c r="E3" s="1964"/>
      <c r="F3" s="1964"/>
      <c r="G3" s="1964"/>
      <c r="H3" s="1964"/>
      <c r="I3" s="1964"/>
      <c r="J3" s="178"/>
      <c r="K3" s="178"/>
      <c r="L3" s="178"/>
      <c r="M3" s="178"/>
    </row>
    <row r="4" spans="1:17">
      <c r="A4" s="611"/>
      <c r="B4" s="611"/>
      <c r="C4" s="611"/>
      <c r="D4" s="611"/>
      <c r="E4" s="611"/>
      <c r="F4" s="611"/>
      <c r="G4" s="611"/>
      <c r="H4" s="611"/>
      <c r="I4" s="38"/>
      <c r="J4" s="178"/>
      <c r="K4" s="178"/>
      <c r="L4" s="178"/>
      <c r="M4" s="178"/>
    </row>
    <row r="5" spans="1:17" s="226" customFormat="1">
      <c r="A5" s="565" t="s">
        <v>279</v>
      </c>
      <c r="B5" s="226" t="s">
        <v>67</v>
      </c>
      <c r="C5" s="226" t="s">
        <v>114</v>
      </c>
      <c r="D5" s="226" t="s">
        <v>55</v>
      </c>
      <c r="E5" s="226" t="s">
        <v>68</v>
      </c>
      <c r="F5" s="226" t="s">
        <v>66</v>
      </c>
      <c r="G5" s="226" t="s">
        <v>154</v>
      </c>
      <c r="H5" s="226" t="s">
        <v>69</v>
      </c>
      <c r="I5" s="226" t="s">
        <v>166</v>
      </c>
      <c r="J5" s="217"/>
      <c r="K5" s="1869"/>
      <c r="L5" s="219"/>
      <c r="M5" s="219"/>
      <c r="N5" s="219"/>
      <c r="O5" s="1869"/>
      <c r="P5" s="1869"/>
      <c r="Q5" s="1869"/>
    </row>
    <row r="6" spans="1:17" s="226" customFormat="1">
      <c r="A6" s="565"/>
      <c r="I6" s="681"/>
      <c r="J6" s="217"/>
      <c r="K6" s="1869"/>
      <c r="L6" s="219"/>
      <c r="M6" s="219"/>
      <c r="N6" s="219"/>
      <c r="O6" s="1869"/>
      <c r="P6" s="1869"/>
      <c r="Q6" s="1869"/>
    </row>
    <row r="7" spans="1:17">
      <c r="A7" s="842">
        <v>1</v>
      </c>
      <c r="B7" s="618" t="s">
        <v>86</v>
      </c>
      <c r="C7" s="615"/>
      <c r="D7" s="616"/>
      <c r="E7" s="616"/>
      <c r="F7" s="617"/>
      <c r="G7" s="619"/>
      <c r="H7" s="620"/>
      <c r="I7" s="682"/>
      <c r="J7" s="217"/>
      <c r="K7" s="1869"/>
      <c r="L7" s="219"/>
      <c r="M7" s="219"/>
    </row>
    <row r="8" spans="1:17">
      <c r="A8" s="843">
        <f>+A7+1</f>
        <v>2</v>
      </c>
      <c r="B8" s="42"/>
      <c r="C8" s="42"/>
      <c r="D8" s="224"/>
      <c r="E8" s="78"/>
      <c r="F8" s="78"/>
      <c r="G8" s="78"/>
      <c r="H8" s="78"/>
    </row>
    <row r="9" spans="1:17" ht="13.2" customHeight="1">
      <c r="A9" s="843">
        <f>+A8+1</f>
        <v>3</v>
      </c>
      <c r="B9" s="612" t="s">
        <v>87</v>
      </c>
      <c r="C9" s="268"/>
      <c r="D9" s="520"/>
      <c r="E9" s="79"/>
      <c r="F9" s="79"/>
      <c r="G9" s="79"/>
      <c r="H9" s="79"/>
      <c r="J9" s="1871"/>
    </row>
    <row r="10" spans="1:17">
      <c r="A10" s="842">
        <f>+A9+1</f>
        <v>4</v>
      </c>
      <c r="C10" s="72" t="s">
        <v>784</v>
      </c>
      <c r="D10" s="262"/>
      <c r="E10" s="79"/>
      <c r="F10" s="79"/>
      <c r="G10" s="79"/>
      <c r="H10" s="79"/>
      <c r="I10" s="217"/>
    </row>
    <row r="11" spans="1:17">
      <c r="A11" s="844">
        <f t="shared" ref="A11:A16" si="0">+A10+0.1</f>
        <v>4.0999999999999996</v>
      </c>
      <c r="C11" s="566" t="s">
        <v>781</v>
      </c>
      <c r="D11" s="262">
        <f>+'WP10 Storm'!D45</f>
        <v>333943.45211841189</v>
      </c>
      <c r="E11" s="79"/>
      <c r="F11" s="79"/>
      <c r="G11" s="261"/>
      <c r="H11" s="261"/>
      <c r="I11" s="217" t="str">
        <f>+"WP10 Storm Ln "&amp;'WP10 Storm'!A45&amp;" Col. "&amp;'WP10 Storm'!$D$6</f>
        <v>WP10 Storm Ln 8 Col. C</v>
      </c>
    </row>
    <row r="12" spans="1:17">
      <c r="A12" s="844">
        <f t="shared" si="0"/>
        <v>4.1999999999999993</v>
      </c>
      <c r="C12" s="566" t="s">
        <v>752</v>
      </c>
      <c r="D12" s="942">
        <f>'WP AJ1 MISO'!H62</f>
        <v>0</v>
      </c>
      <c r="E12" s="79"/>
      <c r="F12" s="79"/>
      <c r="G12" s="261"/>
      <c r="H12" s="261"/>
      <c r="I12" s="217" t="str">
        <f>+"WP AJ1 MISO Ln "&amp;'WP AJ1 MISO'!A62&amp;" Col. "&amp;'WP AJ1 MISO'!H$8</f>
        <v>WP AJ1 MISO Ln 8 Col. G</v>
      </c>
    </row>
    <row r="13" spans="1:17">
      <c r="A13" s="844">
        <f t="shared" si="0"/>
        <v>4.2999999999999989</v>
      </c>
      <c r="C13" s="566" t="s">
        <v>1119</v>
      </c>
      <c r="D13" s="942">
        <f>-'WP AJ2 ITC'!E49</f>
        <v>0</v>
      </c>
      <c r="E13" s="79"/>
      <c r="F13" s="79"/>
      <c r="G13" s="261"/>
      <c r="H13" s="261"/>
      <c r="I13" s="217" t="str">
        <f>"WP AJ2 ITC Ln "&amp;'WP AJ2 ITC'!A49&amp;" Col. "&amp;'WP AJ2 ITC'!E$6</f>
        <v>WP AJ2 ITC Ln 8 Col. C</v>
      </c>
    </row>
    <row r="14" spans="1:17" s="912" customFormat="1">
      <c r="A14" s="844">
        <f t="shared" si="0"/>
        <v>4.3999999999999986</v>
      </c>
      <c r="B14" s="78"/>
      <c r="C14" s="1265" t="s">
        <v>877</v>
      </c>
      <c r="D14" s="262">
        <v>0</v>
      </c>
      <c r="E14" s="261"/>
      <c r="F14" s="261"/>
      <c r="G14" s="261"/>
      <c r="H14" s="261"/>
      <c r="I14" s="217" t="s">
        <v>876</v>
      </c>
      <c r="J14" s="78"/>
      <c r="K14" s="1422"/>
      <c r="L14" s="918"/>
      <c r="M14" s="918"/>
      <c r="N14" s="918"/>
      <c r="O14" s="1422"/>
      <c r="P14" s="1422"/>
      <c r="Q14" s="1422"/>
    </row>
    <row r="15" spans="1:17" s="912" customFormat="1">
      <c r="A15" s="844">
        <f t="shared" si="0"/>
        <v>4.4999999999999982</v>
      </c>
      <c r="B15" s="78"/>
      <c r="C15" s="1265" t="s">
        <v>1120</v>
      </c>
      <c r="D15" s="262">
        <f>-'WP AJ4 LA Merger'!D45</f>
        <v>325.94</v>
      </c>
      <c r="E15" s="261"/>
      <c r="F15" s="261"/>
      <c r="G15" s="261"/>
      <c r="H15" s="261"/>
      <c r="I15" s="217" t="s">
        <v>1057</v>
      </c>
      <c r="J15" s="78"/>
      <c r="K15" s="1422"/>
      <c r="L15" s="918"/>
      <c r="M15" s="918"/>
      <c r="N15" s="918"/>
      <c r="O15" s="1422"/>
      <c r="P15" s="1422"/>
      <c r="Q15" s="1422"/>
    </row>
    <row r="16" spans="1:17" s="912" customFormat="1">
      <c r="A16" s="1272">
        <f t="shared" si="0"/>
        <v>4.5999999999999979</v>
      </c>
      <c r="B16" s="1273"/>
      <c r="C16" s="1271" t="s">
        <v>936</v>
      </c>
      <c r="D16" s="191"/>
      <c r="E16" s="261"/>
      <c r="F16" s="261"/>
      <c r="G16" s="261"/>
      <c r="H16" s="261"/>
      <c r="I16" s="1270"/>
      <c r="J16" s="78"/>
      <c r="K16" s="1422"/>
      <c r="L16" s="918"/>
      <c r="M16" s="918"/>
      <c r="N16" s="918"/>
      <c r="O16" s="1422"/>
      <c r="P16" s="1422"/>
      <c r="Q16" s="1422"/>
    </row>
    <row r="17" spans="1:17" s="912" customFormat="1">
      <c r="A17" s="1272" t="s">
        <v>926</v>
      </c>
      <c r="B17" s="1273"/>
      <c r="C17" s="1271" t="s">
        <v>936</v>
      </c>
      <c r="D17" s="191"/>
      <c r="E17" s="261"/>
      <c r="F17" s="261"/>
      <c r="G17" s="261"/>
      <c r="H17" s="261"/>
      <c r="I17" s="1270"/>
      <c r="J17" s="78"/>
      <c r="K17" s="1422"/>
      <c r="L17" s="918"/>
      <c r="M17" s="918"/>
      <c r="N17" s="918"/>
      <c r="O17" s="1422"/>
      <c r="P17" s="1422"/>
      <c r="Q17" s="1422"/>
    </row>
    <row r="18" spans="1:17" s="912" customFormat="1">
      <c r="A18" s="1272" t="str">
        <f>+A10&amp;".x"</f>
        <v>4.x</v>
      </c>
      <c r="B18" s="1273"/>
      <c r="C18" s="1271" t="s">
        <v>936</v>
      </c>
      <c r="D18" s="257"/>
      <c r="E18" s="261"/>
      <c r="F18" s="261"/>
      <c r="G18" s="261"/>
      <c r="H18" s="261"/>
      <c r="I18" s="1270"/>
      <c r="J18" s="78"/>
      <c r="K18" s="1422"/>
      <c r="L18" s="918"/>
      <c r="M18" s="918"/>
      <c r="N18" s="918"/>
      <c r="O18" s="1422"/>
      <c r="P18" s="1422"/>
      <c r="Q18" s="1422"/>
    </row>
    <row r="19" spans="1:17">
      <c r="A19" s="842">
        <f>+A10+1</f>
        <v>5</v>
      </c>
      <c r="C19" s="704" t="str">
        <f>+"Total "&amp;+C10</f>
        <v>Total Adjustments to Transmission Wages Expense (1) (2)</v>
      </c>
      <c r="D19" s="262">
        <f>SUM(D11:D18)</f>
        <v>334269.3921184119</v>
      </c>
      <c r="E19" s="261"/>
      <c r="F19" s="261"/>
      <c r="G19" s="261"/>
      <c r="H19" s="261"/>
      <c r="I19" s="1118" t="str">
        <f>+"Sum Ln "&amp;A10&amp;" Subparts"</f>
        <v>Sum Ln 4 Subparts</v>
      </c>
    </row>
    <row r="20" spans="1:17">
      <c r="A20" s="842">
        <f>+A19+1</f>
        <v>6</v>
      </c>
      <c r="C20" s="43"/>
      <c r="D20" s="960"/>
      <c r="E20" s="261"/>
      <c r="F20" s="261"/>
      <c r="G20" s="261"/>
      <c r="H20" s="261"/>
      <c r="I20" s="217"/>
    </row>
    <row r="21" spans="1:17">
      <c r="A21" s="842">
        <f>+A20+1</f>
        <v>7</v>
      </c>
      <c r="C21" s="72" t="s">
        <v>790</v>
      </c>
      <c r="D21" s="262"/>
      <c r="E21" s="261"/>
      <c r="F21" s="261"/>
      <c r="G21" s="261"/>
      <c r="H21" s="261"/>
      <c r="I21" s="217"/>
    </row>
    <row r="22" spans="1:17">
      <c r="A22" s="844">
        <f t="shared" ref="A22:A27" si="1">+A21+0.1</f>
        <v>7.1</v>
      </c>
      <c r="C22" s="566" t="s">
        <v>781</v>
      </c>
      <c r="D22" s="942">
        <f>+'WP10 Storm'!D59</f>
        <v>333943.45211841189</v>
      </c>
      <c r="E22" s="261"/>
      <c r="F22" s="261"/>
      <c r="G22" s="261"/>
      <c r="H22" s="261"/>
      <c r="I22" s="217" t="str">
        <f>+"WP10 Storm Ln "&amp;'WP10 Storm'!A59&amp;" Col. "&amp;'WP10 Storm'!$D$6</f>
        <v>WP10 Storm Ln 22 Col. C</v>
      </c>
    </row>
    <row r="23" spans="1:17">
      <c r="A23" s="844">
        <f t="shared" si="1"/>
        <v>7.1999999999999993</v>
      </c>
      <c r="C23" s="566" t="s">
        <v>782</v>
      </c>
      <c r="D23" s="942">
        <f>'WP AJ1 MISO'!H76</f>
        <v>0</v>
      </c>
      <c r="E23" s="261"/>
      <c r="F23" s="261"/>
      <c r="G23" s="261"/>
      <c r="H23" s="261"/>
      <c r="I23" s="217" t="str">
        <f>+"WP AJ1 MISO Ln "&amp;'WP AJ1 MISO'!A76&amp;" Col. "&amp;'WP AJ1 MISO'!H$8</f>
        <v>WP AJ1 MISO Ln 22 Col. G</v>
      </c>
    </row>
    <row r="24" spans="1:17">
      <c r="A24" s="844">
        <f t="shared" si="1"/>
        <v>7.2999999999999989</v>
      </c>
      <c r="C24" s="566" t="s">
        <v>1121</v>
      </c>
      <c r="D24" s="942">
        <f>-'WP AJ2 ITC'!E63</f>
        <v>0</v>
      </c>
      <c r="E24" s="261"/>
      <c r="F24" s="261"/>
      <c r="G24" s="261"/>
      <c r="H24" s="261"/>
      <c r="I24" s="217" t="str">
        <f>"WP AJ2 ITC Ln "&amp;'WP AJ2 ITC'!A63&amp;" Col. "&amp;'WP AJ2 ITC'!E$6</f>
        <v>WP AJ2 ITC Ln 22 Col. C</v>
      </c>
    </row>
    <row r="25" spans="1:17" s="912" customFormat="1">
      <c r="A25" s="844">
        <f t="shared" si="1"/>
        <v>7.3999999999999986</v>
      </c>
      <c r="B25" s="78"/>
      <c r="C25" s="1265" t="s">
        <v>877</v>
      </c>
      <c r="D25" s="262">
        <v>0</v>
      </c>
      <c r="E25" s="261"/>
      <c r="F25" s="261"/>
      <c r="G25" s="261"/>
      <c r="H25" s="261"/>
      <c r="I25" s="217" t="s">
        <v>876</v>
      </c>
      <c r="J25" s="78"/>
      <c r="K25" s="1422"/>
      <c r="L25" s="918"/>
      <c r="M25" s="918"/>
      <c r="N25" s="918"/>
      <c r="O25" s="1422"/>
      <c r="P25" s="1422"/>
      <c r="Q25" s="1422"/>
    </row>
    <row r="26" spans="1:17" s="1422" customFormat="1">
      <c r="A26" s="844">
        <f t="shared" si="1"/>
        <v>7.4999999999999982</v>
      </c>
      <c r="B26" s="78"/>
      <c r="C26" s="1265" t="s">
        <v>1120</v>
      </c>
      <c r="D26" s="262">
        <f>-'WP AJ4 LA Merger'!D59</f>
        <v>-121515.41000000005</v>
      </c>
      <c r="E26" s="261"/>
      <c r="F26" s="261"/>
      <c r="G26" s="261"/>
      <c r="H26" s="261"/>
      <c r="I26" s="217" t="s">
        <v>1058</v>
      </c>
      <c r="J26" s="78"/>
      <c r="L26" s="918"/>
      <c r="M26" s="918"/>
      <c r="N26" s="918"/>
    </row>
    <row r="27" spans="1:17" s="912" customFormat="1">
      <c r="A27" s="1272">
        <f t="shared" si="1"/>
        <v>7.5999999999999979</v>
      </c>
      <c r="B27" s="1273"/>
      <c r="C27" s="1271" t="s">
        <v>936</v>
      </c>
      <c r="D27" s="191"/>
      <c r="E27" s="261"/>
      <c r="F27" s="261"/>
      <c r="G27" s="261"/>
      <c r="H27" s="261"/>
      <c r="I27" s="1270"/>
      <c r="J27" s="78"/>
      <c r="K27" s="1422"/>
      <c r="L27" s="918"/>
      <c r="M27" s="918"/>
      <c r="N27" s="918"/>
      <c r="O27" s="1422"/>
      <c r="P27" s="1422"/>
      <c r="Q27" s="1422"/>
    </row>
    <row r="28" spans="1:17" s="912" customFormat="1">
      <c r="A28" s="1272" t="s">
        <v>926</v>
      </c>
      <c r="B28" s="1273"/>
      <c r="C28" s="1271" t="s">
        <v>936</v>
      </c>
      <c r="D28" s="191"/>
      <c r="E28" s="261"/>
      <c r="F28" s="261"/>
      <c r="G28" s="261"/>
      <c r="H28" s="261"/>
      <c r="I28" s="1270"/>
      <c r="J28" s="78"/>
      <c r="K28" s="1422"/>
      <c r="L28" s="918"/>
      <c r="M28" s="918"/>
      <c r="N28" s="918"/>
      <c r="O28" s="1422"/>
      <c r="P28" s="1422"/>
      <c r="Q28" s="1422"/>
    </row>
    <row r="29" spans="1:17" s="912" customFormat="1">
      <c r="A29" s="1272" t="str">
        <f>+A21&amp;".x"</f>
        <v>7.x</v>
      </c>
      <c r="B29" s="1273"/>
      <c r="C29" s="1271" t="s">
        <v>936</v>
      </c>
      <c r="D29" s="257"/>
      <c r="E29" s="261"/>
      <c r="F29" s="261"/>
      <c r="G29" s="261"/>
      <c r="H29" s="261"/>
      <c r="I29" s="1270"/>
      <c r="J29" s="78"/>
      <c r="K29" s="1422"/>
      <c r="L29" s="918"/>
      <c r="M29" s="918"/>
      <c r="N29" s="918"/>
      <c r="O29" s="1422"/>
      <c r="P29" s="1422"/>
      <c r="Q29" s="1422"/>
    </row>
    <row r="30" spans="1:17">
      <c r="A30" s="842">
        <f>+A21+1</f>
        <v>8</v>
      </c>
      <c r="C30" s="704" t="str">
        <f>+"Total "&amp;+C21</f>
        <v>Total Adjustment to Total Wages Expense (1) (2)</v>
      </c>
      <c r="D30" s="262">
        <f>SUM(D22:D29)</f>
        <v>212428.04211841186</v>
      </c>
      <c r="E30" s="261"/>
      <c r="F30" s="261"/>
      <c r="G30" s="261"/>
      <c r="H30" s="261"/>
      <c r="I30" s="1171" t="str">
        <f>+"Sum Ln "&amp;A21&amp;" Subparts"</f>
        <v>Sum Ln 7 Subparts</v>
      </c>
    </row>
    <row r="31" spans="1:17">
      <c r="A31" s="842">
        <f>+A30+1</f>
        <v>9</v>
      </c>
      <c r="D31" s="262"/>
      <c r="E31" s="261"/>
      <c r="F31" s="261"/>
      <c r="G31" s="261"/>
      <c r="H31" s="261"/>
      <c r="I31" s="217"/>
    </row>
    <row r="32" spans="1:17">
      <c r="A32" s="842">
        <f>+A31+1</f>
        <v>10</v>
      </c>
      <c r="C32" s="72" t="s">
        <v>785</v>
      </c>
      <c r="D32" s="262"/>
      <c r="E32" s="261"/>
      <c r="F32" s="261"/>
      <c r="G32" s="261"/>
      <c r="H32" s="261"/>
      <c r="I32" s="217"/>
    </row>
    <row r="33" spans="1:17">
      <c r="A33" s="844">
        <f>+A32+0.1</f>
        <v>10.1</v>
      </c>
      <c r="C33" s="566" t="s">
        <v>781</v>
      </c>
      <c r="D33" s="942">
        <f>+'WP10 Storm'!D58</f>
        <v>0</v>
      </c>
      <c r="E33" s="261"/>
      <c r="F33" s="261"/>
      <c r="G33" s="261"/>
      <c r="H33" s="261"/>
      <c r="I33" s="217" t="str">
        <f>+"WP10 Storm Ln "&amp;'WP10 Storm'!A58&amp;" Col. "&amp;'WP10 Storm'!$D$6</f>
        <v>WP10 Storm Ln 21 Col. C</v>
      </c>
    </row>
    <row r="34" spans="1:17">
      <c r="A34" s="844">
        <f>+A33+0.1</f>
        <v>10.199999999999999</v>
      </c>
      <c r="C34" s="566" t="s">
        <v>782</v>
      </c>
      <c r="D34" s="942">
        <f>'WP AJ1 MISO'!H75</f>
        <v>0</v>
      </c>
      <c r="E34" s="261"/>
      <c r="F34" s="261"/>
      <c r="G34" s="261"/>
      <c r="H34" s="261"/>
      <c r="I34" s="217" t="str">
        <f>+"WP AJ1 MISO Ln "&amp;'WP AJ1 MISO'!A75&amp;" Col. "&amp;'WP AJ1 MISO'!H$8</f>
        <v>WP AJ1 MISO Ln 21 Col. G</v>
      </c>
    </row>
    <row r="35" spans="1:17">
      <c r="A35" s="844">
        <f>+A34+0.1</f>
        <v>10.299999999999999</v>
      </c>
      <c r="C35" s="566" t="s">
        <v>1121</v>
      </c>
      <c r="D35" s="942">
        <f>-'WP AJ2 ITC'!E62</f>
        <v>0</v>
      </c>
      <c r="E35" s="261"/>
      <c r="F35" s="261"/>
      <c r="G35" s="261"/>
      <c r="H35" s="261"/>
      <c r="I35" s="217" t="str">
        <f>"WP AJ2 ITC Ln "&amp;'WP AJ2 ITC'!A62&amp;" Col. "&amp;'WP AJ2 ITC'!E$6</f>
        <v>WP AJ2 ITC Ln 21 Col. C</v>
      </c>
    </row>
    <row r="36" spans="1:17" s="912" customFormat="1">
      <c r="A36" s="844">
        <f>+A35+0.1</f>
        <v>10.399999999999999</v>
      </c>
      <c r="B36" s="78"/>
      <c r="C36" s="1265" t="s">
        <v>877</v>
      </c>
      <c r="D36" s="262">
        <v>0</v>
      </c>
      <c r="E36" s="261"/>
      <c r="F36" s="261"/>
      <c r="G36" s="261"/>
      <c r="H36" s="261"/>
      <c r="I36" s="217" t="s">
        <v>876</v>
      </c>
      <c r="J36" s="78"/>
      <c r="K36" s="1422"/>
      <c r="L36" s="918"/>
      <c r="M36" s="918"/>
      <c r="N36" s="918"/>
      <c r="O36" s="1422"/>
      <c r="P36" s="1422"/>
      <c r="Q36" s="1422"/>
    </row>
    <row r="37" spans="1:17" s="1422" customFormat="1">
      <c r="A37" s="844">
        <f t="shared" ref="A37:A38" si="2">+A36+0.1</f>
        <v>10.499999999999998</v>
      </c>
      <c r="B37" s="78"/>
      <c r="C37" s="1265" t="s">
        <v>1120</v>
      </c>
      <c r="D37" s="262">
        <f>-'WP AJ4 LA Merger'!D58</f>
        <v>-124486.25000000004</v>
      </c>
      <c r="E37" s="261"/>
      <c r="F37" s="261"/>
      <c r="G37" s="261"/>
      <c r="H37" s="261"/>
      <c r="I37" s="217" t="s">
        <v>1059</v>
      </c>
      <c r="J37" s="78"/>
      <c r="L37" s="918"/>
      <c r="M37" s="918"/>
      <c r="N37" s="918"/>
    </row>
    <row r="38" spans="1:17" s="912" customFormat="1">
      <c r="A38" s="1272">
        <f t="shared" si="2"/>
        <v>10.599999999999998</v>
      </c>
      <c r="B38" s="1273"/>
      <c r="C38" s="1271" t="s">
        <v>936</v>
      </c>
      <c r="D38" s="191"/>
      <c r="E38" s="261"/>
      <c r="F38" s="261"/>
      <c r="G38" s="261"/>
      <c r="H38" s="261"/>
      <c r="I38" s="1270"/>
      <c r="J38" s="78"/>
      <c r="K38" s="1422"/>
      <c r="L38" s="918"/>
      <c r="M38" s="918"/>
      <c r="N38" s="918"/>
      <c r="O38" s="1422"/>
      <c r="P38" s="1422"/>
      <c r="Q38" s="1422"/>
    </row>
    <row r="39" spans="1:17" s="912" customFormat="1">
      <c r="A39" s="1272" t="s">
        <v>926</v>
      </c>
      <c r="B39" s="1273"/>
      <c r="C39" s="1271" t="s">
        <v>936</v>
      </c>
      <c r="D39" s="191"/>
      <c r="E39" s="261"/>
      <c r="F39" s="261"/>
      <c r="G39" s="261"/>
      <c r="H39" s="261"/>
      <c r="I39" s="1270"/>
      <c r="J39" s="78"/>
      <c r="K39" s="1422"/>
      <c r="L39" s="918"/>
      <c r="M39" s="918"/>
      <c r="N39" s="918"/>
      <c r="O39" s="1422"/>
      <c r="P39" s="1422"/>
      <c r="Q39" s="1422"/>
    </row>
    <row r="40" spans="1:17" s="912" customFormat="1">
      <c r="A40" s="1272" t="str">
        <f>+A32&amp;".x"</f>
        <v>10.x</v>
      </c>
      <c r="B40" s="1273"/>
      <c r="C40" s="1271" t="s">
        <v>936</v>
      </c>
      <c r="D40" s="257"/>
      <c r="E40" s="261"/>
      <c r="F40" s="261"/>
      <c r="G40" s="261"/>
      <c r="H40" s="261"/>
      <c r="I40" s="1270"/>
      <c r="J40" s="78"/>
      <c r="K40" s="1422"/>
      <c r="L40" s="918"/>
      <c r="M40" s="918"/>
      <c r="N40" s="918"/>
      <c r="O40" s="1422"/>
      <c r="P40" s="1422"/>
      <c r="Q40" s="1422"/>
    </row>
    <row r="41" spans="1:17">
      <c r="A41" s="842">
        <f>+A32+1</f>
        <v>11</v>
      </c>
      <c r="C41" s="704" t="str">
        <f>+"Total "&amp;+C32</f>
        <v>Total Adjustment to A&amp;G Wages Expense (1) (2)</v>
      </c>
      <c r="D41" s="262">
        <f>SUM(D33:D40)</f>
        <v>-124486.25000000004</v>
      </c>
      <c r="E41" s="261"/>
      <c r="F41" s="261"/>
      <c r="G41" s="261"/>
      <c r="H41" s="261"/>
      <c r="I41" s="1171" t="str">
        <f>+"Sum Ln "&amp;A32&amp;" Subparts"</f>
        <v>Sum Ln 10 Subparts</v>
      </c>
    </row>
    <row r="42" spans="1:17">
      <c r="A42" s="842">
        <f>+A41+1</f>
        <v>12</v>
      </c>
      <c r="B42" s="263"/>
      <c r="D42" s="249"/>
      <c r="I42" s="217"/>
    </row>
    <row r="43" spans="1:17">
      <c r="A43" s="842">
        <f>+A42+1</f>
        <v>13</v>
      </c>
      <c r="B43" s="618" t="s">
        <v>107</v>
      </c>
      <c r="C43" s="615"/>
      <c r="D43" s="616"/>
      <c r="E43" s="616"/>
      <c r="F43" s="617"/>
      <c r="G43" s="619"/>
      <c r="H43" s="620"/>
      <c r="I43" s="682"/>
      <c r="K43" s="1869"/>
      <c r="L43" s="219"/>
      <c r="M43" s="219"/>
    </row>
    <row r="44" spans="1:17">
      <c r="A44" s="842">
        <f>+A43+1</f>
        <v>14</v>
      </c>
      <c r="B44" s="226" t="s">
        <v>67</v>
      </c>
      <c r="C44" s="226" t="s">
        <v>114</v>
      </c>
      <c r="D44" s="226" t="s">
        <v>55</v>
      </c>
      <c r="E44" s="226" t="s">
        <v>68</v>
      </c>
      <c r="F44" s="226" t="s">
        <v>66</v>
      </c>
      <c r="G44" s="226" t="s">
        <v>154</v>
      </c>
      <c r="H44" s="226" t="s">
        <v>69</v>
      </c>
      <c r="I44" s="226" t="s">
        <v>166</v>
      </c>
    </row>
    <row r="45" spans="1:17" ht="13.2" customHeight="1">
      <c r="A45" s="842">
        <f>+A44+1</f>
        <v>15</v>
      </c>
      <c r="B45" s="72" t="s">
        <v>866</v>
      </c>
      <c r="C45" s="268"/>
      <c r="D45" s="569" t="s">
        <v>524</v>
      </c>
      <c r="E45" s="569" t="s">
        <v>490</v>
      </c>
      <c r="F45" s="569" t="s">
        <v>135</v>
      </c>
      <c r="G45" s="569" t="s">
        <v>157</v>
      </c>
      <c r="H45" s="569" t="s">
        <v>142</v>
      </c>
      <c r="I45" s="683" t="s">
        <v>139</v>
      </c>
    </row>
    <row r="46" spans="1:17">
      <c r="A46" s="842">
        <v>16</v>
      </c>
      <c r="C46" s="83" t="s">
        <v>469</v>
      </c>
      <c r="D46" s="194"/>
      <c r="E46" s="195"/>
      <c r="F46" s="195"/>
      <c r="G46" s="261"/>
      <c r="H46" s="261"/>
    </row>
    <row r="47" spans="1:17">
      <c r="A47" s="844">
        <f>+A46+0.1</f>
        <v>16.100000000000001</v>
      </c>
      <c r="B47" s="263"/>
      <c r="C47" s="566" t="s">
        <v>466</v>
      </c>
      <c r="D47" s="196">
        <f>'WP20 Reserves'!Q8</f>
        <v>3905743.0269229612</v>
      </c>
      <c r="E47" s="273">
        <f t="shared" ref="E47:E51" si="3">+D47</f>
        <v>3905743.0269229612</v>
      </c>
      <c r="F47" s="195"/>
      <c r="G47" s="182"/>
      <c r="H47" s="79"/>
      <c r="I47" s="217" t="str">
        <f>+"WP20 Reserves Ln "&amp;'WP20 Reserves'!A8&amp;" Col. "&amp;'WP20 Reserves'!Q$5</f>
        <v>WP20 Reserves Ln 2.01 Col. P</v>
      </c>
    </row>
    <row r="48" spans="1:17">
      <c r="A48" s="844">
        <f>+A47+0.1</f>
        <v>16.200000000000003</v>
      </c>
      <c r="B48" s="263"/>
      <c r="C48" s="566" t="s">
        <v>629</v>
      </c>
      <c r="D48" s="196">
        <f>'WP20 Reserves'!Q9</f>
        <v>0</v>
      </c>
      <c r="E48" s="273">
        <f t="shared" si="3"/>
        <v>0</v>
      </c>
      <c r="F48" s="195"/>
      <c r="G48" s="182"/>
      <c r="H48" s="79"/>
      <c r="I48" s="217" t="str">
        <f>+"WP20 Reserves Ln "&amp;'WP20 Reserves'!A9&amp;" Col. "&amp;'WP20 Reserves'!Q$5</f>
        <v>WP20 Reserves Ln 2.02 Col. P</v>
      </c>
    </row>
    <row r="49" spans="1:17">
      <c r="A49" s="844">
        <f>+A48+0.1</f>
        <v>16.300000000000004</v>
      </c>
      <c r="B49" s="263"/>
      <c r="C49" s="566" t="s">
        <v>467</v>
      </c>
      <c r="D49" s="196">
        <f>'WP20 Reserves'!Q10</f>
        <v>0</v>
      </c>
      <c r="E49" s="273">
        <f t="shared" si="3"/>
        <v>0</v>
      </c>
      <c r="F49" s="195"/>
      <c r="G49" s="182"/>
      <c r="H49" s="79"/>
      <c r="I49" s="217" t="str">
        <f>+"WP20 Reserves Ln "&amp;'WP20 Reserves'!A10&amp;" Col. "&amp;'WP20 Reserves'!Q$5</f>
        <v>WP20 Reserves Ln 2.03 Col. P</v>
      </c>
    </row>
    <row r="50" spans="1:17">
      <c r="A50" s="844">
        <f t="shared" ref="A50:A52" si="4">+A49+0.1</f>
        <v>16.400000000000006</v>
      </c>
      <c r="B50" s="263"/>
      <c r="C50" s="566" t="s">
        <v>814</v>
      </c>
      <c r="D50" s="196">
        <f>'WP20 Reserves'!Q11</f>
        <v>0</v>
      </c>
      <c r="E50" s="273">
        <f t="shared" si="3"/>
        <v>0</v>
      </c>
      <c r="F50" s="195"/>
      <c r="G50" s="182"/>
      <c r="H50" s="79"/>
      <c r="I50" s="217" t="str">
        <f>+"WP20 Reserves Ln "&amp;'WP20 Reserves'!A11&amp;" Col. "&amp;'WP20 Reserves'!Q$5</f>
        <v>WP20 Reserves Ln 2.04 Col. P</v>
      </c>
    </row>
    <row r="51" spans="1:17">
      <c r="A51" s="844">
        <f t="shared" si="4"/>
        <v>16.500000000000007</v>
      </c>
      <c r="B51" s="263"/>
      <c r="C51" s="566" t="s">
        <v>487</v>
      </c>
      <c r="D51" s="196">
        <f>'WP20 Reserves'!Q12</f>
        <v>-4098764.3561538463</v>
      </c>
      <c r="E51" s="273">
        <f t="shared" si="3"/>
        <v>-4098764.3561538463</v>
      </c>
      <c r="F51" s="195"/>
      <c r="G51" s="273"/>
      <c r="H51" s="79"/>
      <c r="I51" s="217" t="str">
        <f>+"WP20 Reserves Ln "&amp;'WP20 Reserves'!A12&amp;" Col. "&amp;'WP20 Reserves'!Q$5</f>
        <v>WP20 Reserves Ln 2.05 Col. P</v>
      </c>
    </row>
    <row r="52" spans="1:17">
      <c r="A52" s="844">
        <f t="shared" si="4"/>
        <v>16.600000000000009</v>
      </c>
      <c r="B52" s="263"/>
      <c r="C52" s="566" t="s">
        <v>468</v>
      </c>
      <c r="D52" s="196">
        <f>'WP20 Reserves'!Q13</f>
        <v>-290956785.30769235</v>
      </c>
      <c r="E52" s="182">
        <f>D52</f>
        <v>-290956785.30769235</v>
      </c>
      <c r="F52" s="195"/>
      <c r="G52" s="182"/>
      <c r="H52" s="79"/>
      <c r="I52" s="217" t="str">
        <f>+"WP20 Reserves Ln "&amp;'WP20 Reserves'!A13&amp;" Col. "&amp;'WP20 Reserves'!Q$5</f>
        <v>WP20 Reserves Ln 2.06 Col. P</v>
      </c>
    </row>
    <row r="53" spans="1:17" s="912" customFormat="1">
      <c r="A53" s="1272">
        <f>+A52+0.1</f>
        <v>16.70000000000001</v>
      </c>
      <c r="B53" s="1273"/>
      <c r="C53" s="1271" t="s">
        <v>936</v>
      </c>
      <c r="D53" s="191"/>
      <c r="E53" s="1269"/>
      <c r="F53" s="1269"/>
      <c r="G53" s="1269"/>
      <c r="H53" s="1269"/>
      <c r="I53" s="1270"/>
      <c r="J53" s="78"/>
      <c r="K53" s="1422"/>
      <c r="L53" s="918"/>
      <c r="M53" s="918"/>
      <c r="N53" s="918"/>
      <c r="O53" s="1422"/>
      <c r="P53" s="1422"/>
      <c r="Q53" s="1422"/>
    </row>
    <row r="54" spans="1:17" s="912" customFormat="1">
      <c r="A54" s="1272" t="s">
        <v>926</v>
      </c>
      <c r="B54" s="1273"/>
      <c r="C54" s="1271" t="s">
        <v>936</v>
      </c>
      <c r="D54" s="191"/>
      <c r="E54" s="1269"/>
      <c r="F54" s="1269"/>
      <c r="G54" s="1269"/>
      <c r="H54" s="1269"/>
      <c r="I54" s="1270"/>
      <c r="J54" s="78"/>
      <c r="K54" s="1422"/>
      <c r="L54" s="918"/>
      <c r="M54" s="918"/>
      <c r="N54" s="918"/>
      <c r="O54" s="1422"/>
      <c r="P54" s="1422"/>
      <c r="Q54" s="1422"/>
    </row>
    <row r="55" spans="1:17" s="912" customFormat="1">
      <c r="A55" s="1272" t="str">
        <f>+A46&amp;".x"</f>
        <v>16.x</v>
      </c>
      <c r="B55" s="1273"/>
      <c r="C55" s="1271" t="s">
        <v>936</v>
      </c>
      <c r="D55" s="257"/>
      <c r="E55" s="1274"/>
      <c r="F55" s="1274"/>
      <c r="G55" s="1274"/>
      <c r="H55" s="1274"/>
      <c r="I55" s="1270"/>
      <c r="J55" s="78"/>
      <c r="K55" s="1422"/>
      <c r="L55" s="918"/>
      <c r="M55" s="918"/>
      <c r="N55" s="918"/>
      <c r="O55" s="1422"/>
      <c r="P55" s="1422"/>
      <c r="Q55" s="1422"/>
    </row>
    <row r="56" spans="1:17" s="845" customFormat="1">
      <c r="A56" s="1001">
        <f>+A46+1</f>
        <v>17</v>
      </c>
      <c r="B56" s="263"/>
      <c r="C56" s="903" t="str">
        <f>+"2281 Total "&amp;C46</f>
        <v>2281 Total Accumulated Provision for Property Insurance</v>
      </c>
      <c r="D56" s="200">
        <f>SUM(D47:D55)</f>
        <v>-291149806.63692325</v>
      </c>
      <c r="E56" s="200">
        <f>SUM(E47:E55)</f>
        <v>-291149806.63692325</v>
      </c>
      <c r="F56" s="200">
        <f>SUM(F47:F55)</f>
        <v>0</v>
      </c>
      <c r="G56" s="200">
        <f>SUM(G47:G55)</f>
        <v>0</v>
      </c>
      <c r="H56" s="200">
        <f>SUM(H47:H55)</f>
        <v>0</v>
      </c>
      <c r="I56" s="953" t="str">
        <f>+"Sum Ln "&amp;A46&amp;" Subparts"</f>
        <v>Sum Ln 16 Subparts</v>
      </c>
      <c r="J56" s="78"/>
      <c r="K56" s="1870"/>
      <c r="L56" s="591"/>
      <c r="M56" s="591"/>
      <c r="N56" s="591"/>
      <c r="O56" s="1870"/>
      <c r="P56" s="1870"/>
      <c r="Q56" s="1870"/>
    </row>
    <row r="57" spans="1:17">
      <c r="A57" s="842">
        <f>+A56+1</f>
        <v>18</v>
      </c>
      <c r="C57" s="263" t="s">
        <v>486</v>
      </c>
      <c r="D57" s="196"/>
      <c r="E57" s="79"/>
      <c r="F57" s="195"/>
      <c r="G57" s="182"/>
      <c r="H57" s="79"/>
    </row>
    <row r="58" spans="1:17">
      <c r="A58" s="844">
        <f>+A57+0.1</f>
        <v>18.100000000000001</v>
      </c>
      <c r="B58" s="78"/>
      <c r="C58" s="1275" t="s">
        <v>488</v>
      </c>
      <c r="D58" s="1450">
        <f>'WP20 Reserves'!Q14</f>
        <v>-9619250.885384623</v>
      </c>
      <c r="E58" s="79"/>
      <c r="F58" s="195"/>
      <c r="G58" s="261"/>
      <c r="H58" s="182">
        <f>+D58</f>
        <v>-9619250.885384623</v>
      </c>
      <c r="I58" s="217" t="str">
        <f>+"WP20 Reserves Ln "&amp;'WP20 Reserves'!A14&amp;" Col. "&amp;'WP20 Reserves'!Q$5</f>
        <v>WP20 Reserves Ln 2.07 Col. P</v>
      </c>
    </row>
    <row r="59" spans="1:17">
      <c r="A59" s="844">
        <f>+A58+0.1</f>
        <v>18.200000000000003</v>
      </c>
      <c r="B59" s="78"/>
      <c r="C59" s="1275" t="s">
        <v>489</v>
      </c>
      <c r="D59" s="199">
        <f>'WP20 Reserves'!Q15</f>
        <v>-4981644.2900000028</v>
      </c>
      <c r="E59" s="79"/>
      <c r="F59" s="195"/>
      <c r="G59" s="261"/>
      <c r="H59" s="182">
        <f>+D59</f>
        <v>-4981644.2900000028</v>
      </c>
      <c r="I59" s="217" t="str">
        <f>+"WP20 Reserves Ln "&amp;'WP20 Reserves'!A15&amp;" Col. "&amp;'WP20 Reserves'!Q$5</f>
        <v>WP20 Reserves Ln 2.08 Col. P</v>
      </c>
    </row>
    <row r="60" spans="1:17" s="912" customFormat="1">
      <c r="A60" s="1272">
        <f>+A59+0.1</f>
        <v>18.300000000000004</v>
      </c>
      <c r="B60" s="1273"/>
      <c r="C60" s="1271" t="s">
        <v>936</v>
      </c>
      <c r="D60" s="191"/>
      <c r="E60" s="1269"/>
      <c r="F60" s="1269"/>
      <c r="G60" s="1269"/>
      <c r="H60" s="1269"/>
      <c r="I60" s="1270"/>
      <c r="J60" s="78"/>
      <c r="K60" s="1422"/>
      <c r="L60" s="918"/>
      <c r="M60" s="918"/>
      <c r="N60" s="918"/>
      <c r="O60" s="1422"/>
      <c r="P60" s="1422"/>
      <c r="Q60" s="1422"/>
    </row>
    <row r="61" spans="1:17" s="912" customFormat="1">
      <c r="A61" s="1272" t="s">
        <v>926</v>
      </c>
      <c r="B61" s="1273"/>
      <c r="C61" s="1271" t="s">
        <v>936</v>
      </c>
      <c r="D61" s="191"/>
      <c r="E61" s="1269"/>
      <c r="F61" s="1269"/>
      <c r="G61" s="1269"/>
      <c r="H61" s="1269"/>
      <c r="I61" s="1270"/>
      <c r="J61" s="78"/>
      <c r="K61" s="1422"/>
      <c r="L61" s="918"/>
      <c r="M61" s="918"/>
      <c r="N61" s="918"/>
      <c r="O61" s="1422"/>
      <c r="P61" s="1422"/>
      <c r="Q61" s="1422"/>
    </row>
    <row r="62" spans="1:17" s="912" customFormat="1">
      <c r="A62" s="1272" t="str">
        <f>+A57&amp;".x"</f>
        <v>18.x</v>
      </c>
      <c r="B62" s="1273"/>
      <c r="C62" s="1271" t="s">
        <v>936</v>
      </c>
      <c r="D62" s="257"/>
      <c r="E62" s="1274"/>
      <c r="F62" s="1274"/>
      <c r="G62" s="1274"/>
      <c r="H62" s="1274"/>
      <c r="I62" s="1270"/>
      <c r="J62" s="78"/>
      <c r="K62" s="1422"/>
      <c r="L62" s="918"/>
      <c r="M62" s="918"/>
      <c r="N62" s="918"/>
      <c r="O62" s="1422"/>
      <c r="P62" s="1422"/>
      <c r="Q62" s="1422"/>
    </row>
    <row r="63" spans="1:17">
      <c r="A63" s="842">
        <f>+A57+1</f>
        <v>19</v>
      </c>
      <c r="B63" s="78"/>
      <c r="C63" s="904" t="str">
        <f>+"2282 Total "&amp;C57</f>
        <v>2282 Total Accumulated Provision for Injuries and Damages</v>
      </c>
      <c r="D63" s="199">
        <f>SUM(D58:D62)</f>
        <v>-14600895.175384626</v>
      </c>
      <c r="E63" s="199">
        <f t="shared" ref="E63:H63" si="5">SUM(E58:E62)</f>
        <v>0</v>
      </c>
      <c r="F63" s="199">
        <f t="shared" si="5"/>
        <v>0</v>
      </c>
      <c r="G63" s="199">
        <f t="shared" si="5"/>
        <v>0</v>
      </c>
      <c r="H63" s="199">
        <f t="shared" si="5"/>
        <v>-14600895.175384626</v>
      </c>
      <c r="I63" s="1257" t="str">
        <f>+"Sum Ln "&amp;A57&amp;" Subparts"</f>
        <v>Sum Ln 18 Subparts</v>
      </c>
    </row>
    <row r="64" spans="1:17">
      <c r="A64" s="842">
        <f>+A63+1</f>
        <v>20</v>
      </c>
      <c r="C64" s="263" t="s">
        <v>470</v>
      </c>
      <c r="D64" s="203"/>
      <c r="E64" s="79"/>
      <c r="F64" s="195"/>
      <c r="G64" s="261"/>
      <c r="H64" s="79"/>
      <c r="I64" s="217"/>
    </row>
    <row r="65" spans="1:17">
      <c r="A65" s="844">
        <f>+A64+0.1</f>
        <v>20.100000000000001</v>
      </c>
      <c r="B65" s="263"/>
      <c r="C65" s="1275" t="s">
        <v>634</v>
      </c>
      <c r="D65" s="196">
        <f>'WP20 Reserves'!Q16</f>
        <v>-13360213.891538464</v>
      </c>
      <c r="E65" s="79"/>
      <c r="F65" s="195"/>
      <c r="G65" s="261"/>
      <c r="H65" s="182">
        <f>+D65</f>
        <v>-13360213.891538464</v>
      </c>
      <c r="I65" s="217" t="str">
        <f>+"WP20 Reserves Ln 2.09 Col. "&amp;'WP20 Reserves'!Q$5</f>
        <v>WP20 Reserves Ln 2.09 Col. P</v>
      </c>
    </row>
    <row r="66" spans="1:17">
      <c r="A66" s="844">
        <f>+A65+0.1</f>
        <v>20.200000000000003</v>
      </c>
      <c r="B66" s="263"/>
      <c r="C66" s="1275" t="s">
        <v>633</v>
      </c>
      <c r="D66" s="196">
        <f>'WP20 Reserves'!Q17</f>
        <v>-338177607.36769223</v>
      </c>
      <c r="E66" s="182">
        <f>+D66</f>
        <v>-338177607.36769223</v>
      </c>
      <c r="F66" s="195"/>
      <c r="G66" s="261"/>
      <c r="H66" s="198"/>
      <c r="I66" s="217" t="str">
        <f>+"WP20 Reserves Ln 2.10 Col. "&amp;'WP20 Reserves'!Q$5</f>
        <v>WP20 Reserves Ln 2.10 Col. P</v>
      </c>
    </row>
    <row r="67" spans="1:17" s="912" customFormat="1">
      <c r="A67" s="1272">
        <f>+A66+0.1</f>
        <v>20.300000000000004</v>
      </c>
      <c r="B67" s="1273"/>
      <c r="C67" s="1271" t="s">
        <v>936</v>
      </c>
      <c r="D67" s="191"/>
      <c r="E67" s="1269"/>
      <c r="F67" s="1269"/>
      <c r="G67" s="1269"/>
      <c r="H67" s="1269"/>
      <c r="I67" s="1270"/>
      <c r="J67" s="78"/>
      <c r="K67" s="1422"/>
      <c r="L67" s="918"/>
      <c r="M67" s="918"/>
      <c r="N67" s="918"/>
      <c r="O67" s="1422"/>
      <c r="P67" s="1422"/>
      <c r="Q67" s="1422"/>
    </row>
    <row r="68" spans="1:17" s="912" customFormat="1">
      <c r="A68" s="1272" t="s">
        <v>926</v>
      </c>
      <c r="B68" s="1273"/>
      <c r="C68" s="1271" t="s">
        <v>936</v>
      </c>
      <c r="D68" s="191"/>
      <c r="E68" s="1269"/>
      <c r="F68" s="1269"/>
      <c r="G68" s="1269"/>
      <c r="H68" s="1269"/>
      <c r="I68" s="1270"/>
      <c r="J68" s="78"/>
      <c r="K68" s="1422"/>
      <c r="L68" s="918"/>
      <c r="M68" s="918"/>
      <c r="N68" s="918"/>
      <c r="O68" s="1422"/>
      <c r="P68" s="1422"/>
      <c r="Q68" s="1422"/>
    </row>
    <row r="69" spans="1:17" s="912" customFormat="1">
      <c r="A69" s="1272" t="str">
        <f>+A64&amp;".x"</f>
        <v>20.x</v>
      </c>
      <c r="B69" s="1273"/>
      <c r="C69" s="1271" t="s">
        <v>936</v>
      </c>
      <c r="D69" s="257"/>
      <c r="E69" s="1274"/>
      <c r="F69" s="1274"/>
      <c r="G69" s="1274"/>
      <c r="H69" s="1274"/>
      <c r="I69" s="1270"/>
      <c r="J69" s="78"/>
      <c r="K69" s="1422"/>
      <c r="L69" s="918"/>
      <c r="M69" s="918"/>
      <c r="N69" s="918"/>
      <c r="O69" s="1422"/>
      <c r="P69" s="1422"/>
      <c r="Q69" s="1422"/>
    </row>
    <row r="70" spans="1:17">
      <c r="A70" s="842">
        <f>+A64+1</f>
        <v>21</v>
      </c>
      <c r="B70" s="263"/>
      <c r="C70" s="904" t="str">
        <f>+"2283 Total "&amp;C64</f>
        <v>2283 Total Accumulated Provision for Pensions and Benefits</v>
      </c>
      <c r="D70" s="199">
        <f>SUM(D65:D69)</f>
        <v>-351537821.25923067</v>
      </c>
      <c r="E70" s="199">
        <f t="shared" ref="E70:H70" si="6">SUM(E65:E69)</f>
        <v>-338177607.36769223</v>
      </c>
      <c r="F70" s="199">
        <f t="shared" si="6"/>
        <v>0</v>
      </c>
      <c r="G70" s="199">
        <f t="shared" si="6"/>
        <v>0</v>
      </c>
      <c r="H70" s="199">
        <f t="shared" si="6"/>
        <v>-13360213.891538464</v>
      </c>
      <c r="I70" s="1257" t="str">
        <f>+"Sum Ln "&amp;A64&amp;" Subparts"</f>
        <v>Sum Ln 20 Subparts</v>
      </c>
    </row>
    <row r="71" spans="1:17">
      <c r="A71" s="842">
        <f>+A70+1</f>
        <v>22</v>
      </c>
      <c r="C71" s="263" t="s">
        <v>471</v>
      </c>
      <c r="D71" s="200"/>
      <c r="E71" s="79"/>
      <c r="F71" s="195"/>
      <c r="G71" s="261"/>
      <c r="H71" s="79"/>
      <c r="I71" s="217"/>
    </row>
    <row r="72" spans="1:17">
      <c r="A72" s="844">
        <f>+A71+0.1</f>
        <v>22.1</v>
      </c>
      <c r="B72" s="263"/>
      <c r="C72" s="1275" t="s">
        <v>630</v>
      </c>
      <c r="D72" s="1450">
        <f>'WP20 Reserves'!Q18</f>
        <v>-2406270.7615384585</v>
      </c>
      <c r="E72" s="182">
        <f>+D72</f>
        <v>-2406270.7615384585</v>
      </c>
      <c r="F72" s="195"/>
      <c r="G72" s="261"/>
      <c r="H72" s="79"/>
      <c r="I72" s="217" t="str">
        <f>+"WP20 Reserves Ln "&amp;'WP20 Reserves'!A18&amp;" Col. "&amp;'WP20 Reserves'!Q$5</f>
        <v>WP20 Reserves Ln 2.11 Col. P</v>
      </c>
    </row>
    <row r="73" spans="1:17">
      <c r="A73" s="844">
        <f>+A72+0.1</f>
        <v>22.200000000000003</v>
      </c>
      <c r="B73" s="263"/>
      <c r="C73" s="1275" t="s">
        <v>631</v>
      </c>
      <c r="D73" s="1450">
        <f>'WP20 Reserves'!Q19</f>
        <v>-819881.57692307781</v>
      </c>
      <c r="E73" s="182">
        <f>+D73</f>
        <v>-819881.57692307781</v>
      </c>
      <c r="F73" s="195"/>
      <c r="G73" s="261"/>
      <c r="H73" s="79"/>
      <c r="I73" s="217" t="str">
        <f>+"WP20 Reserves Ln "&amp;'WP20 Reserves'!A19&amp;" Col. "&amp;'WP20 Reserves'!Q$5</f>
        <v>WP20 Reserves Ln 2.12 Col. P</v>
      </c>
    </row>
    <row r="74" spans="1:17">
      <c r="A74" s="844">
        <f>+A73+0.1</f>
        <v>22.300000000000004</v>
      </c>
      <c r="B74" s="263"/>
      <c r="C74" s="1275" t="s">
        <v>632</v>
      </c>
      <c r="D74" s="1450">
        <f>'WP20 Reserves'!Q20</f>
        <v>0</v>
      </c>
      <c r="E74" s="182">
        <f>+D74</f>
        <v>0</v>
      </c>
      <c r="F74" s="195"/>
      <c r="G74" s="261"/>
      <c r="H74" s="261"/>
      <c r="I74" s="217" t="str">
        <f>+"WP20 Reserves Ln "&amp;'WP20 Reserves'!A20&amp;" Col. "&amp;'WP20 Reserves'!Q$5</f>
        <v>WP20 Reserves Ln 2.13 Col. P</v>
      </c>
    </row>
    <row r="75" spans="1:17">
      <c r="A75" s="844">
        <f>+A74+0.1</f>
        <v>22.400000000000006</v>
      </c>
      <c r="B75" s="263"/>
      <c r="C75" s="1275" t="s">
        <v>636</v>
      </c>
      <c r="D75" s="199">
        <f>'WP20 Reserves'!Q21</f>
        <v>0</v>
      </c>
      <c r="E75" s="182">
        <f>+D75</f>
        <v>0</v>
      </c>
      <c r="F75" s="195"/>
      <c r="G75" s="261"/>
      <c r="H75" s="79"/>
      <c r="I75" s="1256" t="str">
        <f>+"WP20 Reserves Ln "&amp;'WP20 Reserves'!A21&amp;" Col. "&amp;'WP20 Reserves'!Q$5</f>
        <v>WP20 Reserves Ln 2.14 Col. P</v>
      </c>
    </row>
    <row r="76" spans="1:17" s="912" customFormat="1">
      <c r="A76" s="1272">
        <f>+A75+0.1</f>
        <v>22.500000000000007</v>
      </c>
      <c r="B76" s="1273"/>
      <c r="C76" s="1271" t="s">
        <v>936</v>
      </c>
      <c r="D76" s="191"/>
      <c r="E76" s="1269"/>
      <c r="F76" s="1269"/>
      <c r="G76" s="1269"/>
      <c r="H76" s="1269"/>
      <c r="I76" s="1270"/>
      <c r="J76" s="78"/>
      <c r="K76" s="1422"/>
      <c r="L76" s="918"/>
      <c r="M76" s="918"/>
      <c r="N76" s="918"/>
      <c r="O76" s="1422"/>
      <c r="P76" s="1422"/>
      <c r="Q76" s="1422"/>
    </row>
    <row r="77" spans="1:17" s="912" customFormat="1">
      <c r="A77" s="1272" t="s">
        <v>926</v>
      </c>
      <c r="B77" s="1273"/>
      <c r="C77" s="1271" t="s">
        <v>936</v>
      </c>
      <c r="D77" s="191"/>
      <c r="E77" s="1269"/>
      <c r="F77" s="1269"/>
      <c r="G77" s="1269"/>
      <c r="H77" s="1269"/>
      <c r="I77" s="1270"/>
      <c r="J77" s="78"/>
      <c r="K77" s="1422"/>
      <c r="L77" s="918"/>
      <c r="M77" s="918"/>
      <c r="N77" s="918"/>
      <c r="O77" s="1422"/>
      <c r="P77" s="1422"/>
      <c r="Q77" s="1422"/>
    </row>
    <row r="78" spans="1:17" s="912" customFormat="1">
      <c r="A78" s="1272" t="str">
        <f>+A71&amp;".x"</f>
        <v>22.x</v>
      </c>
      <c r="B78" s="1273"/>
      <c r="C78" s="1271" t="s">
        <v>936</v>
      </c>
      <c r="D78" s="257"/>
      <c r="E78" s="1274"/>
      <c r="F78" s="1274"/>
      <c r="G78" s="1274"/>
      <c r="H78" s="1274"/>
      <c r="I78" s="1270"/>
      <c r="J78" s="78"/>
      <c r="K78" s="1422"/>
      <c r="L78" s="918"/>
      <c r="M78" s="918"/>
      <c r="N78" s="918"/>
      <c r="O78" s="1422"/>
      <c r="P78" s="1422"/>
      <c r="Q78" s="1422"/>
    </row>
    <row r="79" spans="1:17">
      <c r="A79" s="842">
        <f>+A71+1</f>
        <v>23</v>
      </c>
      <c r="B79" s="263"/>
      <c r="C79" s="904" t="str">
        <f>+"2284 Total "&amp;C71</f>
        <v>2284 Total Accumulated Miscellaneous Operating Provisions</v>
      </c>
      <c r="D79" s="201">
        <f>SUM(D72:D78)</f>
        <v>-3226152.3384615364</v>
      </c>
      <c r="E79" s="201">
        <f t="shared" ref="E79:H79" si="7">SUM(E72:E78)</f>
        <v>-3226152.3384615364</v>
      </c>
      <c r="F79" s="201">
        <f t="shared" si="7"/>
        <v>0</v>
      </c>
      <c r="G79" s="201">
        <f t="shared" si="7"/>
        <v>0</v>
      </c>
      <c r="H79" s="201">
        <f t="shared" si="7"/>
        <v>0</v>
      </c>
      <c r="I79" s="953" t="str">
        <f>+"Sum Ln "&amp;A71&amp;" Subparts"</f>
        <v>Sum Ln 22 Subparts</v>
      </c>
    </row>
    <row r="80" spans="1:17">
      <c r="A80" s="842">
        <f>+A79+1</f>
        <v>24</v>
      </c>
      <c r="B80" s="263"/>
      <c r="I80" s="63"/>
    </row>
    <row r="81" spans="1:19" s="78" customFormat="1">
      <c r="A81" s="842">
        <f>+A80+1</f>
        <v>25</v>
      </c>
      <c r="C81" s="263" t="s">
        <v>865</v>
      </c>
      <c r="D81" s="200"/>
      <c r="E81" s="79"/>
      <c r="F81" s="195"/>
      <c r="G81" s="261"/>
      <c r="H81" s="79"/>
      <c r="I81" s="217"/>
      <c r="L81" s="261"/>
      <c r="M81" s="261"/>
      <c r="N81" s="261"/>
    </row>
    <row r="82" spans="1:19">
      <c r="A82" s="844">
        <f>+A81+0.1</f>
        <v>25.1</v>
      </c>
      <c r="B82" s="78"/>
      <c r="C82" s="1275" t="s">
        <v>635</v>
      </c>
      <c r="D82" s="262">
        <f>-D51</f>
        <v>4098764.3561538463</v>
      </c>
      <c r="E82" s="182">
        <f>+D82</f>
        <v>4098764.3561538463</v>
      </c>
      <c r="F82" s="195"/>
      <c r="G82" s="182"/>
      <c r="H82" s="261"/>
      <c r="I82" s="681" t="str">
        <f>+"Less Ln "&amp;A51</f>
        <v>Less Ln 16.5</v>
      </c>
    </row>
    <row r="83" spans="1:19">
      <c r="A83" s="844">
        <f t="shared" ref="A83:A84" si="8">+A82+0.1</f>
        <v>25.200000000000003</v>
      </c>
      <c r="B83" s="78"/>
      <c r="C83" s="1275" t="s">
        <v>1873</v>
      </c>
      <c r="D83" s="1703">
        <f>+'WP21 Pension'!F24</f>
        <v>268279797.14230779</v>
      </c>
      <c r="E83" s="262"/>
      <c r="F83" s="1460"/>
      <c r="G83" s="262"/>
      <c r="H83" s="262">
        <f>+D83</f>
        <v>268279797.14230779</v>
      </c>
      <c r="I83" s="1720" t="str">
        <f>+"WP21 Pension Ln "&amp;'WP21 Pension'!A$24&amp;" Col. "&amp;LEFT('WP21 Pension'!F5,1)</f>
        <v>WP21 Pension Ln 18 Col. F</v>
      </c>
      <c r="J83" s="78" t="s">
        <v>1874</v>
      </c>
    </row>
    <row r="84" spans="1:19">
      <c r="A84" s="844">
        <f t="shared" si="8"/>
        <v>25.300000000000004</v>
      </c>
      <c r="B84" s="78"/>
      <c r="C84" s="1275" t="s">
        <v>1875</v>
      </c>
      <c r="D84" s="1703">
        <f>+'WP21 Pension'!K24</f>
        <v>-1955591.6184615372</v>
      </c>
      <c r="E84" s="262"/>
      <c r="F84" s="1460"/>
      <c r="G84" s="262"/>
      <c r="H84" s="262">
        <f t="shared" ref="H84" si="9">+D84</f>
        <v>-1955591.6184615372</v>
      </c>
      <c r="I84" s="1720" t="str">
        <f>+"WP21 Pension Ln "&amp;'WP21 Pension'!A$24&amp;" Col. "&amp; LEFT('WP21 Pension'!K5,1)</f>
        <v>WP21 Pension Ln 18 Col. K</v>
      </c>
      <c r="J84" s="78" t="s">
        <v>1874</v>
      </c>
    </row>
    <row r="85" spans="1:19" s="912" customFormat="1">
      <c r="A85" s="1272">
        <f>+A84+0.1</f>
        <v>25.400000000000006</v>
      </c>
      <c r="B85" s="1273"/>
      <c r="C85" s="1271" t="s">
        <v>936</v>
      </c>
      <c r="D85" s="191"/>
      <c r="E85" s="1269"/>
      <c r="F85" s="1269"/>
      <c r="G85" s="1269"/>
      <c r="H85" s="1269"/>
      <c r="I85" s="1270"/>
      <c r="J85" s="78"/>
      <c r="K85" s="1422"/>
      <c r="L85" s="918"/>
      <c r="M85" s="918"/>
      <c r="N85" s="918"/>
      <c r="O85" s="1422"/>
      <c r="P85" s="1422"/>
      <c r="Q85" s="1422"/>
    </row>
    <row r="86" spans="1:19" s="912" customFormat="1">
      <c r="A86" s="1272" t="s">
        <v>926</v>
      </c>
      <c r="B86" s="1273"/>
      <c r="C86" s="1271" t="s">
        <v>936</v>
      </c>
      <c r="D86" s="191"/>
      <c r="E86" s="1269"/>
      <c r="F86" s="1269"/>
      <c r="G86" s="1269"/>
      <c r="H86" s="1269"/>
      <c r="I86" s="1270"/>
      <c r="J86" s="78"/>
      <c r="K86" s="1422"/>
      <c r="L86" s="918"/>
      <c r="M86" s="918"/>
      <c r="N86" s="918"/>
      <c r="O86" s="1422"/>
      <c r="P86" s="1422"/>
      <c r="Q86" s="1422"/>
    </row>
    <row r="87" spans="1:19" s="912" customFormat="1">
      <c r="A87" s="1272" t="str">
        <f>+A81&amp;".x"</f>
        <v>25.x</v>
      </c>
      <c r="B87" s="1273"/>
      <c r="C87" s="1271" t="s">
        <v>936</v>
      </c>
      <c r="D87" s="257"/>
      <c r="E87" s="1274"/>
      <c r="F87" s="1274"/>
      <c r="G87" s="1274"/>
      <c r="H87" s="1274"/>
      <c r="I87" s="1270"/>
      <c r="J87" s="78"/>
      <c r="K87" s="1422"/>
      <c r="L87" s="918"/>
      <c r="M87" s="918"/>
      <c r="N87" s="918"/>
      <c r="O87" s="1422"/>
      <c r="P87" s="1422"/>
      <c r="Q87" s="1422"/>
    </row>
    <row r="88" spans="1:19">
      <c r="A88" s="842">
        <f>+A81+1</f>
        <v>26</v>
      </c>
      <c r="B88" s="263"/>
      <c r="C88" s="904" t="str">
        <f>+"Total "&amp;C81</f>
        <v>Total Associated Balance Sheet Accounts &amp; Regulatory Assets (5)</v>
      </c>
      <c r="D88" s="567">
        <f>SUM(D82:D87)</f>
        <v>270422969.88000011</v>
      </c>
      <c r="E88" s="567">
        <f>SUM(E82:E87)</f>
        <v>4098764.3561538463</v>
      </c>
      <c r="F88" s="567">
        <f>SUM(F82:F87)</f>
        <v>0</v>
      </c>
      <c r="G88" s="567">
        <f>SUM(G82:G87)</f>
        <v>0</v>
      </c>
      <c r="H88" s="567">
        <f>SUM(H82:H87)</f>
        <v>266324205.52384624</v>
      </c>
      <c r="I88" s="1002" t="str">
        <f>+"Sum Ln "&amp;A81&amp;" Subparts"</f>
        <v>Sum Ln 25 Subparts</v>
      </c>
    </row>
    <row r="89" spans="1:19" s="82" customFormat="1">
      <c r="A89" s="842">
        <f>+A88+1</f>
        <v>27</v>
      </c>
      <c r="B89" s="263" t="s">
        <v>707</v>
      </c>
      <c r="C89" s="40"/>
      <c r="D89" s="561">
        <f>+D56+D63+D70+D79+D88</f>
        <v>-390091705.52999997</v>
      </c>
      <c r="E89" s="561">
        <f>+E56+E63+E70+E79+E88</f>
        <v>-628454801.98692322</v>
      </c>
      <c r="F89" s="561">
        <f>+F56+F63+F70+F79+F88</f>
        <v>0</v>
      </c>
      <c r="G89" s="561">
        <f>+G56+G63+G70+G79+G88</f>
        <v>0</v>
      </c>
      <c r="H89" s="561">
        <f>+H56+H63+H70+H79+H88</f>
        <v>238363096.45692316</v>
      </c>
      <c r="I89" s="953" t="str">
        <f>+"Sum (Ln "&amp;A56&amp;" + "&amp;A63&amp;" + "&amp;A70&amp;" + "&amp;A79&amp;" + "&amp;A88&amp;")"</f>
        <v>Sum (Ln 17 + 19 + 21 + 23 + 26)</v>
      </c>
      <c r="J89" s="78"/>
      <c r="K89" s="78"/>
      <c r="L89" s="261"/>
      <c r="M89" s="261"/>
      <c r="N89" s="261"/>
      <c r="O89" s="78"/>
      <c r="P89" s="78"/>
      <c r="Q89" s="78"/>
    </row>
    <row r="90" spans="1:19" s="82" customFormat="1">
      <c r="A90" s="842">
        <f>+A89+1</f>
        <v>28</v>
      </c>
      <c r="B90" s="263"/>
      <c r="C90" s="40"/>
      <c r="D90" s="561"/>
      <c r="E90" s="562"/>
      <c r="F90" s="562"/>
      <c r="G90" s="562"/>
      <c r="H90" s="562"/>
      <c r="I90" s="684"/>
      <c r="J90" s="78"/>
      <c r="K90" s="78"/>
      <c r="L90" s="261"/>
      <c r="M90" s="261"/>
      <c r="N90" s="261"/>
      <c r="O90" s="78"/>
      <c r="P90" s="78"/>
      <c r="Q90" s="78"/>
    </row>
    <row r="91" spans="1:19">
      <c r="A91" s="842">
        <f>+A90+1</f>
        <v>29</v>
      </c>
      <c r="B91" s="618" t="s">
        <v>126</v>
      </c>
      <c r="C91" s="615"/>
      <c r="D91" s="616"/>
      <c r="E91" s="616"/>
      <c r="F91" s="617"/>
      <c r="G91" s="619"/>
      <c r="H91" s="620"/>
      <c r="I91" s="682"/>
    </row>
    <row r="92" spans="1:19">
      <c r="A92" s="842">
        <f>+A91+1</f>
        <v>30</v>
      </c>
      <c r="B92" s="226" t="s">
        <v>67</v>
      </c>
      <c r="C92" s="226" t="s">
        <v>114</v>
      </c>
      <c r="D92" s="226" t="s">
        <v>55</v>
      </c>
      <c r="E92" s="226" t="s">
        <v>68</v>
      </c>
      <c r="F92" s="226" t="s">
        <v>66</v>
      </c>
      <c r="G92" s="226" t="s">
        <v>154</v>
      </c>
      <c r="H92" s="226" t="s">
        <v>69</v>
      </c>
      <c r="I92" s="226" t="s">
        <v>166</v>
      </c>
      <c r="J92" s="43"/>
      <c r="K92" s="43"/>
      <c r="L92" s="43"/>
      <c r="O92" s="43"/>
      <c r="P92" s="261"/>
      <c r="R92" s="563"/>
      <c r="S92" s="261"/>
    </row>
    <row r="93" spans="1:19" s="78" customFormat="1">
      <c r="A93" s="842">
        <f>+A92+1</f>
        <v>31</v>
      </c>
      <c r="C93" s="220" t="s">
        <v>786</v>
      </c>
      <c r="D93" s="683" t="s">
        <v>912</v>
      </c>
      <c r="H93" s="79"/>
      <c r="I93" s="185"/>
      <c r="J93" s="43"/>
      <c r="K93" s="43"/>
      <c r="L93" s="43"/>
      <c r="M93" s="43"/>
      <c r="N93" s="261"/>
      <c r="O93" s="261"/>
      <c r="P93" s="261"/>
    </row>
    <row r="94" spans="1:19" s="78" customFormat="1">
      <c r="A94" s="844">
        <f>+A93+0.1</f>
        <v>31.1</v>
      </c>
      <c r="C94" s="566" t="s">
        <v>792</v>
      </c>
      <c r="D94" s="262">
        <f>+'WP10 Storm'!E45</f>
        <v>1371342.4847086379</v>
      </c>
      <c r="H94" s="261"/>
      <c r="I94" s="217" t="str">
        <f>+"WP10 Storm Ln "&amp;'WP10 Storm'!A45&amp;" Column "&amp;'WP10 Storm'!E6</f>
        <v xml:space="preserve">WP10 Storm Ln 8 Column D </v>
      </c>
      <c r="J94" s="43"/>
      <c r="K94" s="43"/>
      <c r="L94" s="43"/>
      <c r="M94" s="43"/>
      <c r="N94" s="261"/>
      <c r="O94" s="261"/>
      <c r="P94" s="261"/>
    </row>
    <row r="95" spans="1:19">
      <c r="A95" s="844">
        <f>+A94+0.1</f>
        <v>31.200000000000003</v>
      </c>
      <c r="B95" s="79"/>
      <c r="C95" s="566" t="s">
        <v>793</v>
      </c>
      <c r="D95" s="942">
        <f>+'WP AJ1 MISO'!K62</f>
        <v>-783817.49</v>
      </c>
      <c r="F95" s="78"/>
      <c r="G95" s="78"/>
      <c r="H95" s="539"/>
      <c r="I95" s="217" t="str">
        <f>+"WP AJ1 MISO Ln "&amp;'WP AJ1 MISO'!A62&amp;" Column "&amp;'WP AJ1 MISO'!K8</f>
        <v>WP AJ1 MISO Ln 8 Column J</v>
      </c>
      <c r="J95" s="43"/>
      <c r="K95" s="43"/>
      <c r="L95" s="43"/>
      <c r="M95" s="43"/>
      <c r="O95" s="261"/>
      <c r="P95" s="261"/>
    </row>
    <row r="96" spans="1:19">
      <c r="A96" s="844">
        <f t="shared" ref="A96:A99" si="10">+A95+0.1</f>
        <v>31.300000000000004</v>
      </c>
      <c r="B96" s="79"/>
      <c r="C96" s="566" t="s">
        <v>1121</v>
      </c>
      <c r="D96" s="942">
        <f>-'WP AJ2 ITC'!F49</f>
        <v>0</v>
      </c>
      <c r="F96" s="78"/>
      <c r="G96" s="78"/>
      <c r="H96" s="539"/>
      <c r="I96" s="217" t="str">
        <f>"WP AJ2 ITC Ln "&amp;'WP AJ2 ITC'!A49&amp;" Column "&amp;'WP AJ2 ITC'!F6</f>
        <v>WP AJ2 ITC Ln 8 Column D</v>
      </c>
      <c r="J96" s="43"/>
      <c r="K96" s="43"/>
      <c r="L96" s="43"/>
      <c r="M96" s="43"/>
      <c r="O96" s="261"/>
      <c r="P96" s="261"/>
    </row>
    <row r="97" spans="1:17" s="912" customFormat="1">
      <c r="A97" s="844">
        <f t="shared" si="10"/>
        <v>31.400000000000006</v>
      </c>
      <c r="B97" s="913"/>
      <c r="C97" s="1265" t="s">
        <v>877</v>
      </c>
      <c r="D97" s="942">
        <f>-'WP AJ3 HCM'!G40</f>
        <v>-21624.48</v>
      </c>
      <c r="F97" s="78"/>
      <c r="G97" s="78"/>
      <c r="H97" s="914"/>
      <c r="I97" s="1503" t="str">
        <f>+"WP AJ3 HCM Ln "&amp;'WP AJ3 HCM'!A40&amp;" Column "&amp;'WP AJ3 HCM'!G6</f>
        <v>WP AJ3 HCM Ln 8 Column F</v>
      </c>
      <c r="J97" s="1503"/>
      <c r="K97" s="1422"/>
      <c r="L97" s="918"/>
      <c r="M97" s="915"/>
      <c r="N97" s="918"/>
      <c r="O97" s="918"/>
      <c r="P97" s="918"/>
      <c r="Q97" s="1422"/>
    </row>
    <row r="98" spans="1:17" s="912" customFormat="1">
      <c r="A98" s="844">
        <f t="shared" si="10"/>
        <v>31.500000000000007</v>
      </c>
      <c r="B98" s="913"/>
      <c r="C98" s="1265" t="s">
        <v>1120</v>
      </c>
      <c r="D98" s="942">
        <f>-'WP AJ4 LA Merger'!G45</f>
        <v>325.94</v>
      </c>
      <c r="F98" s="78"/>
      <c r="G98" s="78"/>
      <c r="H98" s="914"/>
      <c r="I98" s="217" t="str">
        <f>+"WP AJ4 LA Merger Ln "&amp;'WP AJ4 LA Merger'!A45&amp;" Col. "&amp;'WP AJ4 LA Merger'!G6</f>
        <v>WP AJ4 LA Merger Ln 8 Col. F</v>
      </c>
      <c r="J98" s="217"/>
      <c r="K98" s="1422"/>
      <c r="L98" s="918"/>
      <c r="M98" s="915"/>
      <c r="N98" s="918"/>
      <c r="O98" s="918"/>
      <c r="P98" s="918"/>
      <c r="Q98" s="1422"/>
    </row>
    <row r="99" spans="1:17" s="912" customFormat="1">
      <c r="A99" s="844">
        <f t="shared" si="10"/>
        <v>31.600000000000009</v>
      </c>
      <c r="B99" s="913"/>
      <c r="C99" s="566" t="s">
        <v>1122</v>
      </c>
      <c r="D99" s="942">
        <f>-'WP AJ5 Acadia PB2'!E38</f>
        <v>-374708</v>
      </c>
      <c r="F99" s="78"/>
      <c r="G99" s="78"/>
      <c r="H99" s="914"/>
      <c r="I99" s="217" t="str">
        <f>+"WP AJ5 Acadia PB2 Ln "&amp;'WP AJ5 Acadia PB2'!A38&amp;" Col. "&amp;'WP AJ5 Acadia PB2'!E6</f>
        <v>WP AJ5 Acadia PB2 Ln 8 Col. D</v>
      </c>
      <c r="J99" s="217"/>
      <c r="K99" s="1422"/>
      <c r="L99" s="918"/>
      <c r="M99" s="915"/>
      <c r="N99" s="918"/>
      <c r="O99" s="918"/>
      <c r="P99" s="918"/>
      <c r="Q99" s="1422"/>
    </row>
    <row r="100" spans="1:17" s="912" customFormat="1">
      <c r="A100" s="1272">
        <f>+A99+0.1</f>
        <v>31.70000000000001</v>
      </c>
      <c r="B100" s="1273"/>
      <c r="C100" s="1271" t="s">
        <v>936</v>
      </c>
      <c r="D100" s="191"/>
      <c r="E100" s="261"/>
      <c r="F100" s="261"/>
      <c r="G100" s="261"/>
      <c r="H100" s="261"/>
      <c r="I100" s="1270"/>
      <c r="J100" s="78"/>
      <c r="K100" s="1422"/>
      <c r="L100" s="918"/>
      <c r="M100" s="918"/>
      <c r="N100" s="918"/>
      <c r="O100" s="1422"/>
      <c r="P100" s="1422"/>
      <c r="Q100" s="1422"/>
    </row>
    <row r="101" spans="1:17" s="912" customFormat="1">
      <c r="A101" s="1272" t="s">
        <v>926</v>
      </c>
      <c r="B101" s="1273"/>
      <c r="C101" s="1271" t="s">
        <v>936</v>
      </c>
      <c r="D101" s="191"/>
      <c r="E101" s="261"/>
      <c r="F101" s="261"/>
      <c r="G101" s="261"/>
      <c r="H101" s="261"/>
      <c r="I101" s="1270"/>
      <c r="J101" s="78"/>
      <c r="K101" s="1422"/>
      <c r="L101" s="918"/>
      <c r="M101" s="918"/>
      <c r="N101" s="918"/>
      <c r="O101" s="1422"/>
      <c r="P101" s="1422"/>
      <c r="Q101" s="1422"/>
    </row>
    <row r="102" spans="1:17" s="912" customFormat="1">
      <c r="A102" s="1272" t="str">
        <f>+A93&amp;".x"</f>
        <v>31.x</v>
      </c>
      <c r="B102" s="1273"/>
      <c r="C102" s="1271" t="s">
        <v>936</v>
      </c>
      <c r="D102" s="257"/>
      <c r="E102" s="261"/>
      <c r="F102" s="261"/>
      <c r="G102" s="261"/>
      <c r="H102" s="261"/>
      <c r="I102" s="1270"/>
      <c r="J102" s="78"/>
      <c r="K102" s="1422"/>
      <c r="L102" s="918"/>
      <c r="M102" s="918"/>
      <c r="N102" s="918"/>
      <c r="O102" s="1422"/>
      <c r="P102" s="1422"/>
      <c r="Q102" s="1422"/>
    </row>
    <row r="103" spans="1:17">
      <c r="A103" s="842">
        <f>+A93+1</f>
        <v>32</v>
      </c>
      <c r="B103" s="79"/>
      <c r="C103" s="905" t="s">
        <v>492</v>
      </c>
      <c r="D103" s="262">
        <f>SUM(D94:D102)</f>
        <v>191518.4547086379</v>
      </c>
      <c r="E103" s="261"/>
      <c r="F103" s="261"/>
      <c r="G103" s="261"/>
      <c r="H103" s="539"/>
      <c r="I103" s="830" t="str">
        <f>+"Sum Ln "&amp;A93&amp;" Subparts"</f>
        <v>Sum Ln 31 Subparts</v>
      </c>
      <c r="J103" s="43"/>
      <c r="K103" s="43"/>
      <c r="L103" s="43"/>
      <c r="M103" s="43"/>
      <c r="O103" s="261"/>
      <c r="P103" s="261"/>
    </row>
    <row r="104" spans="1:17">
      <c r="A104" s="842">
        <f>+A103+1</f>
        <v>33</v>
      </c>
      <c r="C104" s="78"/>
      <c r="D104" s="78"/>
      <c r="E104" s="261"/>
      <c r="F104" s="261"/>
      <c r="G104" s="261"/>
      <c r="H104" s="261"/>
      <c r="J104" s="43"/>
      <c r="K104" s="43"/>
      <c r="L104" s="43"/>
    </row>
    <row r="105" spans="1:17" s="78" customFormat="1">
      <c r="A105" s="842">
        <f>+A104+1</f>
        <v>34</v>
      </c>
      <c r="C105" s="220" t="s">
        <v>787</v>
      </c>
      <c r="D105" s="219"/>
      <c r="E105" s="261"/>
      <c r="F105" s="261"/>
      <c r="G105" s="261"/>
      <c r="H105" s="261"/>
      <c r="I105" s="217"/>
      <c r="J105" s="43"/>
      <c r="K105" s="43"/>
      <c r="L105" s="43"/>
      <c r="M105" s="43"/>
      <c r="N105" s="261"/>
      <c r="O105" s="261"/>
      <c r="P105" s="261"/>
    </row>
    <row r="106" spans="1:17" s="78" customFormat="1">
      <c r="A106" s="844">
        <f t="shared" ref="A106:A111" si="11">+A105+0.1</f>
        <v>34.1</v>
      </c>
      <c r="C106" s="566" t="s">
        <v>794</v>
      </c>
      <c r="D106" s="262">
        <f>+'WP10 Storm'!E58</f>
        <v>0</v>
      </c>
      <c r="E106" s="261"/>
      <c r="F106" s="261"/>
      <c r="G106" s="261"/>
      <c r="H106" s="261"/>
      <c r="I106" s="217" t="str">
        <f>+"WP10 Storm Ln "&amp;'WP10 Storm'!A58&amp;" Column "&amp;'WP10 Storm'!E6</f>
        <v xml:space="preserve">WP10 Storm Ln 21 Column D </v>
      </c>
      <c r="J106" s="43"/>
      <c r="K106" s="43"/>
      <c r="L106" s="43"/>
      <c r="M106" s="43"/>
      <c r="N106" s="261"/>
      <c r="O106" s="261"/>
      <c r="P106" s="261"/>
    </row>
    <row r="107" spans="1:17">
      <c r="A107" s="844">
        <f t="shared" si="11"/>
        <v>34.200000000000003</v>
      </c>
      <c r="B107" s="79"/>
      <c r="C107" s="566" t="s">
        <v>793</v>
      </c>
      <c r="D107" s="942">
        <f>+'WP AJ1 MISO'!K75</f>
        <v>-8476605.7300000004</v>
      </c>
      <c r="E107" s="539"/>
      <c r="F107" s="539"/>
      <c r="G107" s="539"/>
      <c r="H107" s="539"/>
      <c r="I107" s="217" t="str">
        <f>+"WP AJ1 MISO Ln "&amp;'WP AJ1 MISO'!A75&amp;" Column "&amp;'WP AJ1 MISO'!K8</f>
        <v>WP AJ1 MISO Ln 21 Column J</v>
      </c>
      <c r="J107" s="43"/>
      <c r="K107" s="43"/>
      <c r="L107" s="43"/>
      <c r="M107" s="43"/>
      <c r="O107" s="261"/>
      <c r="P107" s="261"/>
    </row>
    <row r="108" spans="1:17">
      <c r="A108" s="844">
        <f t="shared" si="11"/>
        <v>34.300000000000004</v>
      </c>
      <c r="B108" s="79"/>
      <c r="C108" s="566" t="s">
        <v>1121</v>
      </c>
      <c r="D108" s="942">
        <f>-'WP AJ2 ITC'!F62</f>
        <v>0</v>
      </c>
      <c r="E108" s="539"/>
      <c r="F108" s="539"/>
      <c r="G108" s="539"/>
      <c r="H108" s="539"/>
      <c r="I108" s="217" t="str">
        <f>"WP AJ2 ITC Ln "&amp;'WP AJ2 ITC'!A62&amp;" Column "&amp;'WP AJ2 ITC'!F6</f>
        <v>WP AJ2 ITC Ln 21 Column D</v>
      </c>
      <c r="J108" s="43"/>
      <c r="K108" s="43"/>
      <c r="L108" s="43"/>
      <c r="M108" s="43"/>
      <c r="O108" s="261"/>
      <c r="P108" s="261"/>
    </row>
    <row r="109" spans="1:17" s="912" customFormat="1">
      <c r="A109" s="844">
        <f t="shared" si="11"/>
        <v>34.400000000000006</v>
      </c>
      <c r="B109" s="913"/>
      <c r="C109" s="1265" t="s">
        <v>877</v>
      </c>
      <c r="D109" s="942">
        <f>-'WP AJ3 HCM'!G53</f>
        <v>-4974518.16</v>
      </c>
      <c r="E109" s="914"/>
      <c r="F109" s="914"/>
      <c r="G109" s="914"/>
      <c r="H109" s="914"/>
      <c r="I109" s="217" t="s">
        <v>1132</v>
      </c>
      <c r="J109" s="43"/>
      <c r="K109" s="1422"/>
      <c r="L109" s="918"/>
      <c r="M109" s="915"/>
      <c r="N109" s="918"/>
      <c r="O109" s="918"/>
      <c r="P109" s="918"/>
      <c r="Q109" s="1422"/>
    </row>
    <row r="110" spans="1:17" s="912" customFormat="1">
      <c r="A110" s="844">
        <f t="shared" si="11"/>
        <v>34.500000000000007</v>
      </c>
      <c r="B110" s="78"/>
      <c r="C110" s="1265" t="s">
        <v>1120</v>
      </c>
      <c r="D110" s="942">
        <f>-'WP AJ4 LA Merger'!G58</f>
        <v>-1344553.45</v>
      </c>
      <c r="E110" s="261"/>
      <c r="F110" s="261"/>
      <c r="G110" s="261"/>
      <c r="H110" s="261"/>
      <c r="I110" s="217" t="s">
        <v>1060</v>
      </c>
      <c r="J110" s="78" t="s">
        <v>2064</v>
      </c>
      <c r="K110" s="1422"/>
      <c r="L110" s="918"/>
      <c r="M110" s="918"/>
      <c r="N110" s="918"/>
      <c r="O110" s="1422"/>
      <c r="P110" s="1422"/>
      <c r="Q110" s="1422"/>
    </row>
    <row r="111" spans="1:17" s="912" customFormat="1">
      <c r="A111" s="1272">
        <f t="shared" si="11"/>
        <v>34.600000000000009</v>
      </c>
      <c r="B111" s="1273"/>
      <c r="C111" s="1423" t="s">
        <v>936</v>
      </c>
      <c r="D111" s="1276"/>
      <c r="E111" s="261"/>
      <c r="F111" s="261"/>
      <c r="G111" s="261"/>
      <c r="H111" s="261"/>
      <c r="I111" s="1270"/>
      <c r="J111" s="78"/>
      <c r="K111" s="1422"/>
      <c r="L111" s="918"/>
      <c r="M111" s="918"/>
      <c r="N111" s="918"/>
      <c r="O111" s="1422"/>
      <c r="P111" s="1422"/>
      <c r="Q111" s="1422"/>
    </row>
    <row r="112" spans="1:17" s="912" customFormat="1">
      <c r="A112" s="1272" t="s">
        <v>926</v>
      </c>
      <c r="B112" s="1273"/>
      <c r="C112" s="1423" t="s">
        <v>936</v>
      </c>
      <c r="D112" s="1276"/>
      <c r="E112" s="261"/>
      <c r="F112" s="261"/>
      <c r="G112" s="261"/>
      <c r="H112" s="261"/>
      <c r="I112" s="1424"/>
      <c r="J112" s="78"/>
      <c r="K112" s="1422"/>
      <c r="L112" s="918"/>
      <c r="M112" s="918"/>
      <c r="N112" s="918"/>
      <c r="O112" s="1422"/>
      <c r="P112" s="1422"/>
      <c r="Q112" s="1422"/>
    </row>
    <row r="113" spans="1:19" s="912" customFormat="1">
      <c r="A113" s="1272" t="str">
        <f>+A105&amp;".x"</f>
        <v>34.x</v>
      </c>
      <c r="B113" s="1273"/>
      <c r="C113" s="1423" t="s">
        <v>936</v>
      </c>
      <c r="D113" s="257"/>
      <c r="E113" s="261"/>
      <c r="F113" s="261"/>
      <c r="G113" s="261"/>
      <c r="H113" s="261"/>
      <c r="I113" s="1270"/>
      <c r="J113" s="78"/>
      <c r="K113" s="1422"/>
      <c r="L113" s="918"/>
      <c r="M113" s="918"/>
      <c r="N113" s="918"/>
      <c r="O113" s="1422"/>
      <c r="P113" s="1422"/>
      <c r="Q113" s="1422"/>
    </row>
    <row r="114" spans="1:19">
      <c r="A114" s="842">
        <f>+A105+1</f>
        <v>35</v>
      </c>
      <c r="B114" s="79"/>
      <c r="C114" s="905" t="s">
        <v>493</v>
      </c>
      <c r="D114" s="262">
        <f>SUM(D106:D113)</f>
        <v>-14795677.34</v>
      </c>
      <c r="E114" s="539"/>
      <c r="F114" s="539"/>
      <c r="G114" s="539"/>
      <c r="H114" s="539"/>
      <c r="I114" s="944" t="str">
        <f>+"Sum Ln "&amp;A105&amp;" Subparts"</f>
        <v>Sum Ln 34 Subparts</v>
      </c>
      <c r="J114" s="43"/>
      <c r="K114" s="43"/>
      <c r="L114" s="43"/>
      <c r="M114" s="43"/>
      <c r="O114" s="261"/>
      <c r="P114" s="261"/>
    </row>
    <row r="115" spans="1:19" ht="15">
      <c r="A115" s="842">
        <f>+A114+1</f>
        <v>36</v>
      </c>
      <c r="B115" s="79"/>
      <c r="C115" s="610"/>
      <c r="D115" s="249"/>
      <c r="E115" s="262"/>
      <c r="F115" s="182"/>
      <c r="G115" s="262"/>
      <c r="H115" s="262"/>
      <c r="I115" s="266"/>
      <c r="K115" s="260"/>
      <c r="L115" s="43"/>
    </row>
    <row r="116" spans="1:19">
      <c r="A116" s="842">
        <f>+A115+1</f>
        <v>37</v>
      </c>
      <c r="C116" s="163" t="s">
        <v>783</v>
      </c>
      <c r="D116" s="192"/>
      <c r="E116" s="192"/>
      <c r="F116" s="192"/>
      <c r="G116" s="192"/>
      <c r="H116" s="185"/>
      <c r="I116" s="685"/>
      <c r="K116" s="1856"/>
      <c r="L116" s="1856"/>
      <c r="N116" s="192"/>
      <c r="O116" s="192"/>
      <c r="P116" s="192"/>
      <c r="R116" s="192"/>
      <c r="S116" s="192"/>
    </row>
    <row r="117" spans="1:19">
      <c r="A117" s="844">
        <f>+A116+0.1</f>
        <v>37.1</v>
      </c>
      <c r="B117" s="79"/>
      <c r="C117" s="1451" t="s">
        <v>1061</v>
      </c>
      <c r="D117" s="191">
        <v>121323</v>
      </c>
      <c r="E117" s="79"/>
      <c r="G117" s="79"/>
      <c r="H117" s="79"/>
      <c r="I117" s="1270" t="s">
        <v>1902</v>
      </c>
      <c r="J117" s="78" t="s">
        <v>2065</v>
      </c>
      <c r="K117" s="1856"/>
      <c r="L117" s="1856"/>
      <c r="M117" s="192"/>
      <c r="O117" s="43"/>
      <c r="P117" s="261"/>
      <c r="R117" s="563"/>
      <c r="S117" s="261"/>
    </row>
    <row r="118" spans="1:19">
      <c r="A118" s="844">
        <f>+A117+0.1</f>
        <v>37.200000000000003</v>
      </c>
      <c r="B118" s="79"/>
      <c r="C118" s="1451" t="s">
        <v>1062</v>
      </c>
      <c r="D118" s="191">
        <v>0</v>
      </c>
      <c r="E118" s="79"/>
      <c r="G118" s="79"/>
      <c r="H118" s="79"/>
      <c r="I118" s="1270"/>
      <c r="J118" s="1872" t="s">
        <v>1303</v>
      </c>
      <c r="K118" s="1856"/>
      <c r="L118" s="1856"/>
      <c r="M118" s="43"/>
      <c r="O118" s="43"/>
      <c r="P118" s="261"/>
      <c r="R118" s="563"/>
      <c r="S118" s="261"/>
    </row>
    <row r="119" spans="1:19" s="82" customFormat="1">
      <c r="A119" s="844">
        <v>37.299999999999997</v>
      </c>
      <c r="B119" s="79"/>
      <c r="C119" s="1451" t="s">
        <v>1133</v>
      </c>
      <c r="D119" s="191">
        <v>431250</v>
      </c>
      <c r="E119" s="79"/>
      <c r="F119" s="63"/>
      <c r="G119" s="79"/>
      <c r="H119" s="79"/>
      <c r="I119" s="1270" t="s">
        <v>1903</v>
      </c>
      <c r="J119" s="78" t="s">
        <v>2065</v>
      </c>
      <c r="K119" s="1856"/>
      <c r="L119" s="1856"/>
      <c r="M119" s="43"/>
      <c r="N119" s="261"/>
      <c r="O119" s="43"/>
      <c r="P119" s="261"/>
      <c r="Q119" s="78"/>
      <c r="R119" s="1517"/>
      <c r="S119" s="220"/>
    </row>
    <row r="120" spans="1:19" s="82" customFormat="1">
      <c r="A120" s="844">
        <v>37.4</v>
      </c>
      <c r="B120" s="79"/>
      <c r="C120" s="1451" t="s">
        <v>1134</v>
      </c>
      <c r="D120" s="191">
        <v>-2755693</v>
      </c>
      <c r="E120" s="79"/>
      <c r="F120" s="63"/>
      <c r="G120" s="79"/>
      <c r="H120" s="79"/>
      <c r="I120" s="1270" t="s">
        <v>1123</v>
      </c>
      <c r="J120" s="78" t="s">
        <v>1302</v>
      </c>
      <c r="K120" s="1856"/>
      <c r="L120" s="1856"/>
      <c r="M120" s="43"/>
      <c r="N120" s="261"/>
      <c r="O120" s="43"/>
      <c r="P120" s="261"/>
      <c r="Q120" s="78"/>
      <c r="R120" s="1517"/>
      <c r="S120" s="220"/>
    </row>
    <row r="121" spans="1:19" s="912" customFormat="1">
      <c r="A121" s="1272">
        <f>+A120+0.1</f>
        <v>37.5</v>
      </c>
      <c r="B121" s="1273"/>
      <c r="C121" s="1271" t="s">
        <v>1899</v>
      </c>
      <c r="D121" s="191">
        <v>-335000</v>
      </c>
      <c r="E121" s="261"/>
      <c r="F121" s="261"/>
      <c r="G121" s="261"/>
      <c r="H121" s="261"/>
      <c r="I121" s="1270" t="s">
        <v>944</v>
      </c>
      <c r="J121" s="78"/>
      <c r="K121" s="1422"/>
      <c r="L121" s="1422"/>
      <c r="M121" s="918"/>
      <c r="N121" s="918"/>
      <c r="O121" s="1422"/>
      <c r="P121" s="1422"/>
      <c r="Q121" s="1422"/>
    </row>
    <row r="122" spans="1:19" s="912" customFormat="1">
      <c r="A122" s="1272">
        <f>+A121+0.1</f>
        <v>37.6</v>
      </c>
      <c r="B122" s="1273"/>
      <c r="C122" s="1271" t="s">
        <v>1900</v>
      </c>
      <c r="D122" s="191">
        <v>48938</v>
      </c>
      <c r="E122" s="261"/>
      <c r="F122" s="261"/>
      <c r="G122" s="261"/>
      <c r="H122" s="261"/>
      <c r="I122" s="1270" t="s">
        <v>1904</v>
      </c>
      <c r="J122" s="78"/>
      <c r="K122" s="1422"/>
      <c r="L122" s="1422"/>
      <c r="M122" s="918"/>
      <c r="N122" s="918"/>
      <c r="O122" s="1422"/>
      <c r="P122" s="1422"/>
      <c r="Q122" s="1422"/>
    </row>
    <row r="123" spans="1:19" s="912" customFormat="1">
      <c r="A123" s="1272">
        <f>+A122+0.1</f>
        <v>37.700000000000003</v>
      </c>
      <c r="B123" s="1273"/>
      <c r="C123" s="1271" t="s">
        <v>1901</v>
      </c>
      <c r="D123" s="191">
        <v>169584</v>
      </c>
      <c r="E123" s="261"/>
      <c r="F123" s="261"/>
      <c r="G123" s="261"/>
      <c r="H123" s="261"/>
      <c r="I123" s="1270" t="s">
        <v>1905</v>
      </c>
      <c r="J123" s="78"/>
      <c r="K123" s="1422"/>
      <c r="L123" s="1422"/>
      <c r="M123" s="918"/>
      <c r="N123" s="918"/>
      <c r="O123" s="1422"/>
      <c r="P123" s="1422"/>
      <c r="Q123" s="1422"/>
    </row>
    <row r="124" spans="1:19" s="912" customFormat="1">
      <c r="A124" s="1272">
        <f>+A123+0.1</f>
        <v>37.800000000000004</v>
      </c>
      <c r="B124" s="1273"/>
      <c r="C124" s="1271" t="s">
        <v>936</v>
      </c>
      <c r="D124" s="191"/>
      <c r="E124" s="261"/>
      <c r="F124" s="261"/>
      <c r="G124" s="261"/>
      <c r="H124" s="261"/>
      <c r="I124" s="1270"/>
      <c r="J124" s="78"/>
      <c r="K124" s="1422"/>
      <c r="L124" s="1422"/>
      <c r="M124" s="918"/>
      <c r="N124" s="918"/>
      <c r="O124" s="1422"/>
      <c r="P124" s="1422"/>
      <c r="Q124" s="1422"/>
    </row>
    <row r="125" spans="1:19" s="912" customFormat="1" ht="13.2" customHeight="1">
      <c r="A125" s="1272" t="s">
        <v>926</v>
      </c>
      <c r="B125" s="1273"/>
      <c r="C125" s="1271" t="s">
        <v>936</v>
      </c>
      <c r="D125" s="191"/>
      <c r="E125" s="261"/>
      <c r="F125" s="261"/>
      <c r="G125" s="261"/>
      <c r="H125" s="261"/>
      <c r="I125" s="1270"/>
      <c r="J125" s="78"/>
      <c r="K125" s="1422"/>
      <c r="L125" s="1422"/>
      <c r="M125" s="918"/>
      <c r="N125" s="918"/>
      <c r="O125" s="1422"/>
      <c r="P125" s="1422"/>
      <c r="Q125" s="1422"/>
    </row>
    <row r="126" spans="1:19" s="912" customFormat="1" ht="13.2" customHeight="1">
      <c r="A126" s="1272" t="str">
        <f>+A116&amp;".x"</f>
        <v>37.x</v>
      </c>
      <c r="B126" s="1273"/>
      <c r="C126" s="1271" t="s">
        <v>936</v>
      </c>
      <c r="D126" s="257"/>
      <c r="E126" s="261"/>
      <c r="F126" s="261"/>
      <c r="G126" s="261"/>
      <c r="H126" s="261"/>
      <c r="I126" s="1270"/>
      <c r="J126" s="78"/>
      <c r="K126" s="1422"/>
      <c r="L126" s="1422"/>
      <c r="M126" s="918"/>
      <c r="N126" s="918"/>
      <c r="O126" s="1422"/>
      <c r="P126" s="1422"/>
      <c r="Q126" s="1422"/>
    </row>
    <row r="127" spans="1:19" ht="13.2" customHeight="1">
      <c r="A127" s="842">
        <f>+A116+1</f>
        <v>38</v>
      </c>
      <c r="B127" s="79"/>
      <c r="C127" s="906" t="str">
        <f>+"Total "&amp;C116</f>
        <v>Total 9302 Miscellaneous General Expenses Adjustments (3)</v>
      </c>
      <c r="D127" s="198">
        <f>SUM(D117:D126)</f>
        <v>-2319598</v>
      </c>
      <c r="E127" s="261"/>
      <c r="F127" s="261"/>
      <c r="G127" s="261"/>
      <c r="H127" s="261"/>
      <c r="I127" s="944" t="str">
        <f>+"Sum Ln "&amp;A116&amp;" Subparts"</f>
        <v>Sum Ln 37 Subparts</v>
      </c>
    </row>
    <row r="128" spans="1:19" ht="13.2" customHeight="1">
      <c r="A128" s="842">
        <f>+A127+1</f>
        <v>39</v>
      </c>
      <c r="B128" s="79"/>
      <c r="C128" s="79"/>
      <c r="D128" s="79"/>
      <c r="E128" s="79"/>
      <c r="F128" s="79"/>
      <c r="G128" s="79"/>
      <c r="H128" s="79"/>
      <c r="I128" s="218"/>
      <c r="O128" s="261"/>
      <c r="P128" s="261"/>
    </row>
    <row r="129" spans="1:17" ht="13.2" customHeight="1">
      <c r="A129" s="842">
        <f>+A128+1</f>
        <v>40</v>
      </c>
      <c r="B129" s="263" t="s">
        <v>74</v>
      </c>
      <c r="C129" s="78"/>
      <c r="H129" s="520"/>
      <c r="I129" s="164"/>
    </row>
    <row r="130" spans="1:17" ht="13.2" customHeight="1">
      <c r="A130" s="842">
        <f>+A129+1</f>
        <v>41</v>
      </c>
      <c r="B130" s="263"/>
      <c r="C130" s="705" t="s">
        <v>514</v>
      </c>
      <c r="H130" s="520"/>
      <c r="I130" s="164"/>
      <c r="K130" s="1873"/>
      <c r="L130" s="1873"/>
    </row>
    <row r="131" spans="1:17" ht="13.2" customHeight="1">
      <c r="A131" s="844">
        <f>+A130+0.1</f>
        <v>41.1</v>
      </c>
      <c r="B131" s="263"/>
      <c r="C131" s="609" t="s">
        <v>791</v>
      </c>
      <c r="D131" s="191">
        <v>0</v>
      </c>
      <c r="H131" s="520"/>
      <c r="I131" s="1270" t="s">
        <v>817</v>
      </c>
      <c r="K131" s="1873"/>
      <c r="L131" s="1873"/>
    </row>
    <row r="132" spans="1:17" ht="13.2" customHeight="1">
      <c r="A132" s="844">
        <f>+A131+0.1</f>
        <v>41.2</v>
      </c>
      <c r="B132" s="263"/>
      <c r="C132" s="621" t="s">
        <v>1906</v>
      </c>
      <c r="D132" s="191">
        <v>17336</v>
      </c>
      <c r="H132" s="520"/>
      <c r="I132" s="1270" t="s">
        <v>571</v>
      </c>
      <c r="K132" s="1873"/>
      <c r="L132" s="1873"/>
    </row>
    <row r="133" spans="1:17" s="912" customFormat="1">
      <c r="A133" s="1272">
        <f>+A132+0.1</f>
        <v>41.300000000000004</v>
      </c>
      <c r="B133" s="1273"/>
      <c r="C133" s="1271" t="s">
        <v>936</v>
      </c>
      <c r="D133" s="191"/>
      <c r="E133" s="261"/>
      <c r="F133" s="261"/>
      <c r="G133" s="261"/>
      <c r="H133" s="261"/>
      <c r="I133" s="1270"/>
      <c r="J133" s="78"/>
      <c r="K133" s="1422"/>
      <c r="L133" s="918"/>
      <c r="M133" s="918"/>
      <c r="N133" s="918"/>
      <c r="O133" s="1422"/>
      <c r="P133" s="1422"/>
      <c r="Q133" s="1422"/>
    </row>
    <row r="134" spans="1:17" s="912" customFormat="1">
      <c r="A134" s="1272" t="s">
        <v>926</v>
      </c>
      <c r="B134" s="1273"/>
      <c r="C134" s="1271" t="s">
        <v>936</v>
      </c>
      <c r="D134" s="191"/>
      <c r="E134" s="261"/>
      <c r="F134" s="261"/>
      <c r="G134" s="261"/>
      <c r="H134" s="261"/>
      <c r="I134" s="1270"/>
      <c r="J134" s="78"/>
      <c r="K134" s="1422"/>
      <c r="L134" s="918"/>
      <c r="M134" s="918"/>
      <c r="N134" s="918"/>
      <c r="O134" s="1422"/>
      <c r="P134" s="1422"/>
      <c r="Q134" s="1422"/>
    </row>
    <row r="135" spans="1:17" s="912" customFormat="1">
      <c r="A135" s="1272" t="str">
        <f>+A130&amp;".x"</f>
        <v>41.x</v>
      </c>
      <c r="B135" s="1273"/>
      <c r="C135" s="1271" t="s">
        <v>936</v>
      </c>
      <c r="D135" s="257"/>
      <c r="E135" s="261"/>
      <c r="F135" s="261"/>
      <c r="G135" s="261"/>
      <c r="H135" s="261"/>
      <c r="I135" s="1270"/>
      <c r="J135" s="78"/>
      <c r="K135" s="1422"/>
      <c r="L135" s="918"/>
      <c r="M135" s="918"/>
      <c r="N135" s="918"/>
      <c r="O135" s="1422"/>
      <c r="P135" s="1422"/>
      <c r="Q135" s="1422"/>
    </row>
    <row r="136" spans="1:17">
      <c r="A136" s="842">
        <f>+A130+1</f>
        <v>42</v>
      </c>
      <c r="B136" s="263"/>
      <c r="C136" s="907" t="str">
        <f>+"Total  "&amp;C130</f>
        <v>Total  Regulatory Commission Expense Account 928</v>
      </c>
      <c r="D136" s="165">
        <f>SUM(D131:D135)</f>
        <v>17336</v>
      </c>
      <c r="E136" s="79"/>
      <c r="F136" s="79"/>
      <c r="G136" s="79"/>
      <c r="H136" s="520"/>
      <c r="I136" s="944" t="str">
        <f>+"Sum Ln "&amp;A130&amp;" Subparts"</f>
        <v>Sum Ln 41 Subparts</v>
      </c>
      <c r="L136" s="182"/>
    </row>
    <row r="137" spans="1:17">
      <c r="A137" s="842">
        <f>+A136+1</f>
        <v>43</v>
      </c>
      <c r="B137" s="79"/>
      <c r="C137" s="622"/>
      <c r="D137" s="165"/>
      <c r="E137" s="249"/>
      <c r="F137" s="520"/>
      <c r="G137" s="262"/>
      <c r="H137" s="262"/>
      <c r="I137" s="266"/>
    </row>
    <row r="138" spans="1:17">
      <c r="A138" s="842">
        <f>+A137+1</f>
        <v>44</v>
      </c>
      <c r="B138" s="618" t="s">
        <v>96</v>
      </c>
      <c r="C138" s="615"/>
      <c r="D138" s="616"/>
      <c r="E138" s="616"/>
      <c r="F138" s="617"/>
      <c r="G138" s="619"/>
      <c r="H138" s="620"/>
      <c r="I138" s="687"/>
      <c r="K138" s="41"/>
      <c r="L138" s="41"/>
      <c r="M138" s="41"/>
    </row>
    <row r="139" spans="1:17" s="42" customFormat="1" ht="13.2" customHeight="1">
      <c r="A139" s="842">
        <f t="shared" ref="A139:A168" si="12">+A138+1</f>
        <v>45</v>
      </c>
      <c r="B139" s="226" t="s">
        <v>67</v>
      </c>
      <c r="C139" s="226" t="s">
        <v>114</v>
      </c>
      <c r="D139" s="226" t="s">
        <v>55</v>
      </c>
      <c r="E139" s="226" t="s">
        <v>68</v>
      </c>
      <c r="F139" s="226" t="s">
        <v>66</v>
      </c>
      <c r="G139" s="226" t="s">
        <v>154</v>
      </c>
      <c r="H139" s="226" t="s">
        <v>69</v>
      </c>
      <c r="I139" s="226" t="s">
        <v>166</v>
      </c>
      <c r="J139" s="78"/>
      <c r="K139" s="41"/>
      <c r="L139" s="41"/>
      <c r="M139" s="41"/>
      <c r="N139" s="41"/>
      <c r="O139" s="41"/>
      <c r="P139" s="41"/>
      <c r="Q139" s="41"/>
    </row>
    <row r="140" spans="1:17" s="42" customFormat="1" ht="13.95" customHeight="1">
      <c r="A140" s="842">
        <f t="shared" si="12"/>
        <v>46</v>
      </c>
      <c r="B140" s="220" t="s">
        <v>1842</v>
      </c>
      <c r="C140" s="622"/>
      <c r="D140" s="165"/>
      <c r="E140" s="249"/>
      <c r="F140" s="520"/>
      <c r="G140" s="262"/>
      <c r="H140" s="262"/>
      <c r="I140" s="266"/>
      <c r="J140" s="78" t="s">
        <v>1810</v>
      </c>
      <c r="K140" s="78"/>
      <c r="L140" s="261"/>
      <c r="M140" s="261"/>
      <c r="N140" s="41"/>
      <c r="O140" s="41"/>
      <c r="P140" s="41"/>
      <c r="Q140" s="41"/>
    </row>
    <row r="141" spans="1:17">
      <c r="A141" s="842">
        <f t="shared" si="12"/>
        <v>47</v>
      </c>
      <c r="B141" s="79"/>
      <c r="C141" s="265" t="s">
        <v>788</v>
      </c>
      <c r="D141" s="273"/>
      <c r="E141" s="249"/>
      <c r="F141" s="520"/>
      <c r="G141" s="262"/>
      <c r="H141" s="262"/>
      <c r="I141" s="78"/>
    </row>
    <row r="142" spans="1:17">
      <c r="A142" s="844">
        <f>+A141+0.1</f>
        <v>47.1</v>
      </c>
      <c r="B142" s="79"/>
      <c r="C142" s="566" t="s">
        <v>795</v>
      </c>
      <c r="D142" s="273">
        <f>+'WP10 Storm'!E50</f>
        <v>0</v>
      </c>
      <c r="E142" s="249"/>
      <c r="F142" s="520"/>
      <c r="G142" s="262"/>
      <c r="H142" s="262"/>
      <c r="I142" s="217" t="str">
        <f>+"WP10 Storm Ln "&amp;'WP10 Storm'!A50&amp;" Column "&amp;'WP10 Storm'!E6</f>
        <v xml:space="preserve">WP10 Storm Ln 13 Column D </v>
      </c>
    </row>
    <row r="143" spans="1:17">
      <c r="A143" s="844">
        <f>+A142+0.1</f>
        <v>47.2</v>
      </c>
      <c r="B143" s="79"/>
      <c r="C143" s="566" t="s">
        <v>793</v>
      </c>
      <c r="D143" s="942">
        <f>'WP AJ1 MISO'!K67</f>
        <v>-289304.38</v>
      </c>
      <c r="E143" s="249"/>
      <c r="F143" s="520"/>
      <c r="G143" s="262"/>
      <c r="H143" s="262"/>
      <c r="I143" s="217" t="str">
        <f>+"WP AJ1 MISO Ln "&amp;'WP AJ1 MISO'!A67&amp;" Column "&amp;'WP AJ1 MISO'!K8</f>
        <v>WP AJ1 MISO Ln 13 Column J</v>
      </c>
    </row>
    <row r="144" spans="1:17">
      <c r="A144" s="844">
        <f>+A143+0.1</f>
        <v>47.300000000000004</v>
      </c>
      <c r="B144" s="79"/>
      <c r="C144" s="566" t="s">
        <v>1121</v>
      </c>
      <c r="D144" s="942">
        <f>-'WP AJ2 ITC'!F54</f>
        <v>0</v>
      </c>
      <c r="E144" s="249"/>
      <c r="F144" s="520"/>
      <c r="G144" s="262"/>
      <c r="H144" s="262"/>
      <c r="I144" s="217" t="str">
        <f>"WP AJ2 ITC Ln "&amp;'WP AJ2 ITC'!A54&amp;" Column "&amp;'WP AJ2 ITC'!F6</f>
        <v>WP AJ2 ITC Ln 13 Column D</v>
      </c>
    </row>
    <row r="145" spans="1:17" s="912" customFormat="1">
      <c r="A145" s="844">
        <f t="shared" ref="A145:A146" si="13">+A144+0.1</f>
        <v>47.400000000000006</v>
      </c>
      <c r="B145" s="913"/>
      <c r="C145" s="1265" t="s">
        <v>877</v>
      </c>
      <c r="D145" s="942">
        <f>-'WP AJ3 HCM'!G45</f>
        <v>0</v>
      </c>
      <c r="E145" s="721"/>
      <c r="F145" s="916"/>
      <c r="G145" s="917"/>
      <c r="H145" s="917"/>
      <c r="I145" s="217" t="s">
        <v>1128</v>
      </c>
      <c r="J145" s="78"/>
      <c r="K145" s="1422"/>
      <c r="L145" s="918"/>
      <c r="M145" s="918"/>
      <c r="N145" s="918"/>
      <c r="O145" s="1422"/>
      <c r="P145" s="1422"/>
      <c r="Q145" s="1422"/>
    </row>
    <row r="146" spans="1:17" s="912" customFormat="1">
      <c r="A146" s="844">
        <f t="shared" si="13"/>
        <v>47.500000000000007</v>
      </c>
      <c r="B146" s="78"/>
      <c r="C146" s="1265" t="s">
        <v>1120</v>
      </c>
      <c r="D146" s="262">
        <f>-'WP AJ4 LA Merger'!G50</f>
        <v>-36574.030000000006</v>
      </c>
      <c r="E146" s="261"/>
      <c r="F146" s="261"/>
      <c r="G146" s="261"/>
      <c r="H146" s="261"/>
      <c r="I146" s="217" t="s">
        <v>1064</v>
      </c>
      <c r="J146" s="78" t="s">
        <v>2064</v>
      </c>
      <c r="K146" s="1422"/>
      <c r="L146" s="918"/>
      <c r="M146" s="918"/>
      <c r="N146" s="918"/>
      <c r="O146" s="1422"/>
      <c r="P146" s="1422"/>
      <c r="Q146" s="1422"/>
    </row>
    <row r="147" spans="1:17" s="912" customFormat="1">
      <c r="A147" s="844">
        <f>+A146+0.1</f>
        <v>47.600000000000009</v>
      </c>
      <c r="B147" s="78"/>
      <c r="C147" s="566" t="s">
        <v>1755</v>
      </c>
      <c r="D147" s="1703">
        <f>+'WP AJ6 GPRD'!E25</f>
        <v>8856375.8000000007</v>
      </c>
      <c r="E147" s="261"/>
      <c r="F147" s="261"/>
      <c r="G147" s="261"/>
      <c r="H147" s="261"/>
      <c r="I147" s="1704" t="str">
        <f>+"WP AJ6 GPRD Ln "&amp;'WP AJ6 GPRD'!A25&amp;" Column "&amp;LEFT('WP AJ6 GPRD'!E5,1)</f>
        <v>WP AJ6 GPRD Ln 2 Column D</v>
      </c>
      <c r="J147" s="78" t="s">
        <v>1837</v>
      </c>
      <c r="K147" s="1422"/>
      <c r="L147" s="918"/>
      <c r="M147" s="918"/>
      <c r="N147" s="918"/>
      <c r="O147" s="1422"/>
      <c r="P147" s="1422"/>
      <c r="Q147" s="1422"/>
    </row>
    <row r="148" spans="1:17" s="912" customFormat="1">
      <c r="A148" s="1272">
        <f>+A146+0.1</f>
        <v>47.600000000000009</v>
      </c>
      <c r="B148" s="1273"/>
      <c r="C148" s="1271" t="s">
        <v>936</v>
      </c>
      <c r="D148" s="191"/>
      <c r="E148" s="261"/>
      <c r="F148" s="261"/>
      <c r="G148" s="261"/>
      <c r="H148" s="261"/>
      <c r="I148" s="1270"/>
      <c r="J148" s="78"/>
      <c r="K148" s="1422"/>
      <c r="L148" s="918"/>
      <c r="M148" s="918"/>
      <c r="N148" s="918"/>
      <c r="O148" s="1422"/>
      <c r="P148" s="1422"/>
      <c r="Q148" s="1422"/>
    </row>
    <row r="149" spans="1:17" s="912" customFormat="1">
      <c r="A149" s="1272" t="s">
        <v>926</v>
      </c>
      <c r="B149" s="1273"/>
      <c r="C149" s="1271" t="s">
        <v>936</v>
      </c>
      <c r="D149" s="191"/>
      <c r="E149" s="261"/>
      <c r="F149" s="261"/>
      <c r="G149" s="261"/>
      <c r="H149" s="261"/>
      <c r="I149" s="1270"/>
      <c r="J149" s="78"/>
      <c r="K149" s="1422"/>
      <c r="L149" s="918"/>
      <c r="M149" s="918"/>
      <c r="N149" s="918"/>
      <c r="O149" s="1422"/>
      <c r="P149" s="1422"/>
      <c r="Q149" s="1422"/>
    </row>
    <row r="150" spans="1:17" s="912" customFormat="1">
      <c r="A150" s="1272" t="str">
        <f>+A141&amp;".x"</f>
        <v>47.x</v>
      </c>
      <c r="B150" s="1273"/>
      <c r="C150" s="1271" t="s">
        <v>936</v>
      </c>
      <c r="D150" s="257"/>
      <c r="E150" s="261"/>
      <c r="F150" s="261"/>
      <c r="G150" s="261"/>
      <c r="H150" s="261"/>
      <c r="I150" s="1270"/>
      <c r="J150" s="78"/>
      <c r="K150" s="1422"/>
      <c r="L150" s="918"/>
      <c r="M150" s="918"/>
      <c r="N150" s="918"/>
      <c r="O150" s="1422"/>
      <c r="P150" s="1422"/>
      <c r="Q150" s="1422"/>
    </row>
    <row r="151" spans="1:17">
      <c r="A151" s="842">
        <f>+A141+1</f>
        <v>48</v>
      </c>
      <c r="B151" s="79"/>
      <c r="C151" s="905" t="s">
        <v>494</v>
      </c>
      <c r="D151" s="262">
        <f>SUM(D142:D150)</f>
        <v>8530497.3900000006</v>
      </c>
      <c r="E151" s="520"/>
      <c r="F151" s="520"/>
      <c r="G151" s="262"/>
      <c r="H151" s="262"/>
      <c r="I151" s="950" t="str">
        <f>+"Sum Ln "&amp;A141&amp;" Subparts"</f>
        <v>Sum Ln 47 Subparts</v>
      </c>
    </row>
    <row r="152" spans="1:17">
      <c r="A152" s="842">
        <f t="shared" si="12"/>
        <v>49</v>
      </c>
      <c r="B152" s="79"/>
      <c r="C152" s="266"/>
      <c r="D152" s="273"/>
      <c r="E152" s="249"/>
      <c r="F152" s="520"/>
      <c r="G152" s="262"/>
      <c r="H152" s="262"/>
      <c r="I152" s="266"/>
    </row>
    <row r="153" spans="1:17">
      <c r="A153" s="842">
        <f t="shared" si="12"/>
        <v>50</v>
      </c>
      <c r="B153" s="618" t="s">
        <v>39</v>
      </c>
      <c r="C153" s="615"/>
      <c r="D153" s="616"/>
      <c r="E153" s="616"/>
      <c r="F153" s="617"/>
      <c r="G153" s="619"/>
      <c r="H153" s="620"/>
      <c r="I153" s="682"/>
      <c r="K153" s="261"/>
    </row>
    <row r="154" spans="1:17">
      <c r="A154" s="842">
        <f t="shared" si="12"/>
        <v>51</v>
      </c>
      <c r="B154" s="44"/>
      <c r="C154" s="639"/>
      <c r="D154" s="186"/>
      <c r="E154" s="186"/>
      <c r="F154" s="640"/>
      <c r="G154" s="43"/>
      <c r="H154" s="555"/>
      <c r="I154" s="689"/>
      <c r="K154" s="261"/>
      <c r="O154" s="261"/>
      <c r="P154" s="261"/>
    </row>
    <row r="155" spans="1:17">
      <c r="A155" s="842">
        <f t="shared" si="12"/>
        <v>52</v>
      </c>
      <c r="B155" s="44"/>
      <c r="C155" s="220" t="s">
        <v>789</v>
      </c>
      <c r="D155" s="261"/>
      <c r="E155" s="186"/>
      <c r="F155" s="640"/>
      <c r="G155" s="43"/>
      <c r="H155" s="555"/>
      <c r="I155" s="78"/>
      <c r="K155" s="261"/>
      <c r="O155" s="261"/>
      <c r="P155" s="261"/>
    </row>
    <row r="156" spans="1:17">
      <c r="A156" s="844">
        <f>+A155+0.1</f>
        <v>52.1</v>
      </c>
      <c r="B156" s="44"/>
      <c r="C156" s="566" t="s">
        <v>795</v>
      </c>
      <c r="D156" s="1452">
        <f>+'WP10 Storm'!E51</f>
        <v>0</v>
      </c>
      <c r="E156" s="186"/>
      <c r="F156" s="640"/>
      <c r="G156" s="43"/>
      <c r="H156" s="555"/>
      <c r="I156" s="217" t="str">
        <f>+"WP10 Storm Ln "&amp;'WP10 Storm'!A51&amp;" Column "&amp;'WP10 Storm'!E6</f>
        <v xml:space="preserve">WP10 Storm Ln 14 Column D </v>
      </c>
      <c r="K156" s="261"/>
      <c r="O156" s="261"/>
      <c r="P156" s="261"/>
    </row>
    <row r="157" spans="1:17">
      <c r="A157" s="844">
        <f>+A156+0.1</f>
        <v>52.2</v>
      </c>
      <c r="B157" s="44"/>
      <c r="C157" s="566" t="s">
        <v>793</v>
      </c>
      <c r="D157" s="153">
        <f>+'WP AJ1 MISO'!K68</f>
        <v>-150578.97</v>
      </c>
      <c r="E157" s="186"/>
      <c r="F157" s="640"/>
      <c r="G157" s="43"/>
      <c r="H157" s="555"/>
      <c r="I157" s="217" t="str">
        <f>+"WP AJ1 MISO Ln "&amp;'WP AJ1 MISO'!A68&amp;" Column "&amp;'WP AJ1 MISO'!K8</f>
        <v>WP AJ1 MISO Ln 14 Column J</v>
      </c>
      <c r="K157" s="261"/>
      <c r="O157" s="261"/>
      <c r="P157" s="261"/>
    </row>
    <row r="158" spans="1:17">
      <c r="A158" s="844">
        <f>+A157+0.1</f>
        <v>52.300000000000004</v>
      </c>
      <c r="B158" s="44"/>
      <c r="C158" s="566" t="s">
        <v>1121</v>
      </c>
      <c r="D158" s="153">
        <f>-'WP AJ2 ITC'!F55</f>
        <v>0</v>
      </c>
      <c r="E158" s="186"/>
      <c r="F158" s="640"/>
      <c r="G158" s="43"/>
      <c r="H158" s="555"/>
      <c r="I158" s="217" t="str">
        <f>"WP AJ2 ITC Ln "&amp;'WP AJ2 ITC'!A55&amp;" Column "&amp;'WP AJ2 ITC'!F6</f>
        <v>WP AJ2 ITC Ln 14 Column D</v>
      </c>
      <c r="K158" s="261"/>
      <c r="O158" s="261"/>
      <c r="P158" s="261"/>
    </row>
    <row r="159" spans="1:17" s="912" customFormat="1">
      <c r="A159" s="844">
        <f t="shared" ref="A159:A161" si="14">+A158+0.1</f>
        <v>52.400000000000006</v>
      </c>
      <c r="B159" s="919"/>
      <c r="C159" s="1265" t="s">
        <v>877</v>
      </c>
      <c r="D159" s="153">
        <f>-'WP AJ3 HCM'!G46</f>
        <v>-264741.59999999998</v>
      </c>
      <c r="E159" s="920"/>
      <c r="F159" s="921"/>
      <c r="G159" s="915"/>
      <c r="H159" s="922"/>
      <c r="I159" s="217" t="s">
        <v>1129</v>
      </c>
      <c r="J159" s="1971" t="s">
        <v>2066</v>
      </c>
      <c r="K159" s="1971"/>
      <c r="L159" s="1971"/>
      <c r="M159" s="918"/>
      <c r="N159" s="918"/>
      <c r="O159" s="918"/>
      <c r="P159" s="918"/>
      <c r="Q159" s="1422"/>
    </row>
    <row r="160" spans="1:17" s="912" customFormat="1">
      <c r="A160" s="844">
        <f t="shared" si="14"/>
        <v>52.500000000000007</v>
      </c>
      <c r="B160" s="78"/>
      <c r="C160" s="1265" t="s">
        <v>1120</v>
      </c>
      <c r="D160" s="262">
        <f>-'WP AJ4 LA Merger'!G51</f>
        <v>-3606.2799999999997</v>
      </c>
      <c r="E160" s="261"/>
      <c r="F160" s="261"/>
      <c r="G160" s="261"/>
      <c r="H160" s="261"/>
      <c r="I160" s="217" t="s">
        <v>1063</v>
      </c>
      <c r="J160" s="78"/>
      <c r="K160" s="1422"/>
      <c r="L160" s="918"/>
      <c r="M160" s="918"/>
      <c r="N160" s="918"/>
      <c r="O160" s="1422"/>
      <c r="P160" s="1422"/>
      <c r="Q160" s="1422"/>
    </row>
    <row r="161" spans="1:17" s="912" customFormat="1">
      <c r="A161" s="1272">
        <f t="shared" si="14"/>
        <v>52.600000000000009</v>
      </c>
      <c r="B161" s="1273"/>
      <c r="C161" s="1271" t="s">
        <v>936</v>
      </c>
      <c r="D161" s="191"/>
      <c r="E161" s="261"/>
      <c r="F161" s="261"/>
      <c r="G161" s="261"/>
      <c r="H161" s="261"/>
      <c r="I161" s="1270"/>
      <c r="J161" s="78"/>
      <c r="K161" s="1422"/>
      <c r="L161" s="918"/>
      <c r="M161" s="918"/>
      <c r="N161" s="918"/>
      <c r="O161" s="1422"/>
      <c r="P161" s="1422"/>
      <c r="Q161" s="1422"/>
    </row>
    <row r="162" spans="1:17" s="912" customFormat="1">
      <c r="A162" s="1272" t="s">
        <v>926</v>
      </c>
      <c r="B162" s="1273"/>
      <c r="C162" s="1271" t="s">
        <v>936</v>
      </c>
      <c r="D162" s="191"/>
      <c r="E162" s="261"/>
      <c r="F162" s="261"/>
      <c r="G162" s="261"/>
      <c r="H162" s="261"/>
      <c r="I162" s="1270"/>
      <c r="J162" s="78"/>
      <c r="K162" s="1422"/>
      <c r="L162" s="918"/>
      <c r="M162" s="918"/>
      <c r="N162" s="918"/>
      <c r="O162" s="1422"/>
      <c r="P162" s="1422"/>
      <c r="Q162" s="1422"/>
    </row>
    <row r="163" spans="1:17" s="912" customFormat="1">
      <c r="A163" s="1272" t="str">
        <f>+A155&amp;".x"</f>
        <v>52.x</v>
      </c>
      <c r="B163" s="1273"/>
      <c r="C163" s="1271" t="s">
        <v>936</v>
      </c>
      <c r="D163" s="257"/>
      <c r="E163" s="261"/>
      <c r="F163" s="261"/>
      <c r="G163" s="261"/>
      <c r="H163" s="261"/>
      <c r="I163" s="1270"/>
      <c r="J163" s="78"/>
      <c r="K163" s="1422"/>
      <c r="L163" s="918"/>
      <c r="M163" s="918"/>
      <c r="N163" s="918"/>
      <c r="O163" s="1422"/>
      <c r="P163" s="1422"/>
      <c r="Q163" s="1422"/>
    </row>
    <row r="164" spans="1:17">
      <c r="A164" s="842">
        <f>+A155+1</f>
        <v>53</v>
      </c>
      <c r="B164" s="44"/>
      <c r="C164" s="905" t="s">
        <v>552</v>
      </c>
      <c r="D164" s="262">
        <f>SUM(D156:D163)</f>
        <v>-418926.85</v>
      </c>
      <c r="E164" s="186"/>
      <c r="F164" s="640"/>
      <c r="G164" s="43"/>
      <c r="H164" s="555"/>
      <c r="I164" s="950" t="str">
        <f>+"Sum Ln "&amp;A155&amp;" Subparts"</f>
        <v>Sum Ln 52 Subparts</v>
      </c>
      <c r="K164" s="261"/>
      <c r="O164" s="261"/>
      <c r="P164" s="261"/>
    </row>
    <row r="165" spans="1:17">
      <c r="A165" s="842">
        <f t="shared" si="12"/>
        <v>54</v>
      </c>
      <c r="B165" s="44"/>
      <c r="C165" s="639"/>
      <c r="D165" s="186"/>
      <c r="E165" s="186"/>
      <c r="F165" s="640"/>
      <c r="G165" s="43"/>
      <c r="H165" s="555"/>
      <c r="I165" s="689"/>
      <c r="K165" s="261"/>
      <c r="O165" s="261"/>
      <c r="P165" s="261"/>
    </row>
    <row r="166" spans="1:17">
      <c r="A166" s="842">
        <f t="shared" si="12"/>
        <v>55</v>
      </c>
      <c r="B166" s="618" t="s">
        <v>491</v>
      </c>
      <c r="C166" s="615"/>
      <c r="D166" s="616"/>
      <c r="E166" s="616"/>
      <c r="F166" s="617"/>
      <c r="G166" s="619"/>
      <c r="H166" s="620"/>
      <c r="I166" s="682"/>
      <c r="K166" s="591"/>
      <c r="L166" s="274"/>
      <c r="M166" s="539"/>
    </row>
    <row r="167" spans="1:17">
      <c r="A167" s="842">
        <f t="shared" si="12"/>
        <v>56</v>
      </c>
      <c r="D167" s="696" t="s">
        <v>1072</v>
      </c>
      <c r="E167" s="264"/>
      <c r="F167" s="696" t="s">
        <v>318</v>
      </c>
      <c r="K167" s="591"/>
      <c r="L167" s="274"/>
      <c r="M167" s="539"/>
    </row>
    <row r="168" spans="1:17" ht="15">
      <c r="A168" s="842">
        <f t="shared" si="12"/>
        <v>57</v>
      </c>
      <c r="C168" s="612" t="s">
        <v>77</v>
      </c>
      <c r="D168" s="535" t="s">
        <v>524</v>
      </c>
      <c r="E168" s="264"/>
      <c r="F168" s="535" t="s">
        <v>164</v>
      </c>
      <c r="G168" s="269"/>
      <c r="H168" s="261"/>
      <c r="I168" s="261"/>
      <c r="K168" s="591"/>
      <c r="L168" s="274"/>
      <c r="M168" s="539"/>
    </row>
    <row r="169" spans="1:17">
      <c r="A169" s="844">
        <f>+A168+0.1</f>
        <v>57.1</v>
      </c>
      <c r="B169" s="267"/>
      <c r="C169" s="610" t="s">
        <v>454</v>
      </c>
      <c r="D169" s="262">
        <f>+'WP04 PIS'!H23</f>
        <v>85899732.841538489</v>
      </c>
      <c r="E169" s="560"/>
      <c r="F169" s="262">
        <f>+'WP04 PIS'!H21</f>
        <v>95268933.069999993</v>
      </c>
      <c r="G169" s="534"/>
      <c r="H169" s="262"/>
      <c r="I169" s="164" t="str">
        <f>+"WP04 PIS Ln "&amp;'WP04 PIS'!A23&amp;" &amp; Ln "&amp;'WP04 PIS'!A21&amp;" Col "&amp;'WP04 PIS'!H5</f>
        <v>WP04 PIS Ln 18 &amp; Ln 16 Col G</v>
      </c>
      <c r="K169" s="591"/>
      <c r="L169" s="274"/>
      <c r="M169" s="539"/>
    </row>
    <row r="170" spans="1:17">
      <c r="A170" s="844">
        <f>+A169+0.1</f>
        <v>57.2</v>
      </c>
      <c r="B170" s="267"/>
      <c r="C170" s="610" t="s">
        <v>264</v>
      </c>
      <c r="D170" s="262">
        <f>+'WP04 PIS'!I23</f>
        <v>165051416.26692307</v>
      </c>
      <c r="E170" s="560"/>
      <c r="F170" s="262">
        <f>+'WP04 PIS'!I21</f>
        <v>165024056.40000001</v>
      </c>
      <c r="G170" s="534"/>
      <c r="H170" s="262"/>
      <c r="I170" s="164" t="str">
        <f>+"WP04 PIS Ln "&amp;'WP04 PIS'!A23&amp;" &amp; Ln "&amp;'WP04 PIS'!A21&amp;" Col "&amp;'WP04 PIS'!I5</f>
        <v>WP04 PIS Ln 18 &amp; Ln 16 Col H</v>
      </c>
      <c r="J170" s="591"/>
    </row>
    <row r="171" spans="1:17" s="78" customFormat="1">
      <c r="A171" s="844">
        <f>+A170+0.1</f>
        <v>57.300000000000004</v>
      </c>
      <c r="B171" s="267"/>
      <c r="C171" s="610" t="s">
        <v>1082</v>
      </c>
      <c r="D171" s="262">
        <f>+'WP15 Radials'!G8</f>
        <v>76590153.730000019</v>
      </c>
      <c r="E171" s="928"/>
      <c r="F171" s="262">
        <f>+'WP15 Radials'!F8</f>
        <v>82442744.700000003</v>
      </c>
      <c r="G171" s="534"/>
      <c r="H171" s="262"/>
      <c r="I171" s="164" t="str">
        <f>+"WP15 Radials Ln"&amp;'WP15 Radials'!A8&amp;" Col "&amp;'WP15 Radials'!G5&amp;" &amp; "&amp;'WP15 Radials'!F5</f>
        <v>WP15 Radials Ln3 Col F &amp; E</v>
      </c>
      <c r="K171" s="43"/>
      <c r="L171" s="43"/>
      <c r="M171" s="43"/>
      <c r="N171" s="261"/>
      <c r="O171" s="261"/>
      <c r="P171" s="261"/>
    </row>
    <row r="172" spans="1:17">
      <c r="A172" s="844">
        <f>+A171+0.1</f>
        <v>57.400000000000006</v>
      </c>
      <c r="B172" s="267"/>
      <c r="C172" s="610" t="s">
        <v>268</v>
      </c>
      <c r="D172" s="558">
        <f>+'WP16 Interconn'!P28</f>
        <v>23074582.289999999</v>
      </c>
      <c r="E172" s="560"/>
      <c r="F172" s="558">
        <f>+'WP16 Interconn'!O28</f>
        <v>23073812.73</v>
      </c>
      <c r="G172" s="534"/>
      <c r="H172" s="262"/>
      <c r="I172" s="164" t="str">
        <f>+"WP16 Interconn Ln "&amp;'WP16 Interconn'!A28&amp;" Col "&amp;'WP16 Interconn'!P5&amp;" &amp; "&amp;'WP16 Interconn'!O5</f>
        <v>WP16 Interconn Ln 7 Col O &amp; N</v>
      </c>
      <c r="J172" s="262"/>
      <c r="K172" s="43"/>
      <c r="L172" s="43"/>
      <c r="M172" s="43"/>
      <c r="O172" s="261"/>
      <c r="P172" s="261"/>
    </row>
    <row r="173" spans="1:17">
      <c r="A173" s="842">
        <f>+A168+1</f>
        <v>58</v>
      </c>
      <c r="B173" s="267"/>
      <c r="C173" s="905" t="str">
        <f>+"Total "&amp;C168</f>
        <v>Total Excluded Transmission Facilities</v>
      </c>
      <c r="D173" s="262">
        <f>SUM(D169:D172)</f>
        <v>350615885.1284616</v>
      </c>
      <c r="E173" s="520"/>
      <c r="F173" s="520">
        <f>SUM(F169:F172)</f>
        <v>365809546.90000004</v>
      </c>
      <c r="G173" s="520"/>
      <c r="H173" s="520"/>
      <c r="I173" s="830" t="str">
        <f>+"Sum Ln "&amp;A168&amp;" Subparts"</f>
        <v>Sum Ln 57 Subparts</v>
      </c>
      <c r="K173" s="43"/>
      <c r="L173" s="43"/>
      <c r="M173" s="43"/>
      <c r="O173" s="261"/>
      <c r="P173" s="261"/>
    </row>
    <row r="174" spans="1:17">
      <c r="B174" s="261"/>
      <c r="C174" s="261"/>
      <c r="D174" s="261"/>
      <c r="E174" s="261"/>
      <c r="F174" s="261"/>
      <c r="G174" s="261"/>
      <c r="H174" s="261"/>
      <c r="I174" s="217"/>
      <c r="J174" s="262"/>
      <c r="K174" s="43"/>
      <c r="L174" s="43"/>
      <c r="M174" s="43"/>
      <c r="O174" s="261"/>
      <c r="P174" s="261"/>
    </row>
    <row r="175" spans="1:17">
      <c r="A175" s="564" t="s">
        <v>124</v>
      </c>
      <c r="B175" s="79"/>
      <c r="C175" s="609"/>
      <c r="D175" s="602"/>
      <c r="E175" s="601"/>
      <c r="F175" s="601"/>
      <c r="G175" s="601"/>
      <c r="H175" s="601"/>
      <c r="I175" s="686"/>
      <c r="J175" s="262"/>
      <c r="K175" s="43"/>
      <c r="L175" s="43"/>
      <c r="M175" s="43"/>
      <c r="O175" s="261"/>
      <c r="P175" s="261"/>
    </row>
    <row r="176" spans="1:17" ht="40.200000000000003" customHeight="1">
      <c r="A176" s="1003" t="s">
        <v>167</v>
      </c>
      <c r="B176" s="1970" t="s">
        <v>1102</v>
      </c>
      <c r="C176" s="1970"/>
      <c r="D176" s="1970"/>
      <c r="E176" s="1970"/>
      <c r="F176" s="1970"/>
      <c r="G176" s="1970"/>
      <c r="H176" s="1970"/>
      <c r="I176" s="1970"/>
      <c r="J176" s="945"/>
      <c r="O176" s="261"/>
      <c r="P176" s="261"/>
    </row>
    <row r="177" spans="1:17" ht="27" customHeight="1">
      <c r="A177" s="1144" t="s">
        <v>319</v>
      </c>
      <c r="B177" s="1961" t="s">
        <v>941</v>
      </c>
      <c r="C177" s="1961"/>
      <c r="D177" s="1961"/>
      <c r="E177" s="1961"/>
      <c r="F177" s="1961"/>
      <c r="G177" s="1961"/>
      <c r="H177" s="1961"/>
      <c r="I177" s="1961"/>
      <c r="J177" s="945"/>
      <c r="O177" s="261"/>
      <c r="P177" s="261"/>
    </row>
    <row r="178" spans="1:17">
      <c r="A178" s="1144" t="s">
        <v>320</v>
      </c>
      <c r="B178" s="1969" t="str">
        <f>+"See Appendix A Note "&amp;'Appendix A'!A329</f>
        <v>See Appendix A Note X</v>
      </c>
      <c r="C178" s="1969"/>
      <c r="D178" s="908"/>
      <c r="E178" s="539"/>
      <c r="F178" s="539"/>
      <c r="G178" s="539"/>
      <c r="H178" s="539"/>
      <c r="I178" s="1145"/>
    </row>
    <row r="179" spans="1:17" ht="28.2" customHeight="1">
      <c r="A179" s="1144" t="s">
        <v>321</v>
      </c>
      <c r="B179" s="1968" t="s">
        <v>1083</v>
      </c>
      <c r="C179" s="1968"/>
      <c r="D179" s="1968"/>
      <c r="E179" s="1968"/>
      <c r="F179" s="1968"/>
      <c r="G179" s="1968"/>
      <c r="H179" s="1968"/>
      <c r="I179" s="1968"/>
    </row>
    <row r="180" spans="1:17" ht="67.2" customHeight="1">
      <c r="A180" s="1144" t="s">
        <v>322</v>
      </c>
      <c r="B180" s="1965" t="s">
        <v>862</v>
      </c>
      <c r="C180" s="1965"/>
      <c r="D180" s="1965"/>
      <c r="E180" s="1965"/>
      <c r="F180" s="1965"/>
      <c r="G180" s="1965"/>
      <c r="H180" s="1965"/>
      <c r="I180" s="1965"/>
      <c r="J180" s="1134"/>
      <c r="K180" s="1134"/>
      <c r="L180" s="1134"/>
      <c r="M180" s="1134"/>
      <c r="N180" s="1134"/>
      <c r="O180" s="1134"/>
      <c r="P180" s="1134"/>
      <c r="Q180" s="1134"/>
    </row>
    <row r="181" spans="1:17">
      <c r="B181" s="1965"/>
      <c r="C181" s="1965"/>
      <c r="D181" s="1965"/>
      <c r="E181" s="1965"/>
      <c r="F181" s="1965"/>
      <c r="G181" s="1965"/>
      <c r="H181" s="1965"/>
      <c r="I181" s="1965"/>
      <c r="J181" s="1965"/>
      <c r="K181" s="1965"/>
      <c r="L181" s="1965"/>
      <c r="M181" s="1965"/>
      <c r="N181" s="1965"/>
      <c r="O181" s="1965"/>
      <c r="P181" s="1965"/>
      <c r="Q181" s="1965"/>
    </row>
    <row r="182" spans="1:17">
      <c r="B182" s="1966"/>
      <c r="C182" s="1966"/>
      <c r="D182" s="1966"/>
      <c r="E182" s="1966"/>
      <c r="F182" s="1966"/>
      <c r="G182" s="1966"/>
      <c r="H182" s="1966"/>
      <c r="I182" s="1966"/>
      <c r="J182" s="1966"/>
      <c r="K182" s="1966"/>
      <c r="L182" s="1966"/>
      <c r="M182" s="1966"/>
      <c r="N182" s="1966"/>
      <c r="O182" s="1966"/>
      <c r="P182" s="1966"/>
      <c r="Q182" s="1966"/>
    </row>
    <row r="183" spans="1:17" ht="14.4">
      <c r="B183" s="1967"/>
      <c r="C183" s="1967"/>
      <c r="D183" s="1967"/>
      <c r="E183" s="1967"/>
      <c r="F183" s="1967"/>
      <c r="G183" s="1967"/>
      <c r="H183" s="1967"/>
      <c r="I183" s="1967"/>
      <c r="J183" s="1967"/>
      <c r="K183" s="1967"/>
      <c r="L183" s="1967"/>
      <c r="M183" s="1967"/>
      <c r="N183" s="1967"/>
      <c r="O183" s="1967"/>
      <c r="P183" s="1967"/>
      <c r="Q183" s="1967"/>
    </row>
  </sheetData>
  <mergeCells count="12">
    <mergeCell ref="A1:I1"/>
    <mergeCell ref="B177:I177"/>
    <mergeCell ref="B181:Q181"/>
    <mergeCell ref="B182:Q182"/>
    <mergeCell ref="B183:Q183"/>
    <mergeCell ref="B180:I180"/>
    <mergeCell ref="B179:I179"/>
    <mergeCell ref="B178:C178"/>
    <mergeCell ref="B176:I176"/>
    <mergeCell ref="A3:I3"/>
    <mergeCell ref="A2:I2"/>
    <mergeCell ref="J159:L159"/>
  </mergeCells>
  <printOptions horizontalCentered="1"/>
  <pageMargins left="0.7" right="0.7" top="0.7" bottom="0.7" header="0.3" footer="0.5"/>
  <pageSetup scale="69" fitToHeight="0" orientation="landscape" r:id="rId1"/>
  <headerFooter>
    <oddFooter>&amp;R&amp;A</oddFooter>
  </headerFooter>
  <rowBreaks count="3" manualBreakCount="3">
    <brk id="56" max="8" man="1"/>
    <brk id="103" max="8" man="1"/>
    <brk id="151" max="8" man="1"/>
  </rowBreaks>
  <ignoredErrors>
    <ignoredError sqref="A176:A18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37"/>
  <sheetViews>
    <sheetView workbookViewId="0">
      <selection activeCell="A21" sqref="A21"/>
    </sheetView>
  </sheetViews>
  <sheetFormatPr defaultColWidth="8.88671875" defaultRowHeight="13.2"/>
  <cols>
    <col min="1" max="1" width="6.44140625" style="42" bestFit="1" customWidth="1"/>
    <col min="2" max="2" width="33.44140625" style="42" customWidth="1"/>
    <col min="3" max="3" width="14.88671875" style="249" customWidth="1"/>
    <col min="4" max="4" width="26.33203125" style="749" customWidth="1"/>
    <col min="5" max="5" width="10.88671875" style="42" customWidth="1"/>
    <col min="6" max="6" width="18.109375" style="41" customWidth="1"/>
    <col min="7" max="7" width="20.33203125" style="41" customWidth="1"/>
    <col min="8" max="8" width="8.88671875" style="41"/>
    <col min="9" max="9" width="21.109375" style="41" customWidth="1"/>
    <col min="10" max="10" width="19.109375" style="41" customWidth="1"/>
    <col min="11" max="20" width="8.88671875" style="41"/>
    <col min="21" max="16384" width="8.88671875" style="42"/>
  </cols>
  <sheetData>
    <row r="1" spans="1:20">
      <c r="A1" s="1972" t="str">
        <f>+'MISO Cover'!C6</f>
        <v>Entergy Louisiana, LLC</v>
      </c>
      <c r="B1" s="1972"/>
      <c r="C1" s="1972"/>
      <c r="D1" s="1972"/>
      <c r="E1" s="180"/>
      <c r="F1" s="557"/>
      <c r="G1" s="557"/>
      <c r="H1" s="557"/>
      <c r="I1" s="557"/>
      <c r="J1" s="557"/>
    </row>
    <row r="2" spans="1:20" s="515" customFormat="1">
      <c r="A2" s="1974" t="s">
        <v>670</v>
      </c>
      <c r="B2" s="1974"/>
      <c r="C2" s="1974"/>
      <c r="D2" s="1974"/>
      <c r="E2" s="504"/>
      <c r="F2" s="847"/>
      <c r="G2" s="177"/>
      <c r="H2" s="177"/>
      <c r="I2" s="177"/>
      <c r="J2" s="177"/>
      <c r="K2" s="177"/>
      <c r="L2" s="177"/>
      <c r="M2" s="177"/>
      <c r="N2" s="177"/>
      <c r="O2" s="177"/>
      <c r="P2" s="177"/>
      <c r="Q2" s="177"/>
      <c r="R2" s="177"/>
      <c r="S2" s="177"/>
      <c r="T2" s="177"/>
    </row>
    <row r="3" spans="1:20">
      <c r="A3" s="1973" t="str">
        <f>+'MISO Cover'!K4</f>
        <v>For  the 12 Months Ended 12/31/2016</v>
      </c>
      <c r="B3" s="1973"/>
      <c r="C3" s="1973"/>
      <c r="D3" s="1973"/>
      <c r="E3" s="505"/>
      <c r="F3" s="848"/>
      <c r="G3" s="1684"/>
    </row>
    <row r="4" spans="1:20">
      <c r="A4" s="748"/>
      <c r="B4" s="748"/>
      <c r="C4" s="748"/>
      <c r="D4" s="748"/>
      <c r="E4" s="748"/>
      <c r="F4" s="848"/>
      <c r="G4" s="1684"/>
    </row>
    <row r="5" spans="1:20">
      <c r="B5" s="495" t="s">
        <v>67</v>
      </c>
      <c r="C5" s="496" t="s">
        <v>114</v>
      </c>
      <c r="D5" s="495" t="s">
        <v>55</v>
      </c>
      <c r="E5" s="495"/>
      <c r="F5" s="831"/>
      <c r="G5" s="1851"/>
      <c r="H5" s="1851"/>
      <c r="I5" s="1851"/>
      <c r="J5" s="1851"/>
    </row>
    <row r="6" spans="1:20" s="497" customFormat="1">
      <c r="A6" s="497" t="s">
        <v>279</v>
      </c>
      <c r="B6" s="1469" t="s">
        <v>112</v>
      </c>
      <c r="C6" s="1470" t="s">
        <v>126</v>
      </c>
      <c r="D6" s="1470" t="s">
        <v>139</v>
      </c>
      <c r="E6" s="498"/>
      <c r="F6" s="849"/>
      <c r="G6" s="1855"/>
      <c r="H6" s="1852"/>
      <c r="I6" s="1852"/>
      <c r="J6" s="1852"/>
      <c r="K6" s="1852"/>
      <c r="L6" s="1852"/>
      <c r="M6" s="1852"/>
      <c r="N6" s="1852"/>
      <c r="O6" s="1852"/>
      <c r="P6" s="1852"/>
      <c r="Q6" s="1852"/>
      <c r="R6" s="1852"/>
      <c r="S6" s="1852"/>
      <c r="T6" s="1852"/>
    </row>
    <row r="7" spans="1:20">
      <c r="A7" s="202">
        <v>1</v>
      </c>
      <c r="B7" s="502" t="s">
        <v>63</v>
      </c>
      <c r="C7" s="496"/>
      <c r="D7" s="500"/>
      <c r="E7" s="500"/>
      <c r="F7" s="850"/>
      <c r="G7" s="1874"/>
      <c r="H7" s="1851"/>
      <c r="I7" s="1851"/>
      <c r="J7" s="1851"/>
    </row>
    <row r="8" spans="1:20">
      <c r="A8" s="202">
        <f>+A7+0.1</f>
        <v>1.1000000000000001</v>
      </c>
      <c r="B8" s="499" t="s">
        <v>207</v>
      </c>
      <c r="C8" s="501">
        <v>5463090.2399999788</v>
      </c>
      <c r="D8" s="690" t="s">
        <v>614</v>
      </c>
      <c r="E8" s="1747" t="s">
        <v>1907</v>
      </c>
      <c r="F8" s="850"/>
      <c r="G8" s="1874"/>
      <c r="H8" s="1851"/>
      <c r="I8" s="1851"/>
      <c r="J8" s="1851"/>
    </row>
    <row r="9" spans="1:20">
      <c r="A9" s="202">
        <f>+A8+0.1</f>
        <v>1.2000000000000002</v>
      </c>
      <c r="B9" s="642" t="s">
        <v>208</v>
      </c>
      <c r="C9" s="643">
        <v>10728255.66</v>
      </c>
      <c r="D9" s="690" t="s">
        <v>743</v>
      </c>
      <c r="E9" s="688" t="s">
        <v>1908</v>
      </c>
      <c r="F9" s="850"/>
      <c r="G9" s="1874"/>
      <c r="H9" s="1851"/>
      <c r="I9" s="1851"/>
      <c r="J9" s="1851"/>
    </row>
    <row r="10" spans="1:20">
      <c r="A10" s="202">
        <f>+A7+1</f>
        <v>2</v>
      </c>
      <c r="B10" s="941" t="s">
        <v>113</v>
      </c>
      <c r="C10" s="942">
        <f>+C8+C9</f>
        <v>16191345.89999998</v>
      </c>
      <c r="D10" s="943" t="str">
        <f>+"Sum Ln "&amp;A7&amp;" Subparts"</f>
        <v>Sum Ln 1 Subparts</v>
      </c>
    </row>
    <row r="11" spans="1:20">
      <c r="A11" s="202">
        <f>+A10+1</f>
        <v>3</v>
      </c>
      <c r="D11" s="566"/>
    </row>
    <row r="12" spans="1:20">
      <c r="A12" s="202">
        <f>+A11+1</f>
        <v>4</v>
      </c>
      <c r="B12" s="502" t="s">
        <v>64</v>
      </c>
      <c r="D12" s="566"/>
    </row>
    <row r="13" spans="1:20">
      <c r="A13" s="202">
        <f>+A12+0.01</f>
        <v>4.01</v>
      </c>
      <c r="B13" s="499" t="s">
        <v>207</v>
      </c>
      <c r="C13" s="204">
        <v>69384870.699999973</v>
      </c>
      <c r="D13" s="690" t="s">
        <v>615</v>
      </c>
      <c r="E13" s="42" t="s">
        <v>1909</v>
      </c>
    </row>
    <row r="14" spans="1:20">
      <c r="A14" s="202">
        <f t="shared" ref="A14:A24" si="0">+A13+0.01</f>
        <v>4.0199999999999996</v>
      </c>
      <c r="B14" s="42" t="s">
        <v>209</v>
      </c>
      <c r="C14" s="204">
        <v>14450523.749999998</v>
      </c>
      <c r="D14" s="690" t="s">
        <v>743</v>
      </c>
      <c r="E14" s="688" t="s">
        <v>1910</v>
      </c>
    </row>
    <row r="15" spans="1:20">
      <c r="A15" s="202">
        <f t="shared" si="0"/>
        <v>4.0299999999999994</v>
      </c>
      <c r="B15" s="42" t="s">
        <v>210</v>
      </c>
      <c r="C15" s="77">
        <f>+C9</f>
        <v>10728255.66</v>
      </c>
      <c r="D15" s="690" t="str">
        <f>+"Line "&amp;A9</f>
        <v>Line 1.2</v>
      </c>
    </row>
    <row r="16" spans="1:20">
      <c r="A16" s="202">
        <f t="shared" si="0"/>
        <v>4.0399999999999991</v>
      </c>
      <c r="B16" s="42" t="s">
        <v>211</v>
      </c>
      <c r="C16" s="204">
        <v>0</v>
      </c>
      <c r="D16" s="690" t="s">
        <v>743</v>
      </c>
      <c r="E16" s="42" t="s">
        <v>1918</v>
      </c>
    </row>
    <row r="17" spans="1:10">
      <c r="A17" s="202">
        <f t="shared" si="0"/>
        <v>4.0499999999999989</v>
      </c>
      <c r="B17" s="42" t="s">
        <v>212</v>
      </c>
      <c r="C17" s="204">
        <v>6175611.290000001</v>
      </c>
      <c r="D17" s="690" t="s">
        <v>743</v>
      </c>
      <c r="E17" s="42" t="s">
        <v>1911</v>
      </c>
    </row>
    <row r="18" spans="1:10">
      <c r="A18" s="202">
        <f t="shared" si="0"/>
        <v>4.0599999999999987</v>
      </c>
      <c r="B18" s="42" t="s">
        <v>213</v>
      </c>
      <c r="C18" s="204">
        <v>8098348.2400000012</v>
      </c>
      <c r="D18" s="690" t="s">
        <v>743</v>
      </c>
      <c r="E18" s="688" t="s">
        <v>1912</v>
      </c>
    </row>
    <row r="19" spans="1:10">
      <c r="A19" s="202">
        <f t="shared" si="0"/>
        <v>4.0699999999999985</v>
      </c>
      <c r="B19" s="42" t="s">
        <v>214</v>
      </c>
      <c r="C19" s="204">
        <v>1068140.2399999998</v>
      </c>
      <c r="D19" s="690" t="s">
        <v>743</v>
      </c>
      <c r="E19" s="688" t="s">
        <v>1913</v>
      </c>
    </row>
    <row r="20" spans="1:10">
      <c r="A20" s="202">
        <f t="shared" si="0"/>
        <v>4.0799999999999983</v>
      </c>
      <c r="B20" s="42" t="s">
        <v>215</v>
      </c>
      <c r="C20" s="204">
        <v>273683.04000000004</v>
      </c>
      <c r="D20" s="690" t="s">
        <v>743</v>
      </c>
      <c r="E20" s="688" t="s">
        <v>1914</v>
      </c>
      <c r="G20" s="1874"/>
    </row>
    <row r="21" spans="1:10">
      <c r="A21" s="202">
        <f t="shared" si="0"/>
        <v>4.0899999999999981</v>
      </c>
      <c r="B21" s="42" t="s">
        <v>276</v>
      </c>
      <c r="C21" s="204">
        <v>43593158.74000001</v>
      </c>
      <c r="D21" s="690" t="s">
        <v>743</v>
      </c>
      <c r="E21" s="688" t="s">
        <v>1915</v>
      </c>
    </row>
    <row r="22" spans="1:10">
      <c r="A22" s="866">
        <f t="shared" si="0"/>
        <v>4.0999999999999979</v>
      </c>
      <c r="B22" s="42" t="s">
        <v>216</v>
      </c>
      <c r="C22" s="204">
        <v>121650520.26300004</v>
      </c>
      <c r="D22" s="690" t="s">
        <v>743</v>
      </c>
      <c r="E22" s="688" t="s">
        <v>1916</v>
      </c>
      <c r="F22" s="850"/>
      <c r="H22" s="1851"/>
      <c r="I22" s="1851"/>
      <c r="J22" s="1851"/>
    </row>
    <row r="23" spans="1:10">
      <c r="A23" s="866">
        <f t="shared" si="0"/>
        <v>4.1099999999999977</v>
      </c>
      <c r="B23" s="42" t="s">
        <v>217</v>
      </c>
      <c r="C23" s="204">
        <v>6390770.2399999974</v>
      </c>
      <c r="D23" s="690" t="s">
        <v>743</v>
      </c>
      <c r="E23" s="688" t="s">
        <v>1917</v>
      </c>
      <c r="F23" s="850"/>
      <c r="G23" s="1874"/>
      <c r="H23" s="1851"/>
      <c r="I23" s="1851"/>
      <c r="J23" s="1851"/>
    </row>
    <row r="24" spans="1:10">
      <c r="A24" s="1255">
        <f t="shared" si="0"/>
        <v>4.1199999999999974</v>
      </c>
      <c r="B24" s="767" t="s">
        <v>936</v>
      </c>
      <c r="C24" s="204"/>
      <c r="D24" s="690"/>
      <c r="E24" s="500"/>
      <c r="F24" s="850"/>
      <c r="G24" s="1874"/>
      <c r="H24" s="1851"/>
      <c r="I24" s="1851"/>
      <c r="J24" s="1851"/>
    </row>
    <row r="25" spans="1:10">
      <c r="A25" s="1255" t="s">
        <v>927</v>
      </c>
      <c r="B25" s="767" t="s">
        <v>936</v>
      </c>
      <c r="C25" s="204"/>
      <c r="D25" s="690"/>
      <c r="E25" s="500"/>
      <c r="F25" s="850"/>
      <c r="G25" s="1874"/>
      <c r="H25" s="1851"/>
      <c r="I25" s="1851"/>
      <c r="J25" s="1851"/>
    </row>
    <row r="26" spans="1:10">
      <c r="A26" s="1255" t="s">
        <v>928</v>
      </c>
      <c r="B26" s="1247" t="s">
        <v>936</v>
      </c>
      <c r="C26" s="257"/>
      <c r="D26" s="690"/>
      <c r="E26" s="500"/>
      <c r="F26" s="850"/>
      <c r="G26" s="1874"/>
      <c r="H26" s="1851"/>
      <c r="I26" s="1851"/>
      <c r="J26" s="1851"/>
    </row>
    <row r="27" spans="1:10">
      <c r="A27" s="202">
        <f>+A12+1</f>
        <v>5</v>
      </c>
      <c r="B27" s="941" t="s">
        <v>9</v>
      </c>
      <c r="C27" s="77">
        <f>SUM(C13:C26)</f>
        <v>281813882.16299999</v>
      </c>
      <c r="D27" s="943" t="str">
        <f>+"Sum Ln "&amp;A12&amp;" Subparts"</f>
        <v>Sum Ln 4 Subparts</v>
      </c>
    </row>
    <row r="28" spans="1:10">
      <c r="A28" s="202">
        <f>+A27+1</f>
        <v>6</v>
      </c>
      <c r="D28" s="277"/>
    </row>
    <row r="29" spans="1:10">
      <c r="A29" s="202">
        <f>+A28+1</f>
        <v>7</v>
      </c>
      <c r="B29" s="503" t="s">
        <v>506</v>
      </c>
      <c r="D29" s="277"/>
    </row>
    <row r="30" spans="1:10">
      <c r="A30" s="202">
        <f>+A29+0.1</f>
        <v>7.1</v>
      </c>
      <c r="B30" s="499" t="s">
        <v>207</v>
      </c>
      <c r="C30" s="204">
        <v>6632721.209999999</v>
      </c>
      <c r="D30" s="690" t="s">
        <v>616</v>
      </c>
      <c r="E30" s="688" t="s">
        <v>1919</v>
      </c>
    </row>
    <row r="31" spans="1:10">
      <c r="A31" s="202">
        <f>+A30+0.1</f>
        <v>7.1999999999999993</v>
      </c>
      <c r="B31" s="42" t="s">
        <v>276</v>
      </c>
      <c r="C31" s="77">
        <f>+C21</f>
        <v>43593158.74000001</v>
      </c>
      <c r="D31" s="690" t="str">
        <f>+"Line "&amp;A21</f>
        <v>Line 4.09</v>
      </c>
    </row>
    <row r="32" spans="1:10">
      <c r="A32" s="202">
        <f>+A31+0.1</f>
        <v>7.2999999999999989</v>
      </c>
      <c r="B32" s="548" t="s">
        <v>217</v>
      </c>
      <c r="C32" s="558">
        <f>+C23</f>
        <v>6390770.2399999974</v>
      </c>
      <c r="D32" s="690" t="str">
        <f>+"Line "&amp;A23</f>
        <v>Line 4.11</v>
      </c>
    </row>
    <row r="33" spans="1:4">
      <c r="A33" s="202">
        <f>+A29+1</f>
        <v>8</v>
      </c>
      <c r="B33" s="941" t="str">
        <f>+"Total "&amp;B29</f>
        <v>Total A&amp;G Wages Expense</v>
      </c>
      <c r="C33" s="942">
        <f>SUM(C30:C32)</f>
        <v>56616650.190000005</v>
      </c>
      <c r="D33" s="943" t="str">
        <f>+"Sum Ln "&amp;A29&amp;" Subparts"</f>
        <v>Sum Ln 7 Subparts</v>
      </c>
    </row>
    <row r="34" spans="1:4">
      <c r="A34" s="749"/>
    </row>
    <row r="35" spans="1:4">
      <c r="A35" s="41" t="s">
        <v>298</v>
      </c>
      <c r="B35" s="41"/>
    </row>
    <row r="36" spans="1:4">
      <c r="A36" s="223" t="s">
        <v>167</v>
      </c>
      <c r="B36" s="41" t="s">
        <v>523</v>
      </c>
    </row>
    <row r="37" spans="1:4">
      <c r="A37" s="749"/>
    </row>
  </sheetData>
  <mergeCells count="3">
    <mergeCell ref="A1:D1"/>
    <mergeCell ref="A3:D3"/>
    <mergeCell ref="A2:D2"/>
  </mergeCells>
  <printOptions horizontalCentered="1"/>
  <pageMargins left="0.5" right="0.5" top="0.5" bottom="0.75" header="0.3" footer="0.5"/>
  <pageSetup orientation="portrait"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2"/>
  <sheetViews>
    <sheetView zoomScaleNormal="100" zoomScaleSheetLayoutView="75" workbookViewId="0">
      <selection sqref="A1:L1"/>
    </sheetView>
  </sheetViews>
  <sheetFormatPr defaultColWidth="8.88671875" defaultRowHeight="13.2"/>
  <cols>
    <col min="1" max="1" width="6.44140625" style="515" customWidth="1"/>
    <col min="2" max="2" width="9.44140625" style="515" customWidth="1"/>
    <col min="3" max="3" width="12.44140625" style="515" bestFit="1" customWidth="1"/>
    <col min="4" max="4" width="16.44140625" style="515" bestFit="1" customWidth="1"/>
    <col min="5" max="5" width="12.44140625" style="515" bestFit="1" customWidth="1"/>
    <col min="6" max="6" width="17.109375" style="249" customWidth="1"/>
    <col min="7" max="7" width="14.109375" style="249" bestFit="1" customWidth="1"/>
    <col min="8" max="8" width="11.44140625" style="515" bestFit="1" customWidth="1"/>
    <col min="9" max="9" width="12.33203125" style="515" bestFit="1" customWidth="1"/>
    <col min="10" max="10" width="14.33203125" style="515" customWidth="1"/>
    <col min="11" max="11" width="12.44140625" style="515" bestFit="1" customWidth="1"/>
    <col min="12" max="12" width="15.88671875" style="515" bestFit="1" customWidth="1"/>
    <col min="13" max="13" width="14.33203125" style="177" customWidth="1"/>
    <col min="14" max="14" width="11" style="177" bestFit="1" customWidth="1"/>
    <col min="15" max="19" width="8.88671875" style="177"/>
    <col min="20" max="26" width="8.88671875" style="515"/>
    <col min="27" max="27" width="11.5546875" style="515" customWidth="1"/>
    <col min="28" max="16384" width="8.88671875" style="515"/>
  </cols>
  <sheetData>
    <row r="1" spans="1:19">
      <c r="A1" s="1964" t="str">
        <f>+'MISO Cover'!C6</f>
        <v>Entergy Louisiana, LLC</v>
      </c>
      <c r="B1" s="1964"/>
      <c r="C1" s="1964"/>
      <c r="D1" s="1964"/>
      <c r="E1" s="1964"/>
      <c r="F1" s="1964"/>
      <c r="G1" s="1964"/>
      <c r="H1" s="1964"/>
      <c r="I1" s="1964"/>
      <c r="J1" s="1964"/>
      <c r="K1" s="1964"/>
      <c r="L1" s="1964"/>
    </row>
    <row r="2" spans="1:19">
      <c r="A2" s="1976" t="s">
        <v>1840</v>
      </c>
      <c r="B2" s="1976"/>
      <c r="C2" s="1976"/>
      <c r="D2" s="1976"/>
      <c r="E2" s="1976"/>
      <c r="F2" s="1976"/>
      <c r="G2" s="1976"/>
      <c r="H2" s="1976"/>
      <c r="I2" s="1976"/>
      <c r="J2" s="1976"/>
      <c r="K2" s="1976"/>
      <c r="L2" s="1976"/>
      <c r="M2" s="262" t="s">
        <v>1810</v>
      </c>
    </row>
    <row r="3" spans="1:19">
      <c r="A3" s="1977" t="str">
        <f>+'MISO Cover'!K4</f>
        <v>For  the 12 Months Ended 12/31/2016</v>
      </c>
      <c r="B3" s="1977"/>
      <c r="C3" s="1977"/>
      <c r="D3" s="1977"/>
      <c r="E3" s="1977"/>
      <c r="F3" s="1977"/>
      <c r="G3" s="1977"/>
      <c r="H3" s="1977"/>
      <c r="I3" s="1977"/>
      <c r="J3" s="1977"/>
      <c r="K3" s="1977"/>
      <c r="L3" s="1977"/>
    </row>
    <row r="4" spans="1:19">
      <c r="A4" s="525"/>
      <c r="B4" s="525"/>
      <c r="C4" s="525"/>
      <c r="D4" s="525"/>
      <c r="E4" s="525"/>
    </row>
    <row r="5" spans="1:19" s="530" customFormat="1">
      <c r="A5" s="630" t="s">
        <v>279</v>
      </c>
      <c r="B5" s="613" t="s">
        <v>67</v>
      </c>
      <c r="C5" s="613" t="s">
        <v>114</v>
      </c>
      <c r="D5" s="630" t="s">
        <v>55</v>
      </c>
      <c r="E5" s="630" t="s">
        <v>68</v>
      </c>
      <c r="F5" s="630" t="s">
        <v>66</v>
      </c>
      <c r="G5" s="630" t="s">
        <v>154</v>
      </c>
      <c r="H5" s="630" t="s">
        <v>69</v>
      </c>
      <c r="I5" s="630" t="s">
        <v>166</v>
      </c>
      <c r="J5" s="630" t="s">
        <v>59</v>
      </c>
      <c r="K5" s="631" t="s">
        <v>60</v>
      </c>
      <c r="L5" s="631" t="s">
        <v>71</v>
      </c>
      <c r="M5" s="1875"/>
      <c r="N5" s="1875"/>
      <c r="O5" s="1875"/>
      <c r="P5" s="1875"/>
      <c r="Q5" s="1875"/>
      <c r="R5" s="1875"/>
      <c r="S5" s="1875"/>
    </row>
    <row r="6" spans="1:19" s="530" customFormat="1" ht="15.6" customHeight="1">
      <c r="A6" s="706">
        <v>1</v>
      </c>
      <c r="B6" s="632" t="s">
        <v>744</v>
      </c>
      <c r="C6" s="613"/>
      <c r="D6" s="630"/>
      <c r="E6" s="630"/>
      <c r="F6" s="613" t="s">
        <v>540</v>
      </c>
      <c r="G6" s="630"/>
      <c r="H6" s="630"/>
      <c r="I6" s="630"/>
      <c r="J6" s="630"/>
      <c r="K6" s="631"/>
      <c r="L6" s="694" t="s">
        <v>559</v>
      </c>
      <c r="M6" s="1875"/>
      <c r="N6" s="1875"/>
      <c r="O6" s="1875"/>
      <c r="P6" s="1875"/>
      <c r="Q6" s="1875"/>
      <c r="R6" s="1875"/>
      <c r="S6" s="1875"/>
    </row>
    <row r="7" spans="1:19" s="531" customFormat="1" ht="30" customHeight="1">
      <c r="A7" s="706">
        <f>+A6+1</f>
        <v>2</v>
      </c>
      <c r="B7" s="515"/>
      <c r="C7" s="569" t="s">
        <v>413</v>
      </c>
      <c r="D7" s="569" t="s">
        <v>539</v>
      </c>
      <c r="E7" s="1469" t="s">
        <v>453</v>
      </c>
      <c r="F7" s="1469" t="s">
        <v>412</v>
      </c>
      <c r="G7" s="1469" t="s">
        <v>135</v>
      </c>
      <c r="H7" s="1469" t="s">
        <v>454</v>
      </c>
      <c r="I7" s="1469" t="s">
        <v>264</v>
      </c>
      <c r="J7" s="1469" t="s">
        <v>20</v>
      </c>
      <c r="K7" s="1469" t="s">
        <v>189</v>
      </c>
      <c r="L7" s="1469" t="s">
        <v>113</v>
      </c>
      <c r="M7" s="1876"/>
      <c r="N7" s="1876"/>
      <c r="O7" s="1876"/>
      <c r="P7" s="1876"/>
      <c r="Q7" s="1876"/>
      <c r="R7" s="1876"/>
      <c r="S7" s="1876"/>
    </row>
    <row r="8" spans="1:19" s="527" customFormat="1">
      <c r="A8" s="706">
        <f>+A7+1</f>
        <v>3</v>
      </c>
      <c r="B8" s="522" t="s">
        <v>139</v>
      </c>
      <c r="C8" s="166" t="s">
        <v>531</v>
      </c>
      <c r="D8" s="166"/>
      <c r="E8" s="166"/>
      <c r="F8" s="166" t="s">
        <v>530</v>
      </c>
      <c r="G8" s="166" t="s">
        <v>532</v>
      </c>
      <c r="H8" s="166"/>
      <c r="I8" s="166"/>
      <c r="J8" s="166" t="s">
        <v>533</v>
      </c>
      <c r="K8" s="166" t="s">
        <v>534</v>
      </c>
      <c r="L8" s="523"/>
      <c r="M8" s="177"/>
      <c r="N8" s="177"/>
      <c r="O8" s="177"/>
      <c r="P8" s="177"/>
      <c r="Q8" s="177"/>
      <c r="R8" s="177"/>
      <c r="S8" s="177"/>
    </row>
    <row r="9" spans="1:19" s="523" customFormat="1">
      <c r="A9" s="706">
        <f t="shared" ref="A9:A20" si="0">+A8+1</f>
        <v>4</v>
      </c>
      <c r="B9" s="1354" t="s">
        <v>37</v>
      </c>
      <c r="C9" s="702">
        <v>546447659.79999995</v>
      </c>
      <c r="D9" s="702">
        <v>10201435188.52</v>
      </c>
      <c r="E9" s="702">
        <v>251760673.19</v>
      </c>
      <c r="F9" s="520">
        <f t="shared" ref="F9:F21" si="1">+D9+E9</f>
        <v>10453195861.710001</v>
      </c>
      <c r="G9" s="702">
        <v>2662838330.4000001</v>
      </c>
      <c r="H9" s="702">
        <v>55364170.469999999</v>
      </c>
      <c r="I9" s="702">
        <v>165268169.22999999</v>
      </c>
      <c r="J9" s="702">
        <v>3814716130.7199998</v>
      </c>
      <c r="K9" s="702">
        <v>238130027.58000001</v>
      </c>
      <c r="L9" s="524">
        <f>+C9+D9+G9+J9+K9</f>
        <v>17463567337.02</v>
      </c>
      <c r="M9" s="1877"/>
      <c r="N9" s="1877"/>
      <c r="O9" s="1877"/>
      <c r="P9" s="1877"/>
      <c r="Q9" s="1877"/>
      <c r="R9" s="1877"/>
      <c r="S9" s="1877"/>
    </row>
    <row r="10" spans="1:19">
      <c r="A10" s="706">
        <f t="shared" si="0"/>
        <v>5</v>
      </c>
      <c r="B10" s="1354" t="s">
        <v>27</v>
      </c>
      <c r="C10" s="702">
        <v>546414141.80999994</v>
      </c>
      <c r="D10" s="702">
        <v>10219251717.379999</v>
      </c>
      <c r="E10" s="702">
        <v>251760673.19</v>
      </c>
      <c r="F10" s="520">
        <f t="shared" si="1"/>
        <v>10471012390.57</v>
      </c>
      <c r="G10" s="702">
        <v>2672844381.5300002</v>
      </c>
      <c r="H10" s="702">
        <v>55364170.469999999</v>
      </c>
      <c r="I10" s="702">
        <v>165116559.56</v>
      </c>
      <c r="J10" s="702">
        <v>3795079527.02</v>
      </c>
      <c r="K10" s="702">
        <v>239582760.96000001</v>
      </c>
      <c r="L10" s="524">
        <f t="shared" ref="L10:L20" si="2">+C10+D10+G10+J10+K10</f>
        <v>17473172528.699997</v>
      </c>
    </row>
    <row r="11" spans="1:19">
      <c r="A11" s="706">
        <f t="shared" si="0"/>
        <v>6</v>
      </c>
      <c r="B11" s="1354" t="s">
        <v>28</v>
      </c>
      <c r="C11" s="702">
        <v>547114584.61000001</v>
      </c>
      <c r="D11" s="702">
        <v>10197134945.280001</v>
      </c>
      <c r="E11" s="702">
        <v>251760673.19</v>
      </c>
      <c r="F11" s="520">
        <f t="shared" si="1"/>
        <v>10448895618.470001</v>
      </c>
      <c r="G11" s="702">
        <v>2674199499.5700002</v>
      </c>
      <c r="H11" s="702">
        <v>55364170.469999999</v>
      </c>
      <c r="I11" s="702">
        <v>165024125.44999999</v>
      </c>
      <c r="J11" s="702">
        <v>3805372677.6399999</v>
      </c>
      <c r="K11" s="702">
        <v>240592867.93000001</v>
      </c>
      <c r="L11" s="524">
        <f t="shared" si="2"/>
        <v>17464414575.030003</v>
      </c>
    </row>
    <row r="12" spans="1:19">
      <c r="A12" s="706">
        <f t="shared" si="0"/>
        <v>7</v>
      </c>
      <c r="B12" s="1354" t="s">
        <v>29</v>
      </c>
      <c r="C12" s="702">
        <v>547280769.40999997</v>
      </c>
      <c r="D12" s="702">
        <v>10781021046.879999</v>
      </c>
      <c r="E12" s="702">
        <v>251760673.19</v>
      </c>
      <c r="F12" s="520">
        <f t="shared" si="1"/>
        <v>11032781720.07</v>
      </c>
      <c r="G12" s="702">
        <v>2743265359.3499999</v>
      </c>
      <c r="H12" s="702">
        <v>78357465.849999994</v>
      </c>
      <c r="I12" s="702">
        <v>165023882.59</v>
      </c>
      <c r="J12" s="702">
        <v>3854934490.8200002</v>
      </c>
      <c r="K12" s="702">
        <v>242499615.94999999</v>
      </c>
      <c r="L12" s="524">
        <f t="shared" si="2"/>
        <v>18169001282.41</v>
      </c>
    </row>
    <row r="13" spans="1:19">
      <c r="A13" s="706">
        <f t="shared" si="0"/>
        <v>8</v>
      </c>
      <c r="B13" s="1354" t="s">
        <v>30</v>
      </c>
      <c r="C13" s="702">
        <v>564035430.83000004</v>
      </c>
      <c r="D13" s="702">
        <v>10791251584.709999</v>
      </c>
      <c r="E13" s="702">
        <v>251760673.19</v>
      </c>
      <c r="F13" s="520">
        <f t="shared" si="1"/>
        <v>11043012257.9</v>
      </c>
      <c r="G13" s="702">
        <v>2787457673.0500002</v>
      </c>
      <c r="H13" s="702">
        <v>97048786.080000013</v>
      </c>
      <c r="I13" s="702">
        <v>165024886.09</v>
      </c>
      <c r="J13" s="702">
        <v>3871204145.4499998</v>
      </c>
      <c r="K13" s="702">
        <v>245632863.78</v>
      </c>
      <c r="L13" s="524">
        <f t="shared" si="2"/>
        <v>18259581697.82</v>
      </c>
    </row>
    <row r="14" spans="1:19">
      <c r="A14" s="706">
        <f t="shared" si="0"/>
        <v>9</v>
      </c>
      <c r="B14" s="1354" t="s">
        <v>26</v>
      </c>
      <c r="C14" s="702">
        <v>568060653.95000005</v>
      </c>
      <c r="D14" s="702">
        <v>11123118764.709999</v>
      </c>
      <c r="E14" s="702">
        <v>263361340.52000001</v>
      </c>
      <c r="F14" s="520">
        <f t="shared" si="1"/>
        <v>11386480105.23</v>
      </c>
      <c r="G14" s="702">
        <v>2803980184.0599999</v>
      </c>
      <c r="H14" s="702">
        <v>97048429.310000002</v>
      </c>
      <c r="I14" s="702">
        <v>165023888.41999999</v>
      </c>
      <c r="J14" s="702">
        <v>3887040293.23</v>
      </c>
      <c r="K14" s="702">
        <v>245849118.31999999</v>
      </c>
      <c r="L14" s="524">
        <f t="shared" si="2"/>
        <v>18628049014.27</v>
      </c>
    </row>
    <row r="15" spans="1:19">
      <c r="A15" s="706">
        <f t="shared" si="0"/>
        <v>10</v>
      </c>
      <c r="B15" s="1354" t="s">
        <v>31</v>
      </c>
      <c r="C15" s="702">
        <v>572109512.38</v>
      </c>
      <c r="D15" s="702">
        <v>11125531191.15</v>
      </c>
      <c r="E15" s="702">
        <v>263361340.52000001</v>
      </c>
      <c r="F15" s="520">
        <f t="shared" si="1"/>
        <v>11388892531.67</v>
      </c>
      <c r="G15" s="702">
        <v>2814925536.3299999</v>
      </c>
      <c r="H15" s="702">
        <v>97433119.110000014</v>
      </c>
      <c r="I15" s="702">
        <v>165035159.11000001</v>
      </c>
      <c r="J15" s="702">
        <v>3902363521.46</v>
      </c>
      <c r="K15" s="702">
        <v>246141492.90000001</v>
      </c>
      <c r="L15" s="524">
        <f t="shared" si="2"/>
        <v>18661071254.220001</v>
      </c>
    </row>
    <row r="16" spans="1:19">
      <c r="A16" s="706">
        <f t="shared" si="0"/>
        <v>11</v>
      </c>
      <c r="B16" s="1354" t="s">
        <v>32</v>
      </c>
      <c r="C16" s="702">
        <v>574347395.89999998</v>
      </c>
      <c r="D16" s="702">
        <v>11124114640.65</v>
      </c>
      <c r="E16" s="702">
        <v>263361340.52000001</v>
      </c>
      <c r="F16" s="520">
        <f t="shared" si="1"/>
        <v>11387475981.17</v>
      </c>
      <c r="G16" s="702">
        <v>2817571415.04</v>
      </c>
      <c r="H16" s="702">
        <v>97433830.610000014</v>
      </c>
      <c r="I16" s="702">
        <v>165028597.59999999</v>
      </c>
      <c r="J16" s="702">
        <v>3914991218.3400002</v>
      </c>
      <c r="K16" s="702">
        <v>245829281.87</v>
      </c>
      <c r="L16" s="524">
        <f t="shared" si="2"/>
        <v>18676853951.799999</v>
      </c>
    </row>
    <row r="17" spans="1:19">
      <c r="A17" s="706">
        <f t="shared" si="0"/>
        <v>12</v>
      </c>
      <c r="B17" s="1354" t="s">
        <v>33</v>
      </c>
      <c r="C17" s="702">
        <v>576810121.59000003</v>
      </c>
      <c r="D17" s="702">
        <v>11123848292.83</v>
      </c>
      <c r="E17" s="702">
        <v>263361340.52000001</v>
      </c>
      <c r="F17" s="520">
        <f t="shared" si="1"/>
        <v>11387209633.35</v>
      </c>
      <c r="G17" s="702">
        <v>2836964526.77</v>
      </c>
      <c r="H17" s="702">
        <v>97433830.610000014</v>
      </c>
      <c r="I17" s="702">
        <v>165026917.81999999</v>
      </c>
      <c r="J17" s="702">
        <v>4032054237.8299999</v>
      </c>
      <c r="K17" s="702">
        <v>247759256.96000001</v>
      </c>
      <c r="L17" s="524">
        <f t="shared" si="2"/>
        <v>18817436435.98</v>
      </c>
    </row>
    <row r="18" spans="1:19">
      <c r="A18" s="706">
        <f t="shared" si="0"/>
        <v>13</v>
      </c>
      <c r="B18" s="1354" t="s">
        <v>34</v>
      </c>
      <c r="C18" s="702">
        <v>578525237.87</v>
      </c>
      <c r="D18" s="702">
        <v>11084791415.959999</v>
      </c>
      <c r="E18" s="702">
        <v>263361340.52000001</v>
      </c>
      <c r="F18" s="520">
        <f t="shared" si="1"/>
        <v>11348152756.48</v>
      </c>
      <c r="G18" s="702">
        <v>2844131042.04</v>
      </c>
      <c r="H18" s="702">
        <v>96888033.200000018</v>
      </c>
      <c r="I18" s="702">
        <v>165024056.40000001</v>
      </c>
      <c r="J18" s="702">
        <v>4051595651.6599998</v>
      </c>
      <c r="K18" s="702">
        <v>248398826.75</v>
      </c>
      <c r="L18" s="524">
        <f t="shared" si="2"/>
        <v>18807442174.279999</v>
      </c>
    </row>
    <row r="19" spans="1:19">
      <c r="A19" s="706">
        <f t="shared" si="0"/>
        <v>14</v>
      </c>
      <c r="B19" s="1354" t="s">
        <v>35</v>
      </c>
      <c r="C19" s="702">
        <v>579708324.20000005</v>
      </c>
      <c r="D19" s="702">
        <v>11087118241.68</v>
      </c>
      <c r="E19" s="702">
        <v>263361340.52000001</v>
      </c>
      <c r="F19" s="520">
        <f t="shared" si="1"/>
        <v>11350479582.200001</v>
      </c>
      <c r="G19" s="702">
        <v>2861213628.27</v>
      </c>
      <c r="H19" s="702">
        <v>96857214.069999993</v>
      </c>
      <c r="I19" s="702">
        <v>165024056.40000001</v>
      </c>
      <c r="J19" s="702">
        <v>4070700842.9499998</v>
      </c>
      <c r="K19" s="702">
        <v>248708658.00999999</v>
      </c>
      <c r="L19" s="524">
        <f t="shared" si="2"/>
        <v>18847449695.110001</v>
      </c>
    </row>
    <row r="20" spans="1:19">
      <c r="A20" s="706">
        <f t="shared" si="0"/>
        <v>15</v>
      </c>
      <c r="B20" s="1354" t="s">
        <v>36</v>
      </c>
      <c r="C20" s="702">
        <v>579891847.96000004</v>
      </c>
      <c r="D20" s="702">
        <v>10881518127.610001</v>
      </c>
      <c r="E20" s="702">
        <v>263361340.52000001</v>
      </c>
      <c r="F20" s="520">
        <f t="shared" si="1"/>
        <v>11144879468.130001</v>
      </c>
      <c r="G20" s="702">
        <v>2876791637.8000002</v>
      </c>
      <c r="H20" s="702">
        <v>96834373.620000005</v>
      </c>
      <c r="I20" s="702">
        <v>165024056.40000001</v>
      </c>
      <c r="J20" s="702">
        <v>4088540050.7800002</v>
      </c>
      <c r="K20" s="702">
        <v>249371921.86000001</v>
      </c>
      <c r="L20" s="524">
        <f t="shared" si="2"/>
        <v>18676113586.009998</v>
      </c>
    </row>
    <row r="21" spans="1:19">
      <c r="A21" s="706">
        <f t="shared" ref="A21:A28" si="3">+A20+1</f>
        <v>16</v>
      </c>
      <c r="B21" s="1354" t="s">
        <v>37</v>
      </c>
      <c r="C21" s="702">
        <v>587666302.80999994</v>
      </c>
      <c r="D21" s="702">
        <v>10864868271.48</v>
      </c>
      <c r="E21" s="702">
        <v>263361340.52000001</v>
      </c>
      <c r="F21" s="520">
        <f t="shared" si="1"/>
        <v>11128229612</v>
      </c>
      <c r="G21" s="702">
        <v>2945924806.4499998</v>
      </c>
      <c r="H21" s="702">
        <v>95268933.069999993</v>
      </c>
      <c r="I21" s="702">
        <v>165024056.40000001</v>
      </c>
      <c r="J21" s="702">
        <v>3949906177.5700002</v>
      </c>
      <c r="K21" s="702">
        <v>247973271.18000001</v>
      </c>
      <c r="L21" s="524">
        <f>+C21+D21+G21+J21+K21</f>
        <v>18596338829.489998</v>
      </c>
    </row>
    <row r="22" spans="1:19">
      <c r="A22" s="706">
        <f t="shared" si="3"/>
        <v>17</v>
      </c>
      <c r="B22" s="528" t="s">
        <v>139</v>
      </c>
      <c r="C22" s="166" t="s">
        <v>498</v>
      </c>
      <c r="D22" s="166"/>
      <c r="E22" s="166"/>
      <c r="F22" s="166" t="s">
        <v>541</v>
      </c>
      <c r="G22" s="1460" t="s">
        <v>1065</v>
      </c>
      <c r="H22" s="1460"/>
      <c r="I22" s="166"/>
      <c r="J22" s="166" t="s">
        <v>536</v>
      </c>
      <c r="K22" s="166" t="s">
        <v>535</v>
      </c>
      <c r="L22" s="523"/>
    </row>
    <row r="23" spans="1:19" s="523" customFormat="1">
      <c r="A23" s="706">
        <f t="shared" si="3"/>
        <v>18</v>
      </c>
      <c r="B23" s="528" t="s">
        <v>414</v>
      </c>
      <c r="C23" s="1355">
        <f>SUM(C9:C21)/13</f>
        <v>566800921.77846146</v>
      </c>
      <c r="D23" s="1355">
        <f t="shared" ref="D23:L23" si="4">SUM(D9:D21)/13</f>
        <v>10815769494.526152</v>
      </c>
      <c r="E23" s="1355">
        <f t="shared" si="4"/>
        <v>258899545.39307693</v>
      </c>
      <c r="F23" s="1355">
        <f t="shared" si="4"/>
        <v>11074669039.919231</v>
      </c>
      <c r="G23" s="1355">
        <f t="shared" si="4"/>
        <v>2795546770.8200002</v>
      </c>
      <c r="H23" s="1355">
        <f t="shared" si="4"/>
        <v>85899732.841538489</v>
      </c>
      <c r="I23" s="1355">
        <f t="shared" si="4"/>
        <v>165051416.26692307</v>
      </c>
      <c r="J23" s="1355">
        <f t="shared" si="4"/>
        <v>3926038381.9592304</v>
      </c>
      <c r="K23" s="1355">
        <f t="shared" si="4"/>
        <v>245113074.15769231</v>
      </c>
      <c r="L23" s="1355">
        <f t="shared" si="4"/>
        <v>18349268643.241539</v>
      </c>
      <c r="M23" s="1877"/>
      <c r="N23" s="177"/>
      <c r="O23" s="1877"/>
      <c r="P23" s="1877"/>
      <c r="Q23" s="1877"/>
      <c r="R23" s="1877"/>
      <c r="S23" s="1877"/>
    </row>
    <row r="24" spans="1:19">
      <c r="A24" s="706">
        <f t="shared" si="3"/>
        <v>19</v>
      </c>
      <c r="B24" s="529"/>
      <c r="F24" s="515"/>
      <c r="G24" s="515"/>
    </row>
    <row r="25" spans="1:19">
      <c r="A25" s="706">
        <f t="shared" si="3"/>
        <v>20</v>
      </c>
      <c r="B25" s="529"/>
      <c r="F25" s="515"/>
      <c r="G25" s="515"/>
    </row>
    <row r="26" spans="1:19">
      <c r="A26" s="706">
        <f t="shared" si="3"/>
        <v>21</v>
      </c>
      <c r="B26" s="632" t="s">
        <v>1841</v>
      </c>
      <c r="C26" s="633"/>
      <c r="D26" s="634"/>
      <c r="E26" s="634"/>
      <c r="F26" s="634"/>
      <c r="G26" s="634"/>
      <c r="H26" s="634"/>
      <c r="I26" s="634"/>
      <c r="J26" s="634"/>
      <c r="K26" s="531"/>
      <c r="L26" s="531"/>
      <c r="M26" s="262" t="s">
        <v>1810</v>
      </c>
    </row>
    <row r="27" spans="1:19" s="531" customFormat="1" ht="30" customHeight="1">
      <c r="A27" s="706">
        <f t="shared" si="3"/>
        <v>22</v>
      </c>
      <c r="B27" s="515"/>
      <c r="C27" s="569" t="s">
        <v>413</v>
      </c>
      <c r="D27" s="569" t="s">
        <v>539</v>
      </c>
      <c r="E27" s="1469" t="s">
        <v>453</v>
      </c>
      <c r="F27" s="1469" t="s">
        <v>412</v>
      </c>
      <c r="G27" s="1469" t="s">
        <v>135</v>
      </c>
      <c r="H27" s="1469" t="s">
        <v>454</v>
      </c>
      <c r="I27" s="1469" t="s">
        <v>264</v>
      </c>
      <c r="J27" s="1469" t="s">
        <v>20</v>
      </c>
      <c r="K27" s="1469" t="s">
        <v>189</v>
      </c>
      <c r="L27" s="1469" t="s">
        <v>113</v>
      </c>
      <c r="M27" s="1876"/>
      <c r="N27" s="177"/>
      <c r="O27" s="1876"/>
      <c r="P27" s="1876"/>
      <c r="Q27" s="1876"/>
      <c r="R27" s="1876"/>
      <c r="S27" s="1876"/>
    </row>
    <row r="28" spans="1:19" ht="14.4">
      <c r="A28" s="706">
        <f t="shared" si="3"/>
        <v>23</v>
      </c>
      <c r="B28" s="526" t="str">
        <f>+B9</f>
        <v>Dec</v>
      </c>
      <c r="C28" s="702">
        <v>428582074</v>
      </c>
      <c r="D28" s="702">
        <v>5486690990</v>
      </c>
      <c r="E28" s="702">
        <v>92794272</v>
      </c>
      <c r="F28" s="520">
        <f t="shared" ref="F28:F40" si="5">+D28+E28</f>
        <v>5579485262</v>
      </c>
      <c r="G28" s="702">
        <v>1016320221</v>
      </c>
      <c r="H28" s="702">
        <v>21820148</v>
      </c>
      <c r="I28" s="702">
        <v>21898144</v>
      </c>
      <c r="J28" s="702">
        <v>1336036954</v>
      </c>
      <c r="K28" s="702">
        <v>-52278591</v>
      </c>
      <c r="L28" s="524">
        <f t="shared" ref="L28:L39" si="6">+C28+D28+G28+J28+K28</f>
        <v>8215351648</v>
      </c>
      <c r="M28" s="1878"/>
    </row>
    <row r="29" spans="1:19">
      <c r="A29" s="706">
        <f t="shared" ref="A29:A42" si="7">+A28+1</f>
        <v>24</v>
      </c>
      <c r="B29" s="526" t="str">
        <f t="shared" ref="B29:B40" si="8">+B10</f>
        <v>Jan</v>
      </c>
      <c r="C29" s="702">
        <v>425855350</v>
      </c>
      <c r="D29" s="702">
        <v>5502101056</v>
      </c>
      <c r="E29" s="702">
        <v>93229208</v>
      </c>
      <c r="F29" s="520">
        <f t="shared" si="5"/>
        <v>5595330264</v>
      </c>
      <c r="G29" s="702">
        <v>1019236338</v>
      </c>
      <c r="H29" s="702">
        <v>23208436</v>
      </c>
      <c r="I29" s="702">
        <v>22269590.699999999</v>
      </c>
      <c r="J29" s="702">
        <v>1343340031</v>
      </c>
      <c r="K29" s="702">
        <v>80947622</v>
      </c>
      <c r="L29" s="524">
        <f t="shared" si="6"/>
        <v>8371480397</v>
      </c>
    </row>
    <row r="30" spans="1:19">
      <c r="A30" s="706">
        <f t="shared" si="7"/>
        <v>25</v>
      </c>
      <c r="B30" s="526" t="str">
        <f t="shared" si="8"/>
        <v>Feb</v>
      </c>
      <c r="C30" s="702">
        <v>427740922</v>
      </c>
      <c r="D30" s="702">
        <v>5465653913</v>
      </c>
      <c r="E30" s="702">
        <v>93664143</v>
      </c>
      <c r="F30" s="520">
        <f t="shared" si="5"/>
        <v>5559318056</v>
      </c>
      <c r="G30" s="702">
        <v>1019988389</v>
      </c>
      <c r="H30" s="702">
        <v>23208436</v>
      </c>
      <c r="I30" s="702">
        <v>22525658.559999999</v>
      </c>
      <c r="J30" s="702">
        <v>1344866669</v>
      </c>
      <c r="K30" s="702">
        <v>81678643</v>
      </c>
      <c r="L30" s="524">
        <f t="shared" si="6"/>
        <v>8339928536</v>
      </c>
    </row>
    <row r="31" spans="1:19">
      <c r="A31" s="706">
        <f t="shared" si="7"/>
        <v>26</v>
      </c>
      <c r="B31" s="526" t="str">
        <f t="shared" si="8"/>
        <v>Mar</v>
      </c>
      <c r="C31" s="702">
        <v>429627747</v>
      </c>
      <c r="D31" s="702">
        <v>5654005011</v>
      </c>
      <c r="E31" s="702">
        <v>94099079</v>
      </c>
      <c r="F31" s="520">
        <f t="shared" si="5"/>
        <v>5748104090</v>
      </c>
      <c r="G31" s="702">
        <v>1020720989</v>
      </c>
      <c r="H31" s="702">
        <v>23208436</v>
      </c>
      <c r="I31" s="702">
        <v>22883345.84</v>
      </c>
      <c r="J31" s="702">
        <v>1350156376</v>
      </c>
      <c r="K31" s="702">
        <v>82479629</v>
      </c>
      <c r="L31" s="524">
        <f t="shared" si="6"/>
        <v>8536989752</v>
      </c>
    </row>
    <row r="32" spans="1:19">
      <c r="A32" s="706">
        <f t="shared" si="7"/>
        <v>27</v>
      </c>
      <c r="B32" s="526" t="str">
        <f t="shared" si="8"/>
        <v>Apr</v>
      </c>
      <c r="C32" s="702">
        <v>431438464</v>
      </c>
      <c r="D32" s="702">
        <v>5669254881</v>
      </c>
      <c r="E32" s="702">
        <v>94534015</v>
      </c>
      <c r="F32" s="520">
        <f t="shared" si="5"/>
        <v>5763788896</v>
      </c>
      <c r="G32" s="702">
        <v>1022798328</v>
      </c>
      <c r="H32" s="702">
        <v>23303032</v>
      </c>
      <c r="I32" s="702">
        <v>23253300.18</v>
      </c>
      <c r="J32" s="702">
        <v>1355635145</v>
      </c>
      <c r="K32" s="702">
        <v>83403335</v>
      </c>
      <c r="L32" s="524">
        <f t="shared" si="6"/>
        <v>8562530153</v>
      </c>
    </row>
    <row r="33" spans="1:19">
      <c r="A33" s="706">
        <f t="shared" si="7"/>
        <v>28</v>
      </c>
      <c r="B33" s="526" t="str">
        <f t="shared" si="8"/>
        <v>May</v>
      </c>
      <c r="C33" s="702">
        <v>433445555</v>
      </c>
      <c r="D33" s="702">
        <v>5832184398</v>
      </c>
      <c r="E33" s="702">
        <v>94968951</v>
      </c>
      <c r="F33" s="520">
        <f t="shared" si="5"/>
        <v>5927153349</v>
      </c>
      <c r="G33" s="702">
        <v>1023988479</v>
      </c>
      <c r="H33" s="702">
        <v>23421739</v>
      </c>
      <c r="I33" s="702">
        <v>23566540.550000001</v>
      </c>
      <c r="J33" s="702">
        <v>1362255807</v>
      </c>
      <c r="K33" s="702">
        <v>84194594</v>
      </c>
      <c r="L33" s="524">
        <f t="shared" si="6"/>
        <v>8736068833</v>
      </c>
    </row>
    <row r="34" spans="1:19">
      <c r="A34" s="706">
        <f t="shared" si="7"/>
        <v>29</v>
      </c>
      <c r="B34" s="526" t="str">
        <f t="shared" si="8"/>
        <v>Jun</v>
      </c>
      <c r="C34" s="702">
        <v>435512390</v>
      </c>
      <c r="D34" s="702">
        <v>5848090873</v>
      </c>
      <c r="E34" s="702">
        <v>95403887</v>
      </c>
      <c r="F34" s="520">
        <f t="shared" si="5"/>
        <v>5943494760</v>
      </c>
      <c r="G34" s="702">
        <v>1024837846</v>
      </c>
      <c r="H34" s="702">
        <v>23540445</v>
      </c>
      <c r="I34" s="702">
        <v>23929479.129999999</v>
      </c>
      <c r="J34" s="702">
        <v>1368953418</v>
      </c>
      <c r="K34" s="702">
        <v>84720057</v>
      </c>
      <c r="L34" s="524">
        <f t="shared" si="6"/>
        <v>8762114584</v>
      </c>
    </row>
    <row r="35" spans="1:19">
      <c r="A35" s="706">
        <f t="shared" si="7"/>
        <v>30</v>
      </c>
      <c r="B35" s="526" t="str">
        <f t="shared" si="8"/>
        <v>Jul</v>
      </c>
      <c r="C35" s="702">
        <v>437646278</v>
      </c>
      <c r="D35" s="702">
        <v>5859935606</v>
      </c>
      <c r="E35" s="702">
        <v>95838823</v>
      </c>
      <c r="F35" s="520">
        <f t="shared" si="5"/>
        <v>5955774429</v>
      </c>
      <c r="G35" s="702">
        <v>1025357726</v>
      </c>
      <c r="H35" s="702">
        <v>23659648</v>
      </c>
      <c r="I35" s="702">
        <v>24288477.23</v>
      </c>
      <c r="J35" s="702">
        <v>1375683137</v>
      </c>
      <c r="K35" s="702">
        <v>84646611</v>
      </c>
      <c r="L35" s="524">
        <f t="shared" si="6"/>
        <v>8783269358</v>
      </c>
    </row>
    <row r="36" spans="1:19">
      <c r="A36" s="706">
        <f t="shared" si="7"/>
        <v>31</v>
      </c>
      <c r="B36" s="526" t="str">
        <f t="shared" si="8"/>
        <v>Aug</v>
      </c>
      <c r="C36" s="702">
        <v>439816945</v>
      </c>
      <c r="D36" s="702">
        <v>5874192361</v>
      </c>
      <c r="E36" s="702">
        <v>96273759</v>
      </c>
      <c r="F36" s="520">
        <f t="shared" si="5"/>
        <v>5970466120</v>
      </c>
      <c r="G36" s="702">
        <v>1039890591</v>
      </c>
      <c r="H36" s="702">
        <v>23778852</v>
      </c>
      <c r="I36" s="702">
        <v>24868439.73</v>
      </c>
      <c r="J36" s="702">
        <v>1454583960</v>
      </c>
      <c r="K36" s="702">
        <v>85766054</v>
      </c>
      <c r="L36" s="524">
        <f t="shared" si="6"/>
        <v>8894249911</v>
      </c>
    </row>
    <row r="37" spans="1:19">
      <c r="A37" s="706">
        <f t="shared" si="7"/>
        <v>32</v>
      </c>
      <c r="B37" s="526" t="str">
        <f t="shared" si="8"/>
        <v>Sep</v>
      </c>
      <c r="C37" s="702">
        <v>442061071</v>
      </c>
      <c r="D37" s="702">
        <v>5885429076</v>
      </c>
      <c r="E37" s="702">
        <v>96708695</v>
      </c>
      <c r="F37" s="520">
        <f t="shared" si="5"/>
        <v>5982137771</v>
      </c>
      <c r="G37" s="702">
        <v>1043035594</v>
      </c>
      <c r="H37" s="702">
        <v>23898056</v>
      </c>
      <c r="I37" s="702">
        <v>25236518.77</v>
      </c>
      <c r="J37" s="702">
        <v>1460635550</v>
      </c>
      <c r="K37" s="702">
        <v>86194307</v>
      </c>
      <c r="L37" s="524">
        <f t="shared" si="6"/>
        <v>8917355598</v>
      </c>
    </row>
    <row r="38" spans="1:19">
      <c r="A38" s="706">
        <f t="shared" si="7"/>
        <v>33</v>
      </c>
      <c r="B38" s="526" t="str">
        <f t="shared" si="8"/>
        <v>Oct</v>
      </c>
      <c r="C38" s="702">
        <v>444274360</v>
      </c>
      <c r="D38" s="702">
        <v>5900979499</v>
      </c>
      <c r="E38" s="702">
        <v>97143631</v>
      </c>
      <c r="F38" s="520">
        <f t="shared" si="5"/>
        <v>5998123130</v>
      </c>
      <c r="G38" s="702">
        <v>1045563980</v>
      </c>
      <c r="H38" s="702">
        <v>23937315</v>
      </c>
      <c r="I38" s="702">
        <v>25456194.609999999</v>
      </c>
      <c r="J38" s="702">
        <v>1468637361</v>
      </c>
      <c r="K38" s="702">
        <v>85798581</v>
      </c>
      <c r="L38" s="524">
        <f t="shared" si="6"/>
        <v>8945253781</v>
      </c>
    </row>
    <row r="39" spans="1:19">
      <c r="A39" s="706">
        <f t="shared" si="7"/>
        <v>34</v>
      </c>
      <c r="B39" s="526" t="str">
        <f t="shared" si="8"/>
        <v>Nov</v>
      </c>
      <c r="C39" s="702">
        <v>446506950</v>
      </c>
      <c r="D39" s="702">
        <v>5690486794</v>
      </c>
      <c r="E39" s="702">
        <v>97578566</v>
      </c>
      <c r="F39" s="520">
        <f t="shared" si="5"/>
        <v>5788065360</v>
      </c>
      <c r="G39" s="702">
        <v>1047068633</v>
      </c>
      <c r="H39" s="702">
        <v>23997548</v>
      </c>
      <c r="I39" s="702">
        <v>25977495.870000001</v>
      </c>
      <c r="J39" s="702">
        <v>1476884984</v>
      </c>
      <c r="K39" s="702">
        <v>94852642.999999985</v>
      </c>
      <c r="L39" s="524">
        <f t="shared" si="6"/>
        <v>8755800004</v>
      </c>
      <c r="M39" s="262"/>
    </row>
    <row r="40" spans="1:19">
      <c r="A40" s="706">
        <f t="shared" si="7"/>
        <v>35</v>
      </c>
      <c r="B40" s="526" t="str">
        <f t="shared" si="8"/>
        <v>Dec</v>
      </c>
      <c r="C40" s="702">
        <v>448770512</v>
      </c>
      <c r="D40" s="702">
        <v>5660527883</v>
      </c>
      <c r="E40" s="702">
        <v>98013502</v>
      </c>
      <c r="F40" s="520">
        <f t="shared" si="5"/>
        <v>5758541385</v>
      </c>
      <c r="G40" s="702">
        <v>1045526805</v>
      </c>
      <c r="H40" s="702">
        <v>22430663</v>
      </c>
      <c r="I40" s="702">
        <v>26266594.34</v>
      </c>
      <c r="J40" s="702">
        <v>1325651776</v>
      </c>
      <c r="K40" s="702">
        <v>87147621.000000015</v>
      </c>
      <c r="L40" s="521">
        <f>+C40+D40+G40+J40+K40</f>
        <v>8567624597</v>
      </c>
      <c r="M40" s="262"/>
    </row>
    <row r="41" spans="1:19" s="523" customFormat="1">
      <c r="A41" s="706">
        <f t="shared" si="7"/>
        <v>36</v>
      </c>
      <c r="B41" s="528" t="s">
        <v>139</v>
      </c>
      <c r="C41" s="1460"/>
      <c r="D41" s="1460"/>
      <c r="E41" s="1460"/>
      <c r="F41" s="1460"/>
      <c r="G41" s="1460"/>
      <c r="H41" s="1460"/>
      <c r="I41" s="1460"/>
      <c r="J41" s="1460"/>
      <c r="K41" s="1460"/>
      <c r="M41" s="262" t="s">
        <v>1838</v>
      </c>
      <c r="N41" s="177"/>
      <c r="O41" s="1877"/>
      <c r="P41" s="1877"/>
      <c r="Q41" s="1877"/>
      <c r="R41" s="1877"/>
      <c r="S41" s="1877"/>
    </row>
    <row r="42" spans="1:19">
      <c r="A42" s="706">
        <f t="shared" si="7"/>
        <v>37</v>
      </c>
      <c r="B42" s="528" t="s">
        <v>414</v>
      </c>
      <c r="C42" s="1355">
        <f>SUM(C28:C40)/13</f>
        <v>436252201.38461536</v>
      </c>
      <c r="D42" s="1355">
        <f t="shared" ref="D42:L42" si="9">SUM(D28:D40)/13</f>
        <v>5717656333.9230766</v>
      </c>
      <c r="E42" s="1355">
        <f t="shared" si="9"/>
        <v>95403887</v>
      </c>
      <c r="F42" s="1355">
        <f t="shared" si="9"/>
        <v>5813060220.9230766</v>
      </c>
      <c r="G42" s="1355">
        <f t="shared" si="9"/>
        <v>1030333378.3846154</v>
      </c>
      <c r="H42" s="1355">
        <f t="shared" si="9"/>
        <v>23339442.615384616</v>
      </c>
      <c r="I42" s="1355">
        <f t="shared" si="9"/>
        <v>24032290.73153846</v>
      </c>
      <c r="J42" s="1355">
        <f t="shared" si="9"/>
        <v>1386409320.6153846</v>
      </c>
      <c r="K42" s="1355">
        <f t="shared" si="9"/>
        <v>74580854.307692304</v>
      </c>
      <c r="L42" s="1355">
        <f t="shared" si="9"/>
        <v>8645232088.6153851</v>
      </c>
      <c r="M42" s="262" t="s">
        <v>1839</v>
      </c>
      <c r="O42" s="1877"/>
    </row>
    <row r="43" spans="1:19">
      <c r="A43" s="707"/>
      <c r="D43" s="519"/>
      <c r="E43" s="519"/>
      <c r="M43" s="1879"/>
    </row>
    <row r="44" spans="1:19">
      <c r="A44" s="515" t="s">
        <v>298</v>
      </c>
      <c r="D44" s="520"/>
      <c r="E44" s="520"/>
      <c r="M44" s="1880"/>
    </row>
    <row r="45" spans="1:19" ht="26.4" customHeight="1">
      <c r="A45" s="949" t="s">
        <v>167</v>
      </c>
      <c r="B45" s="1975" t="s">
        <v>537</v>
      </c>
      <c r="C45" s="1975"/>
      <c r="D45" s="1975"/>
      <c r="E45" s="1975"/>
      <c r="F45" s="1975"/>
      <c r="G45" s="1975"/>
      <c r="H45" s="1975"/>
      <c r="I45" s="1975"/>
      <c r="J45" s="1975"/>
      <c r="K45" s="1975"/>
      <c r="L45" s="1975"/>
    </row>
    <row r="46" spans="1:19" ht="27" customHeight="1">
      <c r="A46" s="837" t="s">
        <v>319</v>
      </c>
      <c r="B46" s="1978" t="s">
        <v>1754</v>
      </c>
      <c r="C46" s="1978"/>
      <c r="D46" s="1978"/>
      <c r="E46" s="1978"/>
      <c r="F46" s="1978"/>
      <c r="G46" s="1978"/>
      <c r="H46" s="1978"/>
      <c r="I46" s="1978"/>
      <c r="J46" s="1978"/>
      <c r="K46" s="1978"/>
      <c r="L46" s="1978"/>
      <c r="M46" s="262" t="s">
        <v>1837</v>
      </c>
    </row>
    <row r="47" spans="1:19">
      <c r="E47" s="520"/>
    </row>
    <row r="48" spans="1:19">
      <c r="E48" s="520"/>
    </row>
    <row r="49" spans="4:5">
      <c r="E49" s="519"/>
    </row>
    <row r="50" spans="4:5">
      <c r="E50" s="519"/>
    </row>
    <row r="51" spans="4:5">
      <c r="D51" s="519"/>
      <c r="E51" s="519"/>
    </row>
    <row r="52" spans="4:5">
      <c r="D52" s="519"/>
      <c r="E52" s="519"/>
    </row>
  </sheetData>
  <mergeCells count="5">
    <mergeCell ref="B45:L45"/>
    <mergeCell ref="A2:L2"/>
    <mergeCell ref="A1:L1"/>
    <mergeCell ref="A3:L3"/>
    <mergeCell ref="B46:L46"/>
  </mergeCells>
  <printOptions horizontalCentered="1"/>
  <pageMargins left="0.7" right="0.7" top="0.7" bottom="0.7" header="0.3" footer="0.5"/>
  <pageSetup scale="80"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53</vt:i4>
      </vt:variant>
    </vt:vector>
  </HeadingPairs>
  <TitlesOfParts>
    <vt:vector size="91" baseType="lpstr">
      <vt:lpstr>Explanatory Stmnts</vt:lpstr>
      <vt:lpstr>MISO Cover</vt:lpstr>
      <vt:lpstr>Appendix A</vt:lpstr>
      <vt:lpstr>App A Support</vt:lpstr>
      <vt:lpstr>WP01 True-Up</vt:lpstr>
      <vt:lpstr>WP01 TU Support</vt:lpstr>
      <vt:lpstr>WP02 Support</vt:lpstr>
      <vt:lpstr>WP03 W&amp;S</vt:lpstr>
      <vt:lpstr>WP04 PIS</vt:lpstr>
      <vt:lpstr>WP04 Support</vt:lpstr>
      <vt:lpstr>WP05 CapAds</vt:lpstr>
      <vt:lpstr>WP06 ADIT</vt:lpstr>
      <vt:lpstr>WP06 ADIT Support</vt:lpstr>
      <vt:lpstr>WP07 M&amp;S</vt:lpstr>
      <vt:lpstr>WP08 Prepay</vt:lpstr>
      <vt:lpstr>WP09 PHFU</vt:lpstr>
      <vt:lpstr>WP10 Storm</vt:lpstr>
      <vt:lpstr>WP11 Credits</vt:lpstr>
      <vt:lpstr>WP12 PBOP</vt:lpstr>
      <vt:lpstr>WP13 TOTI</vt:lpstr>
      <vt:lpstr>WP14 COC</vt:lpstr>
      <vt:lpstr>WP14 Support</vt:lpstr>
      <vt:lpstr>WP15 Radials</vt:lpstr>
      <vt:lpstr>WP16 Interconn</vt:lpstr>
      <vt:lpstr>WP17 Rev</vt:lpstr>
      <vt:lpstr>WP17 Rev Support</vt:lpstr>
      <vt:lpstr>WP18 Deprec</vt:lpstr>
      <vt:lpstr>WP 18 Depr Support </vt:lpstr>
      <vt:lpstr>WP19 Load</vt:lpstr>
      <vt:lpstr>WP20 Reserves</vt:lpstr>
      <vt:lpstr>WP21 Pension</vt:lpstr>
      <vt:lpstr>WP22 IT Adj</vt:lpstr>
      <vt:lpstr>WP AJ1 MISO</vt:lpstr>
      <vt:lpstr>WP AJ2 ITC</vt:lpstr>
      <vt:lpstr>WP AJ3 HCM</vt:lpstr>
      <vt:lpstr>WP AJ4 LA Merger</vt:lpstr>
      <vt:lpstr>WP AJ5 Acadia PB2</vt:lpstr>
      <vt:lpstr>WP AJ6 GPRD</vt:lpstr>
      <vt:lpstr>'MISO Cover'!CE</vt:lpstr>
      <vt:lpstr>GP</vt:lpstr>
      <vt:lpstr>NP</vt:lpstr>
      <vt:lpstr>'App A Support'!Print_Area</vt:lpstr>
      <vt:lpstr>'Appendix A'!Print_Area</vt:lpstr>
      <vt:lpstr>'Explanatory Stmnts'!Print_Area</vt:lpstr>
      <vt:lpstr>'MISO Cover'!Print_Area</vt:lpstr>
      <vt:lpstr>'WP 18 Depr Support '!Print_Area</vt:lpstr>
      <vt:lpstr>'WP AJ1 MISO'!Print_Area</vt:lpstr>
      <vt:lpstr>'WP AJ2 ITC'!Print_Area</vt:lpstr>
      <vt:lpstr>'WP AJ3 HCM'!Print_Area</vt:lpstr>
      <vt:lpstr>'WP AJ4 LA Merger'!Print_Area</vt:lpstr>
      <vt:lpstr>'WP AJ5 Acadia PB2'!Print_Area</vt:lpstr>
      <vt:lpstr>'WP AJ6 GPRD'!Print_Area</vt:lpstr>
      <vt:lpstr>'WP01 True-Up'!Print_Area</vt:lpstr>
      <vt:lpstr>'WP01 TU Support'!Print_Area</vt:lpstr>
      <vt:lpstr>'WP02 Support'!Print_Area</vt:lpstr>
      <vt:lpstr>'WP03 W&amp;S'!Print_Area</vt:lpstr>
      <vt:lpstr>'WP04 PIS'!Print_Area</vt:lpstr>
      <vt:lpstr>'WP04 Support'!Print_Area</vt:lpstr>
      <vt:lpstr>'WP05 CapAds'!Print_Area</vt:lpstr>
      <vt:lpstr>'WP06 ADIT'!Print_Area</vt:lpstr>
      <vt:lpstr>'WP06 ADIT Support'!Print_Area</vt:lpstr>
      <vt:lpstr>'WP07 M&amp;S'!Print_Area</vt:lpstr>
      <vt:lpstr>'WP08 Prepay'!Print_Area</vt:lpstr>
      <vt:lpstr>'WP09 PHFU'!Print_Area</vt:lpstr>
      <vt:lpstr>'WP10 Storm'!Print_Area</vt:lpstr>
      <vt:lpstr>'WP11 Credits'!Print_Area</vt:lpstr>
      <vt:lpstr>'WP12 PBOP'!Print_Area</vt:lpstr>
      <vt:lpstr>'WP13 TOTI'!Print_Area</vt:lpstr>
      <vt:lpstr>'WP14 COC'!Print_Area</vt:lpstr>
      <vt:lpstr>'WP15 Radials'!Print_Area</vt:lpstr>
      <vt:lpstr>'WP16 Interconn'!Print_Area</vt:lpstr>
      <vt:lpstr>'WP17 Rev'!Print_Area</vt:lpstr>
      <vt:lpstr>'WP17 Rev Support'!Print_Area</vt:lpstr>
      <vt:lpstr>'WP18 Deprec'!Print_Area</vt:lpstr>
      <vt:lpstr>'WP19 Load'!Print_Area</vt:lpstr>
      <vt:lpstr>'WP20 Reserves'!Print_Area</vt:lpstr>
      <vt:lpstr>'WP21 Pension'!Print_Area</vt:lpstr>
      <vt:lpstr>'Appendix A'!Print_Titles</vt:lpstr>
      <vt:lpstr>'WP AJ1 MISO'!Print_Titles</vt:lpstr>
      <vt:lpstr>'WP AJ2 ITC'!Print_Titles</vt:lpstr>
      <vt:lpstr>'WP01 True-Up'!Print_Titles</vt:lpstr>
      <vt:lpstr>'WP01 TU Support'!Print_Titles</vt:lpstr>
      <vt:lpstr>'WP02 Support'!Print_Titles</vt:lpstr>
      <vt:lpstr>'WP04 PIS'!Print_Titles</vt:lpstr>
      <vt:lpstr>'WP06 ADIT'!Print_Titles</vt:lpstr>
      <vt:lpstr>'WP08 Prepay'!Print_Titles</vt:lpstr>
      <vt:lpstr>'WP14 COC'!Print_Titles</vt:lpstr>
      <vt:lpstr>'WP15 Radials'!Print_Titles</vt:lpstr>
      <vt:lpstr>'WP20 Reserves'!Print_Titles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lsande2</cp:lastModifiedBy>
  <cp:lastPrinted>2017-06-08T23:57:17Z</cp:lastPrinted>
  <dcterms:created xsi:type="dcterms:W3CDTF">2004-01-21T20:42:01Z</dcterms:created>
  <dcterms:modified xsi:type="dcterms:W3CDTF">2017-06-09T15:29:23Z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y fmtid="{D5CDD505-2E9C-101B-9397-08002B2CF9AE}" pid="8" name="_ReviewingToolsShownOnce">
    <vt:lpwstr/>
  </property>
</Properties>
</file>