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1616" yWindow="1728" windowWidth="4548" windowHeight="3468" tabRatio="742" firstSheet="2" activeTab="2"/>
  </bookViews>
  <sheets>
    <sheet name="Explanatory Stmts" sheetId="102" r:id="rId1"/>
    <sheet name="MISO Cover" sheetId="88" r:id="rId2"/>
    <sheet name="Appendix A" sheetId="75" r:id="rId3"/>
    <sheet name="App A Support" sheetId="104" r:id="rId4"/>
    <sheet name="WP01 True-Up" sheetId="78" r:id="rId5"/>
    <sheet name="WP01 TU Support" sheetId="108" r:id="rId6"/>
    <sheet name="WP02 Support" sheetId="77" r:id="rId7"/>
    <sheet name="Support to WP02" sheetId="103" r:id="rId8"/>
    <sheet name="WP03 W&amp;S" sheetId="61" r:id="rId9"/>
    <sheet name="WP04 PIS" sheetId="62" r:id="rId10"/>
    <sheet name="WP04 Support" sheetId="110" r:id="rId11"/>
    <sheet name="WP05 CapAds" sheetId="84" r:id="rId12"/>
    <sheet name="WP06 ADIT" sheetId="2" r:id="rId13"/>
    <sheet name="WP06 ADIT Support" sheetId="105" r:id="rId14"/>
    <sheet name="WP07 M&amp;S" sheetId="91" r:id="rId15"/>
    <sheet name="WP08 Prepay" sheetId="73" r:id="rId16"/>
    <sheet name="WP09 PHFU" sheetId="58" r:id="rId17"/>
    <sheet name="WP10 Storm" sheetId="93" r:id="rId18"/>
    <sheet name="WP11 Credits" sheetId="60" r:id="rId19"/>
    <sheet name="WP12 PBOP" sheetId="57" r:id="rId20"/>
    <sheet name="WP13 TOTI" sheetId="49" r:id="rId21"/>
    <sheet name="WP14 COC" sheetId="44" r:id="rId22"/>
    <sheet name="WP14 Support" sheetId="109" r:id="rId23"/>
    <sheet name="WP15 Radials" sheetId="86" r:id="rId24"/>
    <sheet name="WP16 Interconn" sheetId="85" r:id="rId25"/>
    <sheet name="WP17 Rev" sheetId="51" r:id="rId26"/>
    <sheet name="WP17 Rev Support" sheetId="101" r:id="rId27"/>
    <sheet name="WP18 Deprec" sheetId="66" r:id="rId28"/>
    <sheet name="WP18 Depr Support" sheetId="111" r:id="rId29"/>
    <sheet name="WP19 Load" sheetId="67" r:id="rId30"/>
    <sheet name="WP20 Reserves" sheetId="74" r:id="rId31"/>
    <sheet name="WP21 Pension" sheetId="106" r:id="rId32"/>
    <sheet name="WP22 IT Adj" sheetId="107" r:id="rId33"/>
    <sheet name="WP AJ1 MISO" sheetId="55" r:id="rId34"/>
    <sheet name="WP AJ2 ITC" sheetId="56" r:id="rId35"/>
    <sheet name="WP AJ3 HCM" sheetId="87" r:id="rId36"/>
    <sheet name="WP AJ4 Ouachita" sheetId="95" r:id="rId37"/>
    <sheet name="WP AJ5 GPRD" sheetId="99"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0" localSheetId="21">'[1]Header Data'!#REF!</definedName>
    <definedName name="\0">#N/A</definedName>
    <definedName name="\1" localSheetId="11">'[1]Header Data'!#REF!</definedName>
    <definedName name="\1" localSheetId="16">'[1]Header Data'!#REF!</definedName>
    <definedName name="\1" localSheetId="28">'[1]Header Data'!#REF!</definedName>
    <definedName name="\1">'[1]Header Data'!#REF!</definedName>
    <definedName name="\b">#N/A</definedName>
    <definedName name="\c">#N/A</definedName>
    <definedName name="\d">#N/A</definedName>
    <definedName name="\E" localSheetId="1">#REF!</definedName>
    <definedName name="\E" localSheetId="9">#REF!</definedName>
    <definedName name="\E" localSheetId="11">#REF!</definedName>
    <definedName name="\E" localSheetId="20">#REF!</definedName>
    <definedName name="\E" localSheetId="25">#REF!</definedName>
    <definedName name="\E" localSheetId="28">#REF!</definedName>
    <definedName name="\E">#REF!</definedName>
    <definedName name="\f">#N/A</definedName>
    <definedName name="\m">#N/A</definedName>
    <definedName name="\p" localSheetId="1">#REF!</definedName>
    <definedName name="\p" localSheetId="11">#REF!</definedName>
    <definedName name="\p" localSheetId="28">#REF!</definedName>
    <definedName name="\p" localSheetId="29">#REF!</definedName>
    <definedName name="\p">#REF!</definedName>
    <definedName name="__123Graph_A" localSheetId="9" hidden="1">'[2]AL2 151'!#REF!</definedName>
    <definedName name="__123Graph_A" localSheetId="11" hidden="1">'[2]AL2 151'!#REF!</definedName>
    <definedName name="__123Graph_A" localSheetId="25" hidden="1">'[2]AL2 151'!#REF!</definedName>
    <definedName name="__123Graph_A" localSheetId="28" hidden="1">'[2]AL2 151'!#REF!</definedName>
    <definedName name="__123Graph_A" hidden="1">'[2]AL2 151'!#REF!</definedName>
    <definedName name="__123Graph_B" localSheetId="11" hidden="1">'[2]AL2 151'!#REF!</definedName>
    <definedName name="__123Graph_B" localSheetId="25" hidden="1">'[2]AL2 151'!#REF!</definedName>
    <definedName name="__123Graph_B" localSheetId="29" hidden="1">#REF!</definedName>
    <definedName name="__123Graph_B" hidden="1">'[2]AL2 151'!#REF!</definedName>
    <definedName name="__123Graph_C" localSheetId="11" hidden="1">'[2]AL2 151'!#REF!</definedName>
    <definedName name="__123Graph_C" hidden="1">'[2]AL2 151'!#REF!</definedName>
    <definedName name="__123Graph_D" localSheetId="11" hidden="1">'[2]AL2 151'!#REF!</definedName>
    <definedName name="__123Graph_D" hidden="1">'[2]AL2 151'!#REF!</definedName>
    <definedName name="__123Graph_E" localSheetId="11" hidden="1">'[2]AL2 151'!#REF!</definedName>
    <definedName name="__123Graph_E" hidden="1">'[2]AL2 151'!#REF!</definedName>
    <definedName name="__123Graph_F" localSheetId="11" hidden="1">'[2]AL2 151'!#REF!</definedName>
    <definedName name="__123Graph_F" hidden="1">'[2]AL2 151'!#REF!</definedName>
    <definedName name="__123Graph_X" localSheetId="11" hidden="1">'[2]AL2 151'!#REF!</definedName>
    <definedName name="__123Graph_X" hidden="1">'[2]AL2 151'!#REF!</definedName>
    <definedName name="__CPK1" localSheetId="1">#REF!</definedName>
    <definedName name="__CPK1" localSheetId="9">#REF!</definedName>
    <definedName name="__CPK1" localSheetId="11">#REF!</definedName>
    <definedName name="__CPK1" localSheetId="20">#REF!</definedName>
    <definedName name="__CPK1" localSheetId="25">#REF!</definedName>
    <definedName name="__CPK1" localSheetId="28">#REF!</definedName>
    <definedName name="__CPK1">#REF!</definedName>
    <definedName name="__CPK2" localSheetId="1">#REF!</definedName>
    <definedName name="__CPK2" localSheetId="9">#REF!</definedName>
    <definedName name="__CPK2" localSheetId="11">#REF!</definedName>
    <definedName name="__CPK2" localSheetId="20">#REF!</definedName>
    <definedName name="__CPK2" localSheetId="25">#REF!</definedName>
    <definedName name="__CPK2" localSheetId="28">#REF!</definedName>
    <definedName name="__CPK2">#REF!</definedName>
    <definedName name="__CPK3" localSheetId="1">#REF!</definedName>
    <definedName name="__CPK3" localSheetId="9">#REF!</definedName>
    <definedName name="__CPK3" localSheetId="11">#REF!</definedName>
    <definedName name="__CPK3" localSheetId="20">#REF!</definedName>
    <definedName name="__CPK3" localSheetId="25">#REF!</definedName>
    <definedName name="__CPK3" localSheetId="28">#REF!</definedName>
    <definedName name="__CPK3">#REF!</definedName>
    <definedName name="__EGR1">#N/A</definedName>
    <definedName name="__EGR2">#N/A</definedName>
    <definedName name="__EGR3">#N/A</definedName>
    <definedName name="__tet12" localSheetId="1" hidden="1">{"assumptions",#N/A,FALSE,"Scenario 1";"valuation",#N/A,FALSE,"Scenario 1"}</definedName>
    <definedName name="__tet12" localSheetId="9" hidden="1">{"assumptions",#N/A,FALSE,"Scenario 1";"valuation",#N/A,FALSE,"Scenario 1"}</definedName>
    <definedName name="__tet12" localSheetId="16" hidden="1">{"assumptions",#N/A,FALSE,"Scenario 1";"valuation",#N/A,FALSE,"Scenario 1"}</definedName>
    <definedName name="__tet12" localSheetId="28" hidden="1">{"assumptions",#N/A,FALSE,"Scenario 1";"valuation",#N/A,FALSE,"Scenario 1"}</definedName>
    <definedName name="__tet12" localSheetId="29" hidden="1">{"assumptions",#N/A,FALSE,"Scenario 1";"valuation",#N/A,FALSE,"Scenario 1"}</definedName>
    <definedName name="__tet12" hidden="1">{"assumptions",#N/A,FALSE,"Scenario 1";"valuation",#N/A,FALSE,"Scenario 1"}</definedName>
    <definedName name="__tet5" localSheetId="1" hidden="1">{"assumptions",#N/A,FALSE,"Scenario 1";"valuation",#N/A,FALSE,"Scenario 1"}</definedName>
    <definedName name="__tet5" localSheetId="9" hidden="1">{"assumptions",#N/A,FALSE,"Scenario 1";"valuation",#N/A,FALSE,"Scenario 1"}</definedName>
    <definedName name="__tet5" localSheetId="16" hidden="1">{"assumptions",#N/A,FALSE,"Scenario 1";"valuation",#N/A,FALSE,"Scenario 1"}</definedName>
    <definedName name="__tet5" localSheetId="28" hidden="1">{"assumptions",#N/A,FALSE,"Scenario 1";"valuation",#N/A,FALSE,"Scenario 1"}</definedName>
    <definedName name="__tet5" localSheetId="29" hidden="1">{"assumptions",#N/A,FALSE,"Scenario 1";"valuation",#N/A,FALSE,"Scenario 1"}</definedName>
    <definedName name="__tet5" hidden="1">{"assumptions",#N/A,FALSE,"Scenario 1";"valuation",#N/A,FALSE,"Scenario 1"}</definedName>
    <definedName name="_123Graph_B.1" localSheetId="1" hidden="1">#REF!</definedName>
    <definedName name="_123Graph_B.1" localSheetId="11" hidden="1">#REF!</definedName>
    <definedName name="_123Graph_B.1" localSheetId="28" hidden="1">#REF!</definedName>
    <definedName name="_123Graph_B.1" hidden="1">#REF!</definedName>
    <definedName name="_cp_text_1_402" localSheetId="2">'Appendix A'!$J$315</definedName>
    <definedName name="_CPK1" localSheetId="1">#REF!</definedName>
    <definedName name="_CPK1" localSheetId="9">#REF!</definedName>
    <definedName name="_CPK1" localSheetId="11">#REF!</definedName>
    <definedName name="_CPK1" localSheetId="20">#REF!</definedName>
    <definedName name="_CPK1" localSheetId="25">#REF!</definedName>
    <definedName name="_CPK1" localSheetId="28">#REF!</definedName>
    <definedName name="_CPK1">#REF!</definedName>
    <definedName name="_CPK2" localSheetId="1">#REF!</definedName>
    <definedName name="_CPK2" localSheetId="9">#REF!</definedName>
    <definedName name="_CPK2" localSheetId="11">#REF!</definedName>
    <definedName name="_CPK2" localSheetId="20">#REF!</definedName>
    <definedName name="_CPK2" localSheetId="25">#REF!</definedName>
    <definedName name="_CPK2" localSheetId="28">#REF!</definedName>
    <definedName name="_CPK2">#REF!</definedName>
    <definedName name="_CPK3" localSheetId="1">#REF!</definedName>
    <definedName name="_CPK3" localSheetId="9">#REF!</definedName>
    <definedName name="_CPK3" localSheetId="11">#REF!</definedName>
    <definedName name="_CPK3" localSheetId="20">#REF!</definedName>
    <definedName name="_CPK3" localSheetId="25">#REF!</definedName>
    <definedName name="_CPK3" localSheetId="28">#REF!</definedName>
    <definedName name="_CPK3">#REF!</definedName>
    <definedName name="_Dist_Bin" localSheetId="1" hidden="1">#REF!</definedName>
    <definedName name="_Dist_Bin" localSheetId="11" hidden="1">#REF!</definedName>
    <definedName name="_Dist_Bin" localSheetId="28" hidden="1">#REF!</definedName>
    <definedName name="_Dist_Bin" localSheetId="29" hidden="1">#REF!</definedName>
    <definedName name="_Dist_Bin" hidden="1">#REF!</definedName>
    <definedName name="_Dist_Values" localSheetId="1" hidden="1">#REF!</definedName>
    <definedName name="_Dist_Values" localSheetId="11" hidden="1">#REF!</definedName>
    <definedName name="_Dist_Values" localSheetId="28" hidden="1">#REF!</definedName>
    <definedName name="_Dist_Values" localSheetId="29" hidden="1">#REF!</definedName>
    <definedName name="_Dist_Values" hidden="1">#REF!</definedName>
    <definedName name="_EGR1">#N/A</definedName>
    <definedName name="_EGR2">#N/A</definedName>
    <definedName name="_EGR3">#N/A</definedName>
    <definedName name="_Fill" localSheetId="1" hidden="1">#REF!</definedName>
    <definedName name="_Fill" localSheetId="9" hidden="1">#REF!</definedName>
    <definedName name="_Fill" localSheetId="11" hidden="1">#REF!</definedName>
    <definedName name="_Fill" localSheetId="20" hidden="1">#REF!</definedName>
    <definedName name="_Fill" localSheetId="25" hidden="1">#REF!</definedName>
    <definedName name="_Fill" localSheetId="28" hidden="1">#REF!</definedName>
    <definedName name="_Fill" localSheetId="29" hidden="1">#REF!</definedName>
    <definedName name="_Fill" hidden="1">#REF!</definedName>
    <definedName name="_Fill.1" localSheetId="1" hidden="1">#REF!</definedName>
    <definedName name="_Fill.1" localSheetId="9" hidden="1">#REF!</definedName>
    <definedName name="_Fill.1" localSheetId="11" hidden="1">#REF!</definedName>
    <definedName name="_Fill.1" localSheetId="28" hidden="1">#REF!</definedName>
    <definedName name="_Fill.1" hidden="1">#REF!</definedName>
    <definedName name="_ftn1" localSheetId="4">'WP01 True-Up'!#REF!</definedName>
    <definedName name="_ftn1" localSheetId="11">'WP05 CapAds'!#REF!</definedName>
    <definedName name="_ftn2" localSheetId="4">'WP01 True-Up'!#REF!</definedName>
    <definedName name="_ftn2" localSheetId="11">'WP05 CapAds'!#REF!</definedName>
    <definedName name="_ftnref1" localSheetId="4">'WP01 True-Up'!#REF!</definedName>
    <definedName name="_ftnref1" localSheetId="11">'WP05 CapAds'!#REF!</definedName>
    <definedName name="_ftnref2" localSheetId="4">'WP01 True-Up'!#REF!</definedName>
    <definedName name="_ftnref2" localSheetId="11">'WP05 CapAds'!#REF!</definedName>
    <definedName name="_Key.1" localSheetId="1" hidden="1">#REF!</definedName>
    <definedName name="_Key.1" localSheetId="9" hidden="1">#REF!</definedName>
    <definedName name="_Key.1" localSheetId="11" hidden="1">#REF!</definedName>
    <definedName name="_Key.1" localSheetId="28" hidden="1">#REF!</definedName>
    <definedName name="_Key.1" hidden="1">#REF!</definedName>
    <definedName name="_Key1" localSheetId="1" hidden="1">#REF!</definedName>
    <definedName name="_Key1" localSheetId="4" hidden="1">#REF!</definedName>
    <definedName name="_Key1" localSheetId="11" hidden="1">#REF!</definedName>
    <definedName name="_Key1" localSheetId="20" hidden="1">#REF!</definedName>
    <definedName name="_Key1" localSheetId="25" hidden="1">#REF!</definedName>
    <definedName name="_Key1" localSheetId="28" hidden="1">#REF!</definedName>
    <definedName name="_Key1" localSheetId="29" hidden="1">#REF!</definedName>
    <definedName name="_Key1" hidden="1">#REF!</definedName>
    <definedName name="_MatInverse_In" localSheetId="1" hidden="1">#REF!</definedName>
    <definedName name="_MatInverse_In" localSheetId="11" hidden="1">#REF!</definedName>
    <definedName name="_MatInverse_In" localSheetId="28" hidden="1">#REF!</definedName>
    <definedName name="_MatInverse_In" localSheetId="29" hidden="1">#REF!</definedName>
    <definedName name="_MatInverse_In" hidden="1">#REF!</definedName>
    <definedName name="_MatInverse_Out" localSheetId="1" hidden="1">#REF!</definedName>
    <definedName name="_MatInverse_Out" localSheetId="11" hidden="1">#REF!</definedName>
    <definedName name="_MatInverse_Out" localSheetId="28" hidden="1">#REF!</definedName>
    <definedName name="_MatInverse_Out" localSheetId="29" hidden="1">#REF!</definedName>
    <definedName name="_MatInverse_Out" hidden="1">#REF!</definedName>
    <definedName name="_MatMult_A" localSheetId="1" hidden="1">#REF!</definedName>
    <definedName name="_MatMult_A" localSheetId="11" hidden="1">#REF!</definedName>
    <definedName name="_MatMult_A" localSheetId="28" hidden="1">#REF!</definedName>
    <definedName name="_MatMult_A" localSheetId="29" hidden="1">#REF!</definedName>
    <definedName name="_MatMult_A" hidden="1">#REF!</definedName>
    <definedName name="_MatMult_AxB" localSheetId="1" hidden="1">#REF!</definedName>
    <definedName name="_MatMult_AxB" localSheetId="11" hidden="1">#REF!</definedName>
    <definedName name="_MatMult_AxB" localSheetId="28" hidden="1">#REF!</definedName>
    <definedName name="_MatMult_AxB" localSheetId="29" hidden="1">#REF!</definedName>
    <definedName name="_MatMult_AxB" hidden="1">#REF!</definedName>
    <definedName name="_MatMult_B" localSheetId="1" hidden="1">#REF!</definedName>
    <definedName name="_MatMult_B" localSheetId="11" hidden="1">#REF!</definedName>
    <definedName name="_MatMult_B" localSheetId="28" hidden="1">#REF!</definedName>
    <definedName name="_MatMult_B" localSheetId="29" hidden="1">#REF!</definedName>
    <definedName name="_MatMult_B" hidden="1">#REF!</definedName>
    <definedName name="_Order.1" hidden="1">255</definedName>
    <definedName name="_Order1" localSheetId="4" hidden="1">255</definedName>
    <definedName name="_Order1" localSheetId="11" hidden="1">255</definedName>
    <definedName name="_Order1" localSheetId="29" hidden="1">255</definedName>
    <definedName name="_Order1" hidden="1">0</definedName>
    <definedName name="_Order2" hidden="1">255</definedName>
    <definedName name="_Parse_In" localSheetId="1" hidden="1">#REF!</definedName>
    <definedName name="_Parse_In" localSheetId="11" hidden="1">#REF!</definedName>
    <definedName name="_Parse_In" localSheetId="28" hidden="1">#REF!</definedName>
    <definedName name="_Parse_In" localSheetId="29" hidden="1">#REF!</definedName>
    <definedName name="_Parse_In" hidden="1">#REF!</definedName>
    <definedName name="_Parse_Out" localSheetId="1" hidden="1">#REF!</definedName>
    <definedName name="_Parse_Out" localSheetId="11" hidden="1">#REF!</definedName>
    <definedName name="_Parse_Out" localSheetId="28" hidden="1">#REF!</definedName>
    <definedName name="_Parse_Out" localSheetId="29" hidden="1">#REF!</definedName>
    <definedName name="_Parse_Out" hidden="1">#REF!</definedName>
    <definedName name="_Regression_Out" localSheetId="1" hidden="1">#REF!</definedName>
    <definedName name="_Regression_Out" localSheetId="11" hidden="1">#REF!</definedName>
    <definedName name="_Regression_Out" localSheetId="28" hidden="1">#REF!</definedName>
    <definedName name="_Regression_Out" localSheetId="29" hidden="1">#REF!</definedName>
    <definedName name="_Regression_Out" hidden="1">#REF!</definedName>
    <definedName name="_Regression_X" localSheetId="1" hidden="1">#REF!</definedName>
    <definedName name="_Regression_X" localSheetId="11" hidden="1">#REF!</definedName>
    <definedName name="_Regression_X" localSheetId="28" hidden="1">#REF!</definedName>
    <definedName name="_Regression_X" localSheetId="29" hidden="1">#REF!</definedName>
    <definedName name="_Regression_X" hidden="1">#REF!</definedName>
    <definedName name="_Regression_Y" localSheetId="1" hidden="1">#REF!</definedName>
    <definedName name="_Regression_Y" localSheetId="11" hidden="1">#REF!</definedName>
    <definedName name="_Regression_Y" localSheetId="28" hidden="1">#REF!</definedName>
    <definedName name="_Regression_Y" localSheetId="29" hidden="1">#REF!</definedName>
    <definedName name="_Regression_Y" hidden="1">#REF!</definedName>
    <definedName name="_Sort" localSheetId="1" hidden="1">#REF!</definedName>
    <definedName name="_Sort" localSheetId="4" hidden="1">#REF!</definedName>
    <definedName name="_Sort" localSheetId="11" hidden="1">#REF!</definedName>
    <definedName name="_Sort" localSheetId="20" hidden="1">#REF!</definedName>
    <definedName name="_Sort" localSheetId="25" hidden="1">#REF!</definedName>
    <definedName name="_Sort" localSheetId="28" hidden="1">#REF!</definedName>
    <definedName name="_Sort" localSheetId="29" hidden="1">#REF!</definedName>
    <definedName name="_Sort" hidden="1">#REF!</definedName>
    <definedName name="_Sort.1" localSheetId="1" hidden="1">#REF!</definedName>
    <definedName name="_Sort.1" localSheetId="11" hidden="1">#REF!</definedName>
    <definedName name="_Sort.1" localSheetId="28" hidden="1">#REF!</definedName>
    <definedName name="_Sort.1" hidden="1">#REF!</definedName>
    <definedName name="_Table1_Out" localSheetId="1" hidden="1">#REF!</definedName>
    <definedName name="_Table1_Out" localSheetId="11" hidden="1">#REF!</definedName>
    <definedName name="_Table1_Out" localSheetId="28" hidden="1">#REF!</definedName>
    <definedName name="_Table1_Out" localSheetId="29" hidden="1">#REF!</definedName>
    <definedName name="_Table1_Out" hidden="1">#REF!</definedName>
    <definedName name="_tet12" localSheetId="1" hidden="1">{"assumptions",#N/A,FALSE,"Scenario 1";"valuation",#N/A,FALSE,"Scenario 1"}</definedName>
    <definedName name="_tet12" localSheetId="9" hidden="1">{"assumptions",#N/A,FALSE,"Scenario 1";"valuation",#N/A,FALSE,"Scenario 1"}</definedName>
    <definedName name="_tet12" localSheetId="16" hidden="1">{"assumptions",#N/A,FALSE,"Scenario 1";"valuation",#N/A,FALSE,"Scenario 1"}</definedName>
    <definedName name="_tet12" localSheetId="28" hidden="1">{"assumptions",#N/A,FALSE,"Scenario 1";"valuation",#N/A,FALSE,"Scenario 1"}</definedName>
    <definedName name="_tet12" localSheetId="29" hidden="1">{"assumptions",#N/A,FALSE,"Scenario 1";"valuation",#N/A,FALSE,"Scenario 1"}</definedName>
    <definedName name="_tet12" hidden="1">{"assumptions",#N/A,FALSE,"Scenario 1";"valuation",#N/A,FALSE,"Scenario 1"}</definedName>
    <definedName name="_tet5" localSheetId="1" hidden="1">{"assumptions",#N/A,FALSE,"Scenario 1";"valuation",#N/A,FALSE,"Scenario 1"}</definedName>
    <definedName name="_tet5" localSheetId="9" hidden="1">{"assumptions",#N/A,FALSE,"Scenario 1";"valuation",#N/A,FALSE,"Scenario 1"}</definedName>
    <definedName name="_tet5" localSheetId="16" hidden="1">{"assumptions",#N/A,FALSE,"Scenario 1";"valuation",#N/A,FALSE,"Scenario 1"}</definedName>
    <definedName name="_tet5" localSheetId="28" hidden="1">{"assumptions",#N/A,FALSE,"Scenario 1";"valuation",#N/A,FALSE,"Scenario 1"}</definedName>
    <definedName name="_tet5" localSheetId="29" hidden="1">{"assumptions",#N/A,FALSE,"Scenario 1";"valuation",#N/A,FALSE,"Scenario 1"}</definedName>
    <definedName name="_tet5" hidden="1">{"assumptions",#N/A,FALSE,"Scenario 1";"valuation",#N/A,FALSE,"Scenario 1"}</definedName>
    <definedName name="A" localSheetId="1">#REF!</definedName>
    <definedName name="A" localSheetId="9">#REF!</definedName>
    <definedName name="A" localSheetId="11">#REF!</definedName>
    <definedName name="A" localSheetId="20">#REF!</definedName>
    <definedName name="A" localSheetId="25">#REF!</definedName>
    <definedName name="A" localSheetId="28">#REF!</definedName>
    <definedName name="a" localSheetId="29" hidden="1">{"LBO Summary",#N/A,FALSE,"Summary"}</definedName>
    <definedName name="A">#REF!</definedName>
    <definedName name="a.1" localSheetId="1" hidden="1">{"LBO Summary",#N/A,FALSE,"Summary"}</definedName>
    <definedName name="a.1" localSheetId="9" hidden="1">{"LBO Summary",#N/A,FALSE,"Summary"}</definedName>
    <definedName name="a.1" localSheetId="16" hidden="1">{"LBO Summary",#N/A,FALSE,"Summary"}</definedName>
    <definedName name="a.1" localSheetId="28" hidden="1">{"LBO Summary",#N/A,FALSE,"Summary"}</definedName>
    <definedName name="a.1" hidden="1">{"LBO Summary",#N/A,FALSE,"Summary"}</definedName>
    <definedName name="above">OFFSET(!A1,-1,0)</definedName>
    <definedName name="ACCTTextLen" localSheetId="1">#REF!</definedName>
    <definedName name="ACCTTextLen" localSheetId="9">#REF!</definedName>
    <definedName name="ACCTTextLen" localSheetId="11">#REF!</definedName>
    <definedName name="ACCTTextLen" localSheetId="20">#REF!</definedName>
    <definedName name="ACCTTextLen" localSheetId="25">#REF!</definedName>
    <definedName name="ACCTTextLen" localSheetId="28">#REF!</definedName>
    <definedName name="ACCTTextLen">#REF!</definedName>
    <definedName name="ACTTextLen" localSheetId="1">#REF!</definedName>
    <definedName name="ACTTextLen" localSheetId="9">#REF!</definedName>
    <definedName name="ACTTextLen" localSheetId="11">#REF!</definedName>
    <definedName name="ACTTextLen" localSheetId="20">#REF!</definedName>
    <definedName name="ACTTextLen" localSheetId="28">#REF!</definedName>
    <definedName name="ACTTextLen">#REF!</definedName>
    <definedName name="ADIT_TST" localSheetId="1">'[3]A.2 PTP'!$P$55</definedName>
    <definedName name="ADIT_TST" localSheetId="9">'[3]A.2 PTP'!$P$55</definedName>
    <definedName name="ADIT_TST" localSheetId="29">'[3]A.2 PTP'!$P$55</definedName>
    <definedName name="ADIT_TST">'[3]A.2 PTP'!$P$55</definedName>
    <definedName name="ADTL" localSheetId="1">'[3]C. Input'!$F$144</definedName>
    <definedName name="ADTL" localSheetId="9">'[3]C. Input'!$F$144</definedName>
    <definedName name="ADTL" localSheetId="29">'[3]C. Input'!$F$144</definedName>
    <definedName name="ADTL">'[3]C. Input'!$F$144</definedName>
    <definedName name="AG_TST" localSheetId="1">'[3]A.2 PTP'!$P$111</definedName>
    <definedName name="AG_TST" localSheetId="9">'[3]A.2 PTP'!$P$111</definedName>
    <definedName name="AG_TST" localSheetId="29">'[3]A.2 PTP'!$P$111</definedName>
    <definedName name="AG_TST">'[3]A.2 PTP'!$P$111</definedName>
    <definedName name="AGXP" localSheetId="1">'[3]C. Input'!$F$201</definedName>
    <definedName name="AGXP" localSheetId="9">'[3]C. Input'!$F$201</definedName>
    <definedName name="AGXP" localSheetId="29">'[3]C. Input'!$F$201</definedName>
    <definedName name="AGXP">'[3]C. Input'!$F$201</definedName>
    <definedName name="Allocator.gross.plant" localSheetId="1">'[4]Appendix A'!$H$30</definedName>
    <definedName name="Allocator.gross.plant">'[4]Appendix A'!$H$30</definedName>
    <definedName name="Allocator.net.plant" localSheetId="1">'[4]Appendix A'!$H$33</definedName>
    <definedName name="Allocator.net.plant">'[4]Appendix A'!$H$33</definedName>
    <definedName name="Allocator.wages.salary" localSheetId="1">'[4]Appendix A'!$H$18</definedName>
    <definedName name="Allocator.wages.salary">'[4]Appendix A'!$H$18</definedName>
    <definedName name="ALOC" localSheetId="1">#REF!</definedName>
    <definedName name="ALOC" localSheetId="9">#REF!</definedName>
    <definedName name="ALOC" localSheetId="11">#REF!</definedName>
    <definedName name="ALOC" localSheetId="20">#REF!</definedName>
    <definedName name="ALOC" localSheetId="28">#REF!</definedName>
    <definedName name="ALOC">#REF!</definedName>
    <definedName name="ALOC_2" localSheetId="1">#REF!</definedName>
    <definedName name="ALOC_2" localSheetId="9">#REF!</definedName>
    <definedName name="ALOC_2" localSheetId="11">#REF!</definedName>
    <definedName name="ALOC_2" localSheetId="20">#REF!</definedName>
    <definedName name="ALOC_2" localSheetId="28">#REF!</definedName>
    <definedName name="ALOC_2">#REF!</definedName>
    <definedName name="Amort_04" localSheetId="1">'[3]D.16.1.2 Table B 2004'!$A$24:$U$35</definedName>
    <definedName name="Amort_04" localSheetId="9">'[3]D.16.1.2 Table B 2004'!$A$24:$U$35</definedName>
    <definedName name="Amort_04" localSheetId="29">'[3]D.16.1.2 Table B 2004'!$A$24:$U$35</definedName>
    <definedName name="Amort_04">'[3]D.16.1.2 Table B 2004'!$A$24:$U$35</definedName>
    <definedName name="Amort_05" localSheetId="1">'[3]D.16.1.3 Table B 2005'!$A$24:$U$36</definedName>
    <definedName name="Amort_05" localSheetId="9">'[3]D.16.1.3 Table B 2005'!$A$24:$U$36</definedName>
    <definedName name="Amort_05" localSheetId="29">'[3]D.16.1.3 Table B 2005'!$A$24:$U$36</definedName>
    <definedName name="Amort_05">'[3]D.16.1.3 Table B 2005'!$A$24:$U$36</definedName>
    <definedName name="Amort_06" localSheetId="1">'[3]D.16.1.4 Table B 2006'!$A$24:$U$37</definedName>
    <definedName name="Amort_06" localSheetId="9">'[3]D.16.1.4 Table B 2006'!$A$24:$U$37</definedName>
    <definedName name="Amort_06" localSheetId="29">'[3]D.16.1.4 Table B 2006'!$A$24:$U$37</definedName>
    <definedName name="Amort_06">'[3]D.16.1.4 Table B 2006'!$A$24:$U$37</definedName>
    <definedName name="Amort_07" localSheetId="1">'[3]D.16.1.5 Table B 2007'!$A$24:$U$38</definedName>
    <definedName name="Amort_07" localSheetId="9">'[3]D.16.1.5 Table B 2007'!$A$24:$U$38</definedName>
    <definedName name="Amort_07" localSheetId="29">'[3]D.16.1.5 Table B 2007'!$A$24:$U$38</definedName>
    <definedName name="Amort_07">'[3]D.16.1.5 Table B 2007'!$A$24:$U$38</definedName>
    <definedName name="Amort_08" localSheetId="1">'[3]D.16.1.6 Table B 2008'!$A$24:$U$39</definedName>
    <definedName name="Amort_08" localSheetId="9">'[3]D.16.1.6 Table B 2008'!$A$24:$U$39</definedName>
    <definedName name="Amort_08" localSheetId="29">'[3]D.16.1.6 Table B 2008'!$A$24:$U$39</definedName>
    <definedName name="Amort_08">'[3]D.16.1.6 Table B 2008'!$A$24:$U$39</definedName>
    <definedName name="Amort_09" localSheetId="1">'[3]D.16.1.7 Table B 2009'!$A$24:$U$39</definedName>
    <definedName name="Amort_09" localSheetId="9">'[3]D.16.1.7 Table B 2009'!$A$24:$U$39</definedName>
    <definedName name="Amort_09" localSheetId="29">'[3]D.16.1.7 Table B 2009'!$A$24:$U$39</definedName>
    <definedName name="Amort_09">'[3]D.16.1.7 Table B 2009'!$A$24:$U$39</definedName>
    <definedName name="Amort_10" localSheetId="1">'[3]D.16.1.8 Table B 2010'!$A$24:$U$39</definedName>
    <definedName name="Amort_10" localSheetId="9">'[3]D.16.1.8 Table B 2010'!$A$24:$U$39</definedName>
    <definedName name="Amort_10" localSheetId="29">'[3]D.16.1.8 Table B 2010'!$A$24:$U$39</definedName>
    <definedName name="Amort_10">'[3]D.16.1.8 Table B 2010'!$A$24:$U$39</definedName>
    <definedName name="Amort_11" localSheetId="1">'[3]D.16.1.9 Table B 2011'!$A$24:$U$39</definedName>
    <definedName name="Amort_11" localSheetId="9">'[3]D.16.1.9 Table B 2011'!$A$24:$U$39</definedName>
    <definedName name="Amort_11" localSheetId="29">'[3]D.16.1.9 Table B 2011'!$A$24:$U$39</definedName>
    <definedName name="Amort_11">'[3]D.16.1.9 Table B 2011'!$A$24:$U$39</definedName>
    <definedName name="Amort_12" localSheetId="1">'[3]D.16.1.10 Table B 2012'!$A$24:$U$39</definedName>
    <definedName name="Amort_12" localSheetId="9">'[3]D.16.1.10 Table B 2012'!$A$24:$U$39</definedName>
    <definedName name="Amort_12" localSheetId="29">'[3]D.16.1.10 Table B 2012'!$A$24:$U$39</definedName>
    <definedName name="Amort_12">'[3]D.16.1.10 Table B 2012'!$A$24:$U$39</definedName>
    <definedName name="AMOUNT" localSheetId="1">#REF!</definedName>
    <definedName name="AMOUNT" localSheetId="9">#REF!</definedName>
    <definedName name="AMOUNT" localSheetId="11">#REF!</definedName>
    <definedName name="AMOUNT" localSheetId="20">#REF!</definedName>
    <definedName name="AMOUNT" localSheetId="28">#REF!</definedName>
    <definedName name="AMOUNT">#REF!</definedName>
    <definedName name="APR">#N/A</definedName>
    <definedName name="ARB_04" localSheetId="1">'[3]D.16.1.2 Table B 2004'!$A$39:$U$50</definedName>
    <definedName name="ARB_04" localSheetId="9">'[3]D.16.1.2 Table B 2004'!$A$39:$U$50</definedName>
    <definedName name="ARB_04" localSheetId="29">'[3]D.16.1.2 Table B 2004'!$A$39:$U$50</definedName>
    <definedName name="ARB_04">'[3]D.16.1.2 Table B 2004'!$A$39:$U$50</definedName>
    <definedName name="ARB_05" localSheetId="1">'[3]D.16.1.3 Table B 2005'!$A$40:$U$52</definedName>
    <definedName name="ARB_05" localSheetId="9">'[3]D.16.1.3 Table B 2005'!$A$40:$U$52</definedName>
    <definedName name="ARB_05" localSheetId="29">'[3]D.16.1.3 Table B 2005'!$A$40:$U$52</definedName>
    <definedName name="ARB_05">'[3]D.16.1.3 Table B 2005'!$A$40:$U$52</definedName>
    <definedName name="ARB_06" localSheetId="1">'[3]D.16.1.4 Table B 2006'!$A$41:$U$54</definedName>
    <definedName name="ARB_06" localSheetId="9">'[3]D.16.1.4 Table B 2006'!$A$41:$U$54</definedName>
    <definedName name="ARB_06" localSheetId="29">'[3]D.16.1.4 Table B 2006'!$A$41:$U$54</definedName>
    <definedName name="ARB_06">'[3]D.16.1.4 Table B 2006'!$A$41:$U$54</definedName>
    <definedName name="ARB_07" localSheetId="1">'[3]D.16.1.5 Table B 2007'!$A$42:$U$56</definedName>
    <definedName name="ARB_07" localSheetId="9">'[3]D.16.1.5 Table B 2007'!$A$42:$U$56</definedName>
    <definedName name="ARB_07" localSheetId="29">'[3]D.16.1.5 Table B 2007'!$A$42:$U$56</definedName>
    <definedName name="ARB_07">'[3]D.16.1.5 Table B 2007'!$A$42:$U$56</definedName>
    <definedName name="ARB_08" localSheetId="1">'[3]D.16.1.6 Table B 2008'!$A$43:$U$58</definedName>
    <definedName name="ARB_08" localSheetId="9">'[3]D.16.1.6 Table B 2008'!$A$43:$U$58</definedName>
    <definedName name="ARB_08" localSheetId="29">'[3]D.16.1.6 Table B 2008'!$A$43:$U$58</definedName>
    <definedName name="ARB_08">'[3]D.16.1.6 Table B 2008'!$A$43:$U$58</definedName>
    <definedName name="ARB_09" localSheetId="1">'[3]D.16.1.7 Table B 2009'!$A$43:$U$58</definedName>
    <definedName name="ARB_09" localSheetId="9">'[3]D.16.1.7 Table B 2009'!$A$43:$U$58</definedName>
    <definedName name="ARB_09" localSheetId="29">'[3]D.16.1.7 Table B 2009'!$A$43:$U$58</definedName>
    <definedName name="ARB_09">'[3]D.16.1.7 Table B 2009'!$A$43:$U$58</definedName>
    <definedName name="ARB_10" localSheetId="1">'[3]D.16.1.8 Table B 2010'!$A$43:$U$58</definedName>
    <definedName name="ARB_10" localSheetId="9">'[3]D.16.1.8 Table B 2010'!$A$43:$U$58</definedName>
    <definedName name="ARB_10" localSheetId="29">'[3]D.16.1.8 Table B 2010'!$A$43:$U$58</definedName>
    <definedName name="ARB_10">'[3]D.16.1.8 Table B 2010'!$A$43:$U$58</definedName>
    <definedName name="ARB_11" localSheetId="1">'[3]D.16.1.9 Table B 2011'!$A$43:$U$58</definedName>
    <definedName name="ARB_11" localSheetId="9">'[3]D.16.1.9 Table B 2011'!$A$43:$U$58</definedName>
    <definedName name="ARB_11" localSheetId="29">'[3]D.16.1.9 Table B 2011'!$A$43:$U$58</definedName>
    <definedName name="ARB_11">'[3]D.16.1.9 Table B 2011'!$A$43:$U$58</definedName>
    <definedName name="AREA">#N/A</definedName>
    <definedName name="AS2DocOpenMode" hidden="1">"AS2DocumentEdit"</definedName>
    <definedName name="ASD_LEXTERNAL" localSheetId="1">#REF!</definedName>
    <definedName name="ASD_LEXTERNAL" localSheetId="11">#REF!</definedName>
    <definedName name="ASD_LEXTERNAL" localSheetId="28">#REF!</definedName>
    <definedName name="ASD_LEXTERNAL">#REF!</definedName>
    <definedName name="AUG">#N/A</definedName>
    <definedName name="AVG">#N/A</definedName>
    <definedName name="B" localSheetId="1">#REF!</definedName>
    <definedName name="B" localSheetId="9">#REF!</definedName>
    <definedName name="B" localSheetId="11">#REF!</definedName>
    <definedName name="B" localSheetId="20">#REF!</definedName>
    <definedName name="B" localSheetId="25">#REF!</definedName>
    <definedName name="B" localSheetId="28">#REF!</definedName>
    <definedName name="B">#REF!</definedName>
    <definedName name="BadErrMsg" localSheetId="1">#REF!</definedName>
    <definedName name="BadErrMsg" localSheetId="9">#REF!</definedName>
    <definedName name="BadErrMsg" localSheetId="11">#REF!</definedName>
    <definedName name="BadErrMsg" localSheetId="20">#REF!</definedName>
    <definedName name="BadErrMsg" localSheetId="25">#REF!</definedName>
    <definedName name="BadErrMsg" localSheetId="28">#REF!</definedName>
    <definedName name="BadErrMsg">#REF!</definedName>
    <definedName name="BalanceSheet" localSheetId="1">#REF!</definedName>
    <definedName name="BalanceSheet" localSheetId="9">#REF!</definedName>
    <definedName name="BalanceSheet" localSheetId="11">#REF!</definedName>
    <definedName name="BalanceSheet" localSheetId="20">#REF!</definedName>
    <definedName name="BalanceSheet" localSheetId="25">#REF!</definedName>
    <definedName name="BalanceSheet" localSheetId="28">#REF!</definedName>
    <definedName name="BalanceSheet">#REF!</definedName>
    <definedName name="below">OFFSET(!A1,1,0)</definedName>
    <definedName name="Bio_Flora" localSheetId="1">#REF!</definedName>
    <definedName name="Bio_Flora" localSheetId="11">#REF!</definedName>
    <definedName name="Bio_Flora" localSheetId="20">#REF!</definedName>
    <definedName name="Bio_Flora" localSheetId="28">#REF!</definedName>
    <definedName name="Bio_Flora">#REF!</definedName>
    <definedName name="BLANK_ACCOUNT" localSheetId="1">#REF!</definedName>
    <definedName name="BLANK_ACCOUNT" localSheetId="11">#REF!</definedName>
    <definedName name="BLANK_ACCOUNT" localSheetId="28">#REF!</definedName>
    <definedName name="BLANK_ACCOUNT" localSheetId="29">#REF!</definedName>
    <definedName name="BLANK_ACCOUNT">#REF!</definedName>
    <definedName name="C_" localSheetId="9">'[5]RR 8 2'!#REF!</definedName>
    <definedName name="C_" localSheetId="11">'[5]RR 8 2'!#REF!</definedName>
    <definedName name="C_" localSheetId="28">'[5]RR 8 2'!#REF!</definedName>
    <definedName name="C_">'[5]RR 8 2'!#REF!</definedName>
    <definedName name="CALC_C03" localSheetId="1">#REF!</definedName>
    <definedName name="CALC_C03" localSheetId="9">#REF!</definedName>
    <definedName name="CALC_C03" localSheetId="11">#REF!</definedName>
    <definedName name="CALC_C03" localSheetId="20">#REF!</definedName>
    <definedName name="CALC_C03" localSheetId="25">#REF!</definedName>
    <definedName name="CALC_C03" localSheetId="28">#REF!</definedName>
    <definedName name="CALC_C03">#REF!</definedName>
    <definedName name="CALC_C04" localSheetId="1">#REF!</definedName>
    <definedName name="CALC_C04" localSheetId="9">#REF!</definedName>
    <definedName name="CALC_C04" localSheetId="11">#REF!</definedName>
    <definedName name="CALC_C04" localSheetId="20">#REF!</definedName>
    <definedName name="CALC_C04" localSheetId="25">#REF!</definedName>
    <definedName name="CALC_C04" localSheetId="28">#REF!</definedName>
    <definedName name="CALC_C04">#REF!</definedName>
    <definedName name="CALC_C09" localSheetId="1">#REF!</definedName>
    <definedName name="CALC_C09" localSheetId="9">#REF!</definedName>
    <definedName name="CALC_C09" localSheetId="11">#REF!</definedName>
    <definedName name="CALC_C09" localSheetId="20">#REF!</definedName>
    <definedName name="CALC_C09" localSheetId="25">#REF!</definedName>
    <definedName name="CALC_C09" localSheetId="28">#REF!</definedName>
    <definedName name="CALC_C09">#REF!</definedName>
    <definedName name="CALC_LRG" localSheetId="1">#REF!</definedName>
    <definedName name="CALC_LRG" localSheetId="11">#REF!</definedName>
    <definedName name="CALC_LRG" localSheetId="20">#REF!</definedName>
    <definedName name="CALC_LRG" localSheetId="28">#REF!</definedName>
    <definedName name="CALC_LRG">#REF!</definedName>
    <definedName name="CALC_XLG" localSheetId="1">#REF!</definedName>
    <definedName name="CALC_XLG" localSheetId="11">#REF!</definedName>
    <definedName name="CALC_XLG" localSheetId="20">#REF!</definedName>
    <definedName name="CALC_XLG" localSheetId="28">#REF!</definedName>
    <definedName name="CALC_XLG">#REF!</definedName>
    <definedName name="CASCADE" localSheetId="1">#REF!</definedName>
    <definedName name="CASCADE" localSheetId="11">#REF!</definedName>
    <definedName name="CASCADE" localSheetId="28">#REF!</definedName>
    <definedName name="CASCADE" localSheetId="29">#REF!</definedName>
    <definedName name="CASCADE">#REF!</definedName>
    <definedName name="CC_TST" localSheetId="1">'[3]A.2 PTP'!$P$33</definedName>
    <definedName name="CC_TST" localSheetId="9">'[3]A.2 PTP'!$P$33</definedName>
    <definedName name="CC_TST" localSheetId="29">'[3]A.2 PTP'!$P$33</definedName>
    <definedName name="CC_TST">'[3]A.2 PTP'!$P$33</definedName>
    <definedName name="CE" localSheetId="1">'MISO Cover'!$K$206</definedName>
    <definedName name="CE" localSheetId="9">'[3]C. Input'!$F$37</definedName>
    <definedName name="CE" localSheetId="29">'[3]C. Input'!$F$37</definedName>
    <definedName name="CE">'[3]C. Input'!$F$37</definedName>
    <definedName name="CE_EAI" localSheetId="1">'[3]C. Input'!$I$37</definedName>
    <definedName name="CE_EAI" localSheetId="9">'[3]C. Input'!$I$37</definedName>
    <definedName name="CE_EAI" localSheetId="29">'[3]C. Input'!$I$37</definedName>
    <definedName name="CE_EAI">'[3]C. Input'!$I$37</definedName>
    <definedName name="CE_EGSI" localSheetId="1">'[3]C. Input'!$L$37</definedName>
    <definedName name="CE_EGSI" localSheetId="9">'[3]C. Input'!$L$37</definedName>
    <definedName name="CE_EGSI" localSheetId="29">'[3]C. Input'!$L$37</definedName>
    <definedName name="CE_EGSI">'[3]C. Input'!$L$37</definedName>
    <definedName name="CE_ELI" localSheetId="1">'[3]C. Input'!$O$37</definedName>
    <definedName name="CE_ELI" localSheetId="9">'[3]C. Input'!$O$37</definedName>
    <definedName name="CE_ELI" localSheetId="29">'[3]C. Input'!$O$37</definedName>
    <definedName name="CE_ELI">'[3]C. Input'!$O$37</definedName>
    <definedName name="CE_EMI" localSheetId="1">'[3]C. Input'!$R$37</definedName>
    <definedName name="CE_EMI" localSheetId="9">'[3]C. Input'!$R$37</definedName>
    <definedName name="CE_EMI" localSheetId="29">'[3]C. Input'!$R$37</definedName>
    <definedName name="CE_EMI">'[3]C. Input'!$R$37</definedName>
    <definedName name="CE_ENOI" localSheetId="1">'[3]C. Input'!$X$37</definedName>
    <definedName name="CE_ENOI" localSheetId="9">'[3]C. Input'!$X$37</definedName>
    <definedName name="CE_ENOI" localSheetId="29">'[3]C. Input'!$X$37</definedName>
    <definedName name="CE_ENOI">'[3]C. Input'!$X$37</definedName>
    <definedName name="CELL">#N/A</definedName>
    <definedName name="cell.above">!A1048576</definedName>
    <definedName name="cell.below">!A2</definedName>
    <definedName name="cell.left">!XFD1</definedName>
    <definedName name="cell.right">!B1</definedName>
    <definedName name="CHECK_BAL" localSheetId="1">#REF!</definedName>
    <definedName name="CHECK_BAL" localSheetId="11">#REF!</definedName>
    <definedName name="CHECK_BAL" localSheetId="28">#REF!</definedName>
    <definedName name="CHECK_BAL" localSheetId="29">#REF!</definedName>
    <definedName name="CHECK_BAL">#REF!</definedName>
    <definedName name="CHECK_BLANK" localSheetId="1">#REF!</definedName>
    <definedName name="CHECK_BLANK" localSheetId="11">#REF!</definedName>
    <definedName name="CHECK_BLANK" localSheetId="28">#REF!</definedName>
    <definedName name="CHECK_BLANK" localSheetId="29">#REF!</definedName>
    <definedName name="CHECK_BLANK">#REF!</definedName>
    <definedName name="CHECK_CELLS" localSheetId="1">#REF!</definedName>
    <definedName name="CHECK_CELLS" localSheetId="9">#REF!</definedName>
    <definedName name="CHECK_CELLS" localSheetId="11">#REF!</definedName>
    <definedName name="CHECK_CELLS" localSheetId="16">#REF!</definedName>
    <definedName name="CHECK_CELLS" localSheetId="28">#REF!</definedName>
    <definedName name="CHECK_CELLS" localSheetId="29">#REF!</definedName>
    <definedName name="CHECK_CELLS">#REF!</definedName>
    <definedName name="CLASSES">#N/A</definedName>
    <definedName name="CompanyTextLen" localSheetId="1">#REF!</definedName>
    <definedName name="CompanyTextLen" localSheetId="9">#REF!</definedName>
    <definedName name="CompanyTextLen" localSheetId="11">#REF!</definedName>
    <definedName name="CompanyTextLen" localSheetId="20">#REF!</definedName>
    <definedName name="CompanyTextLen" localSheetId="25">#REF!</definedName>
    <definedName name="CompanyTextLen" localSheetId="28">#REF!</definedName>
    <definedName name="CompanyTextLen">#REF!</definedName>
    <definedName name="CP">#N/A</definedName>
    <definedName name="CP_1">#N/A</definedName>
    <definedName name="CP_PG1B" localSheetId="1">#REF!</definedName>
    <definedName name="CP_PG1B" localSheetId="9">#REF!</definedName>
    <definedName name="CP_PG1B" localSheetId="11">#REF!</definedName>
    <definedName name="CP_PG1B" localSheetId="20">#REF!</definedName>
    <definedName name="CP_PG1B" localSheetId="25">#REF!</definedName>
    <definedName name="CP_PG1B" localSheetId="28">#REF!</definedName>
    <definedName name="CP_PG1B">#REF!</definedName>
    <definedName name="cp_pg2" localSheetId="1">#REF!</definedName>
    <definedName name="cp_pg2" localSheetId="9">#REF!</definedName>
    <definedName name="cp_pg2" localSheetId="11">#REF!</definedName>
    <definedName name="cp_pg2" localSheetId="20">#REF!</definedName>
    <definedName name="cp_pg2" localSheetId="25">#REF!</definedName>
    <definedName name="cp_pg2" localSheetId="28">#REF!</definedName>
    <definedName name="cp_pg2">#REF!</definedName>
    <definedName name="cp_pg2b" localSheetId="1">#REF!</definedName>
    <definedName name="cp_pg2b" localSheetId="9">#REF!</definedName>
    <definedName name="cp_pg2b" localSheetId="11">#REF!</definedName>
    <definedName name="cp_pg2b" localSheetId="20">#REF!</definedName>
    <definedName name="cp_pg2b" localSheetId="25">#REF!</definedName>
    <definedName name="cp_pg2b" localSheetId="28">#REF!</definedName>
    <definedName name="cp_pg2b">#REF!</definedName>
    <definedName name="CP_PG3B" localSheetId="1">#REF!</definedName>
    <definedName name="CP_PG3B" localSheetId="11">#REF!</definedName>
    <definedName name="CP_PG3B" localSheetId="20">#REF!</definedName>
    <definedName name="CP_PG3B" localSheetId="28">#REF!</definedName>
    <definedName name="CP_PG3B">#REF!</definedName>
    <definedName name="CPK1X" localSheetId="1">#REF!</definedName>
    <definedName name="CPK1X" localSheetId="11">#REF!</definedName>
    <definedName name="CPK1X" localSheetId="20">#REF!</definedName>
    <definedName name="CPK1X" localSheetId="28">#REF!</definedName>
    <definedName name="CPK1X">#REF!</definedName>
    <definedName name="CPK2X" localSheetId="1">#REF!</definedName>
    <definedName name="CPK2X" localSheetId="11">#REF!</definedName>
    <definedName name="CPK2X" localSheetId="20">#REF!</definedName>
    <definedName name="CPK2X" localSheetId="28">#REF!</definedName>
    <definedName name="CPK2X">#REF!</definedName>
    <definedName name="CPUC_Cashflow_Summary_Table" localSheetId="1">#REF!</definedName>
    <definedName name="CPUC_Cashflow_Summary_Table" localSheetId="11">#REF!</definedName>
    <definedName name="CPUC_Cashflow_Summary_Table" localSheetId="28">#REF!</definedName>
    <definedName name="CPUC_Cashflow_Summary_Table" localSheetId="29">#REF!</definedName>
    <definedName name="CPUC_Cashflow_Summary_Table">#REF!</definedName>
    <definedName name="CR" localSheetId="1">'[3]C. Input'!$F$27</definedName>
    <definedName name="CR" localSheetId="9">'[3]C. Input'!$F$27</definedName>
    <definedName name="CR" localSheetId="29">'[3]C. Input'!$F$27</definedName>
    <definedName name="CR">'[3]C. Input'!$F$27</definedName>
    <definedName name="CREDITS" localSheetId="1">#REF!</definedName>
    <definedName name="CREDITS" localSheetId="9">#REF!</definedName>
    <definedName name="CREDITS" localSheetId="11">#REF!</definedName>
    <definedName name="CREDITS" localSheetId="20">#REF!</definedName>
    <definedName name="CREDITS" localSheetId="28">#REF!</definedName>
    <definedName name="CREDITS">#REF!</definedName>
    <definedName name="CSTextLen" localSheetId="1">#REF!</definedName>
    <definedName name="CSTextLen" localSheetId="9">#REF!</definedName>
    <definedName name="CSTextLen" localSheetId="11">#REF!</definedName>
    <definedName name="CSTextLen" localSheetId="20">#REF!</definedName>
    <definedName name="CSTextLen" localSheetId="28">#REF!</definedName>
    <definedName name="CSTextLen">#REF!</definedName>
    <definedName name="CTY_ANNUAL" localSheetId="1">#REF!</definedName>
    <definedName name="CTY_ANNUAL" localSheetId="9">#REF!</definedName>
    <definedName name="CTY_ANNUAL" localSheetId="11">#REF!</definedName>
    <definedName name="CTY_ANNUAL" localSheetId="28">#REF!</definedName>
    <definedName name="CTY_ANNUAL" localSheetId="29">#REF!</definedName>
    <definedName name="CTY_ANNUAL">#REF!</definedName>
    <definedName name="cty_peak_sum" localSheetId="1">#REF!</definedName>
    <definedName name="cty_peak_sum" localSheetId="11">#REF!</definedName>
    <definedName name="cty_peak_sum" localSheetId="28">#REF!</definedName>
    <definedName name="cty_peak_sum" localSheetId="29">#REF!</definedName>
    <definedName name="cty_peak_sum">#REF!</definedName>
    <definedName name="CUST">#N/A</definedName>
    <definedName name="CUST1">#N/A</definedName>
    <definedName name="CUSTOM1" localSheetId="1">#REF!</definedName>
    <definedName name="CUSTOM1" localSheetId="9">#REF!</definedName>
    <definedName name="CUSTOM1" localSheetId="11">#REF!</definedName>
    <definedName name="CUSTOM1" localSheetId="20">#REF!</definedName>
    <definedName name="CUSTOM1" localSheetId="25">#REF!</definedName>
    <definedName name="CUSTOM1" localSheetId="28">#REF!</definedName>
    <definedName name="CUSTOM1">#REF!</definedName>
    <definedName name="CUSTOM2" localSheetId="1">#REF!</definedName>
    <definedName name="CUSTOM2" localSheetId="9">#REF!</definedName>
    <definedName name="CUSTOM2" localSheetId="11">#REF!</definedName>
    <definedName name="CUSTOM2" localSheetId="20">#REF!</definedName>
    <definedName name="CUSTOM2" localSheetId="25">#REF!</definedName>
    <definedName name="CUSTOM2" localSheetId="28">#REF!</definedName>
    <definedName name="CUSTOM2">#REF!</definedName>
    <definedName name="D" localSheetId="1">'[3]C. Input'!$F$33</definedName>
    <definedName name="D" localSheetId="9">'[3]C. Input'!$F$33</definedName>
    <definedName name="D" localSheetId="29">'[3]C. Input'!$F$33</definedName>
    <definedName name="D">'[3]C. Input'!$F$33</definedName>
    <definedName name="D_EAI" localSheetId="1">'[3]C. Input'!$I$33</definedName>
    <definedName name="D_EAI" localSheetId="9">'[3]C. Input'!$I$33</definedName>
    <definedName name="D_EAI" localSheetId="29">'[3]C. Input'!$I$33</definedName>
    <definedName name="D_EAI">'[3]C. Input'!$I$33</definedName>
    <definedName name="D_EGSI" localSheetId="1">'[3]C. Input'!$L$33</definedName>
    <definedName name="D_EGSI" localSheetId="9">'[3]C. Input'!$L$33</definedName>
    <definedName name="D_EGSI" localSheetId="29">'[3]C. Input'!$L$33</definedName>
    <definedName name="D_EGSI">'[3]C. Input'!$L$33</definedName>
    <definedName name="D_EMI" localSheetId="1">'[3]C. Input'!$R$33</definedName>
    <definedName name="D_EMI" localSheetId="9">'[3]C. Input'!$R$33</definedName>
    <definedName name="D_EMI" localSheetId="29">'[3]C. Input'!$R$33</definedName>
    <definedName name="D_EMI">'[3]C. Input'!$R$33</definedName>
    <definedName name="D_ENOI" localSheetId="1">'[3]C. Input'!$X$33</definedName>
    <definedName name="D_ENOI" localSheetId="9">'[3]C. Input'!$X$33</definedName>
    <definedName name="D_ENOI" localSheetId="29">'[3]C. Input'!$X$33</definedName>
    <definedName name="D_ENOI">'[3]C. Input'!$X$33</definedName>
    <definedName name="data_year" localSheetId="1">'[4]Appendix A'!$H$6</definedName>
    <definedName name="data_year">'[4]Appendix A'!$H$6</definedName>
    <definedName name="_xlnm.Database" localSheetId="1">#REF!</definedName>
    <definedName name="_xlnm.Database" localSheetId="9">#REF!</definedName>
    <definedName name="_xlnm.Database" localSheetId="11">#REF!</definedName>
    <definedName name="_xlnm.Database" localSheetId="28">#REF!</definedName>
    <definedName name="_xlnm.Database" localSheetId="29">#REF!</definedName>
    <definedName name="_xlnm.Database">#REF!</definedName>
    <definedName name="DATALINE" localSheetId="9">'[1]Header Data'!#REF!</definedName>
    <definedName name="DATALINE" localSheetId="11">'[1]Header Data'!#REF!</definedName>
    <definedName name="DATALINE" localSheetId="25">'[1]Header Data'!#REF!</definedName>
    <definedName name="DATALINE" localSheetId="28">'[1]Header Data'!#REF!</definedName>
    <definedName name="DATALINE">'[1]Header Data'!#REF!</definedName>
    <definedName name="DB_CPK">#N/A</definedName>
    <definedName name="DB_CPK1" localSheetId="9">[6]FERCFACT!#REF!</definedName>
    <definedName name="DB_CPK1" localSheetId="11">[6]FERCFACT!#REF!</definedName>
    <definedName name="DB_CPK1" localSheetId="25">[6]FERCFACT!#REF!</definedName>
    <definedName name="DB_CPK1">[6]FERCFACT!#REF!</definedName>
    <definedName name="DB_CPK2" localSheetId="1">#REF!</definedName>
    <definedName name="DB_CPK2" localSheetId="9">#REF!</definedName>
    <definedName name="DB_CPK2" localSheetId="11">#REF!</definedName>
    <definedName name="DB_CPK2" localSheetId="20">#REF!</definedName>
    <definedName name="DB_CPK2" localSheetId="25">#REF!</definedName>
    <definedName name="DB_CPK2" localSheetId="28">#REF!</definedName>
    <definedName name="DB_CPK2">#REF!</definedName>
    <definedName name="DB_CPK3" localSheetId="1">#REF!</definedName>
    <definedName name="DB_CPK3" localSheetId="9">#REF!</definedName>
    <definedName name="DB_CPK3" localSheetId="11">#REF!</definedName>
    <definedName name="DB_CPK3" localSheetId="20">#REF!</definedName>
    <definedName name="DB_CPK3" localSheetId="25">#REF!</definedName>
    <definedName name="DB_CPK3" localSheetId="28">#REF!</definedName>
    <definedName name="DB_CPK3">#REF!</definedName>
    <definedName name="DB_CUST">#N/A</definedName>
    <definedName name="DB_EGR">#N/A</definedName>
    <definedName name="DB_EGR1" localSheetId="9">[6]FERCFACT!#REF!</definedName>
    <definedName name="DB_EGR1" localSheetId="11">[6]FERCFACT!#REF!</definedName>
    <definedName name="DB_EGR1" localSheetId="25">[6]FERCFACT!#REF!</definedName>
    <definedName name="DB_EGR1" localSheetId="28">[6]FERCFACT!#REF!</definedName>
    <definedName name="DB_EGR1">[6]FERCFACT!#REF!</definedName>
    <definedName name="DB_EGR2" localSheetId="1">#REF!</definedName>
    <definedName name="DB_EGR2" localSheetId="9">#REF!</definedName>
    <definedName name="DB_EGR2" localSheetId="11">#REF!</definedName>
    <definedName name="DB_EGR2" localSheetId="20">#REF!</definedName>
    <definedName name="DB_EGR2" localSheetId="25">#REF!</definedName>
    <definedName name="DB_EGR2" localSheetId="28">#REF!</definedName>
    <definedName name="DB_EGR2">#REF!</definedName>
    <definedName name="DB_IMAX">#N/A</definedName>
    <definedName name="DB_NCPK">#N/A</definedName>
    <definedName name="DB_NCPK1" localSheetId="1">#REF!</definedName>
    <definedName name="DB_NCPK1" localSheetId="9">#REF!</definedName>
    <definedName name="DB_NCPK1" localSheetId="11">#REF!</definedName>
    <definedName name="DB_NCPK1" localSheetId="20">#REF!</definedName>
    <definedName name="DB_NCPK1" localSheetId="25">#REF!</definedName>
    <definedName name="DB_NCPK1" localSheetId="28">#REF!</definedName>
    <definedName name="DB_NCPK1">#REF!</definedName>
    <definedName name="DB_NCPK2" localSheetId="1">#REF!</definedName>
    <definedName name="DB_NCPK2" localSheetId="9">#REF!</definedName>
    <definedName name="DB_NCPK2" localSheetId="11">#REF!</definedName>
    <definedName name="DB_NCPK2" localSheetId="20">#REF!</definedName>
    <definedName name="DB_NCPK2" localSheetId="25">#REF!</definedName>
    <definedName name="DB_NCPK2" localSheetId="28">#REF!</definedName>
    <definedName name="DB_NCPK2">#REF!</definedName>
    <definedName name="DB_NCPK3" localSheetId="1">#REF!</definedName>
    <definedName name="DB_NCPK3" localSheetId="9">#REF!</definedName>
    <definedName name="DB_NCPK3" localSheetId="11">#REF!</definedName>
    <definedName name="DB_NCPK3" localSheetId="20">#REF!</definedName>
    <definedName name="DB_NCPK3" localSheetId="25">#REF!</definedName>
    <definedName name="DB_NCPK3" localSheetId="28">#REF!</definedName>
    <definedName name="DB_NCPK3">#REF!</definedName>
    <definedName name="DB_NCPK4" localSheetId="1">#REF!</definedName>
    <definedName name="DB_NCPK4" localSheetId="11">#REF!</definedName>
    <definedName name="DB_NCPK4" localSheetId="20">#REF!</definedName>
    <definedName name="DB_NCPK4" localSheetId="28">#REF!</definedName>
    <definedName name="DB_NCPK4">#REF!</definedName>
    <definedName name="DD." localSheetId="1">[7]Input!$F$33</definedName>
    <definedName name="DD." localSheetId="9">[7]Input!$F$33</definedName>
    <definedName name="DD." localSheetId="29">[7]Input!$F$33</definedName>
    <definedName name="DD.">[7]Input!$F$33</definedName>
    <definedName name="DEBITS" localSheetId="1">#REF!</definedName>
    <definedName name="DEBITS" localSheetId="9">#REF!</definedName>
    <definedName name="DEBITS" localSheetId="11">#REF!</definedName>
    <definedName name="DEBITS" localSheetId="20">#REF!</definedName>
    <definedName name="DEBITS" localSheetId="28">#REF!</definedName>
    <definedName name="DEBITS">#REF!</definedName>
    <definedName name="DEC">#N/A</definedName>
    <definedName name="DecCP" localSheetId="1">#REF!</definedName>
    <definedName name="DecCP" localSheetId="9">#REF!</definedName>
    <definedName name="DecCP" localSheetId="11">#REF!</definedName>
    <definedName name="DecCP" localSheetId="20">#REF!</definedName>
    <definedName name="DecCP" localSheetId="25">#REF!</definedName>
    <definedName name="DecCP" localSheetId="28">#REF!</definedName>
    <definedName name="DecCP">#REF!</definedName>
    <definedName name="DFTSR" localSheetId="1">'[3]A.2 PTP'!$P$288</definedName>
    <definedName name="DFTSR" localSheetId="9">'[3]A.2 PTP'!$P$288</definedName>
    <definedName name="DFTSR" localSheetId="29">'[3]A.2 PTP'!$P$288</definedName>
    <definedName name="DFTSR">'[3]A.2 PTP'!$P$288</definedName>
    <definedName name="DISPLAY">#N/A</definedName>
    <definedName name="DOFTSR" localSheetId="1">'[3]A.2 PTP'!$P$294</definedName>
    <definedName name="DOFTSR" localSheetId="9">'[3]A.2 PTP'!$P$294</definedName>
    <definedName name="DOFTSR" localSheetId="29">'[3]A.2 PTP'!$P$294</definedName>
    <definedName name="DOFTSR">'[3]A.2 PTP'!$P$294</definedName>
    <definedName name="don" localSheetId="1" hidden="1">{"assumptions",#N/A,FALSE,"Scenario 1";"valuation",#N/A,FALSE,"Scenario 1"}</definedName>
    <definedName name="don" localSheetId="28" hidden="1">{"assumptions",#N/A,FALSE,"Scenario 1";"valuation",#N/A,FALSE,"Scenario 1"}</definedName>
    <definedName name="don" hidden="1">{"assumptions",#N/A,FALSE,"Scenario 1";"valuation",#N/A,FALSE,"Scenario 1"}</definedName>
    <definedName name="Don_1" localSheetId="1" hidden="1">{"assumptions",#N/A,FALSE,"Scenario 1";"valuation",#N/A,FALSE,"Scenario 1"}</definedName>
    <definedName name="Don_1" localSheetId="28" hidden="1">{"assumptions",#N/A,FALSE,"Scenario 1";"valuation",#N/A,FALSE,"Scenario 1"}</definedName>
    <definedName name="Don_1" hidden="1">{"assumptions",#N/A,FALSE,"Scenario 1";"valuation",#N/A,FALSE,"Scenario 1"}</definedName>
    <definedName name="Don_10" localSheetId="1" hidden="1">#REF!</definedName>
    <definedName name="Don_10" localSheetId="11" hidden="1">#REF!</definedName>
    <definedName name="Don_10" localSheetId="28" hidden="1">#REF!</definedName>
    <definedName name="Don_10" hidden="1">#REF!</definedName>
    <definedName name="Don_11" hidden="1">255</definedName>
    <definedName name="Don_12" localSheetId="1" hidden="1">#REF!</definedName>
    <definedName name="Don_12" localSheetId="11" hidden="1">#REF!</definedName>
    <definedName name="Don_12" localSheetId="28" hidden="1">#REF!</definedName>
    <definedName name="Don_12" hidden="1">#REF!</definedName>
    <definedName name="Don_13" localSheetId="1" hidden="1">#REF!</definedName>
    <definedName name="Don_13" localSheetId="11" hidden="1">#REF!</definedName>
    <definedName name="Don_13" localSheetId="28" hidden="1">#REF!</definedName>
    <definedName name="Don_13" hidden="1">#REF!</definedName>
    <definedName name="Don_14" localSheetId="1" hidden="1">#REF!</definedName>
    <definedName name="Don_14" localSheetId="11" hidden="1">#REF!</definedName>
    <definedName name="Don_14" localSheetId="28" hidden="1">#REF!</definedName>
    <definedName name="Don_14" hidden="1">#REF!</definedName>
    <definedName name="don_2" localSheetId="1" hidden="1">#REF!</definedName>
    <definedName name="don_2" localSheetId="11" hidden="1">#REF!</definedName>
    <definedName name="don_2" localSheetId="28" hidden="1">#REF!</definedName>
    <definedName name="don_2" hidden="1">#REF!</definedName>
    <definedName name="Don_3" localSheetId="1" hidden="1">#REF!</definedName>
    <definedName name="Don_3" localSheetId="11" hidden="1">#REF!</definedName>
    <definedName name="Don_3" localSheetId="28" hidden="1">#REF!</definedName>
    <definedName name="Don_3" hidden="1">#REF!</definedName>
    <definedName name="Don_4" localSheetId="1" hidden="1">#REF!</definedName>
    <definedName name="Don_4" localSheetId="11" hidden="1">#REF!</definedName>
    <definedName name="Don_4" localSheetId="28" hidden="1">#REF!</definedName>
    <definedName name="Don_4" hidden="1">#REF!</definedName>
    <definedName name="Don_5" localSheetId="1" hidden="1">#REF!</definedName>
    <definedName name="Don_5" localSheetId="11" hidden="1">#REF!</definedName>
    <definedName name="Don_5" localSheetId="28" hidden="1">#REF!</definedName>
    <definedName name="Don_5" hidden="1">#REF!</definedName>
    <definedName name="Don_6" localSheetId="1" hidden="1">#REF!</definedName>
    <definedName name="Don_6" localSheetId="11" hidden="1">#REF!</definedName>
    <definedName name="Don_6" localSheetId="28" hidden="1">#REF!</definedName>
    <definedName name="Don_6" hidden="1">#REF!</definedName>
    <definedName name="Don_7" localSheetId="1" hidden="1">#REF!</definedName>
    <definedName name="Don_7" localSheetId="11" hidden="1">#REF!</definedName>
    <definedName name="Don_7" localSheetId="28" hidden="1">#REF!</definedName>
    <definedName name="Don_7" hidden="1">#REF!</definedName>
    <definedName name="Don_8" localSheetId="1" hidden="1">#REF!</definedName>
    <definedName name="Don_8" localSheetId="11" hidden="1">#REF!</definedName>
    <definedName name="Don_8" localSheetId="28" hidden="1">#REF!</definedName>
    <definedName name="Don_8" hidden="1">#REF!</definedName>
    <definedName name="Don_9" localSheetId="1" hidden="1">#REF!</definedName>
    <definedName name="Don_9" localSheetId="11" hidden="1">#REF!</definedName>
    <definedName name="Don_9" localSheetId="28" hidden="1">#REF!</definedName>
    <definedName name="Don_9" hidden="1">#REF!</definedName>
    <definedName name="DPLT" localSheetId="1">'[3]C. Input'!$F$166</definedName>
    <definedName name="DPLT" localSheetId="9">'[3]C. Input'!$F$166</definedName>
    <definedName name="DPLT" localSheetId="29">'[3]C. Input'!$F$166</definedName>
    <definedName name="DPLT">'[3]C. Input'!$F$166</definedName>
    <definedName name="DR" localSheetId="1">'[3]C. Input'!$F$23</definedName>
    <definedName name="DR" localSheetId="9">'[3]C. Input'!$F$23</definedName>
    <definedName name="DR" localSheetId="29">'[3]C. Input'!$F$23</definedName>
    <definedName name="DR">'[3]C. Input'!$F$23</definedName>
    <definedName name="DR_1">#N/A</definedName>
    <definedName name="ED8_BIOFLORA_Print" localSheetId="1">#REF!</definedName>
    <definedName name="ED8_BIOFLORA_Print" localSheetId="9">#REF!</definedName>
    <definedName name="ED8_BIOFLORA_Print" localSheetId="11">#REF!</definedName>
    <definedName name="ED8_BIOFLORA_Print" localSheetId="20">#REF!</definedName>
    <definedName name="ED8_BIOFLORA_Print" localSheetId="25">#REF!</definedName>
    <definedName name="ED8_BIOFLORA_Print" localSheetId="28">#REF!</definedName>
    <definedName name="ED8_BIOFLORA_Print">#REF!</definedName>
    <definedName name="EEI" localSheetId="1">'[3]C. Input'!$F$205</definedName>
    <definedName name="EEI" localSheetId="9">'[3]C. Input'!$F$205</definedName>
    <definedName name="EEI" localSheetId="29">'[3]C. Input'!$F$205</definedName>
    <definedName name="EEI">'[3]C. Input'!$F$205</definedName>
    <definedName name="EFF_DATE" localSheetId="9">'[1]Header Data'!#REF!</definedName>
    <definedName name="EFF_DATE" localSheetId="11">'[1]Header Data'!#REF!</definedName>
    <definedName name="EFF_DATE" localSheetId="28">'[1]Header Data'!#REF!</definedName>
    <definedName name="EFF_DATE">'[1]Header Data'!#REF!</definedName>
    <definedName name="EGR">#N/A</definedName>
    <definedName name="EGR1X" localSheetId="1">#REF!</definedName>
    <definedName name="EGR1X" localSheetId="9">#REF!</definedName>
    <definedName name="EGR1X" localSheetId="11">#REF!</definedName>
    <definedName name="EGR1X" localSheetId="20">#REF!</definedName>
    <definedName name="EGR1X" localSheetId="25">#REF!</definedName>
    <definedName name="EGR1X" localSheetId="28">#REF!</definedName>
    <definedName name="EGR1X">#REF!</definedName>
    <definedName name="EIGHT">#N/A</definedName>
    <definedName name="ELEVEN">#N/A</definedName>
    <definedName name="END" localSheetId="1">#REF!</definedName>
    <definedName name="END" localSheetId="9">#REF!</definedName>
    <definedName name="END" localSheetId="11">#REF!</definedName>
    <definedName name="END" localSheetId="20">#REF!</definedName>
    <definedName name="END" localSheetId="25">#REF!</definedName>
    <definedName name="END" localSheetId="28">#REF!</definedName>
    <definedName name="END">#REF!</definedName>
    <definedName name="ENERGY" localSheetId="1">#REF!</definedName>
    <definedName name="ENERGY" localSheetId="9">#REF!</definedName>
    <definedName name="ENERGY" localSheetId="11">#REF!</definedName>
    <definedName name="ENERGY" localSheetId="20">#REF!</definedName>
    <definedName name="ENERGY" localSheetId="25">#REF!</definedName>
    <definedName name="ENERGY" localSheetId="28">#REF!</definedName>
    <definedName name="ENERGY">#REF!</definedName>
    <definedName name="ENERGY_SUP" localSheetId="9">[6]FERCFACT!#REF!</definedName>
    <definedName name="ENERGY_SUP" localSheetId="11">[6]FERCFACT!#REF!</definedName>
    <definedName name="ENERGY_SUP" localSheetId="25">[6]FERCFACT!#REF!</definedName>
    <definedName name="ENERGY_SUP" localSheetId="28">[6]FERCFACT!#REF!</definedName>
    <definedName name="ENERGY_SUP">[6]FERCFACT!#REF!</definedName>
    <definedName name="ENERGY1">#N/A</definedName>
    <definedName name="ENVIRONMENTAL" localSheetId="1">#REF!</definedName>
    <definedName name="ENVIRONMENTAL" localSheetId="11">#REF!</definedName>
    <definedName name="ENVIRONMENTAL" localSheetId="28">#REF!</definedName>
    <definedName name="ENVIRONMENTAL" localSheetId="29">#REF!</definedName>
    <definedName name="ENVIRONMENTAL">#REF!</definedName>
    <definedName name="EPRI" localSheetId="1">'[3]C. Input'!$F$203</definedName>
    <definedName name="EPRI" localSheetId="9">'[3]C. Input'!$F$203</definedName>
    <definedName name="EPRI" localSheetId="29">'[3]C. Input'!$F$203</definedName>
    <definedName name="EPRI">'[3]C. Input'!$F$203</definedName>
    <definedName name="EST_BY_ACCT" localSheetId="1">#REF!</definedName>
    <definedName name="EST_BY_ACCT" localSheetId="9">#REF!</definedName>
    <definedName name="EST_BY_ACCT" localSheetId="11">#REF!</definedName>
    <definedName name="EST_BY_ACCT" localSheetId="20">#REF!</definedName>
    <definedName name="EST_BY_ACCT" localSheetId="25">#REF!</definedName>
    <definedName name="EST_BY_ACCT" localSheetId="28">#REF!</definedName>
    <definedName name="EST_BY_ACCT">#REF!</definedName>
    <definedName name="F" localSheetId="1">'[3]C. Input'!$F$72</definedName>
    <definedName name="F" localSheetId="9">'[3]C. Input'!$F$72</definedName>
    <definedName name="F" localSheetId="29">'[3]C. Input'!$F$72</definedName>
    <definedName name="F">'[3]C. Input'!$F$72</definedName>
    <definedName name="FACE" localSheetId="1">#REF!</definedName>
    <definedName name="FACE" localSheetId="11">#REF!</definedName>
    <definedName name="FACE" localSheetId="28">#REF!</definedName>
    <definedName name="FACE" localSheetId="29">#REF!</definedName>
    <definedName name="FACE">#REF!</definedName>
    <definedName name="FACTORS" localSheetId="1">#REF!</definedName>
    <definedName name="FACTORS" localSheetId="9">#REF!</definedName>
    <definedName name="FACTORS" localSheetId="11">#REF!</definedName>
    <definedName name="FACTORS" localSheetId="20">#REF!</definedName>
    <definedName name="FACTORS" localSheetId="25">#REF!</definedName>
    <definedName name="FACTORS" localSheetId="28">#REF!</definedName>
    <definedName name="FACTORS">#REF!</definedName>
    <definedName name="FACTRS" localSheetId="1">#REF!</definedName>
    <definedName name="FACTRS" localSheetId="9">#REF!</definedName>
    <definedName name="FACTRS" localSheetId="11">#REF!</definedName>
    <definedName name="FACTRS" localSheetId="20">#REF!</definedName>
    <definedName name="FACTRS" localSheetId="25">#REF!</definedName>
    <definedName name="FACTRS" localSheetId="28">#REF!</definedName>
    <definedName name="FACTRS">#REF!</definedName>
    <definedName name="FF1_INPUT" localSheetId="1">'[4]FERC Form 1 data'!$B$7:$L$89</definedName>
    <definedName name="FF1_INPUT">'[4]FERC Form 1 data'!$B$7:$L$89</definedName>
    <definedName name="FF1_INPUT_columns" localSheetId="1">'[4]FERC Form 1 data'!$B$6:$L$6</definedName>
    <definedName name="FF1_INPUT_columns">'[4]FERC Form 1 data'!$B$6:$L$6</definedName>
    <definedName name="FIVE">#N/A</definedName>
    <definedName name="FOUR">#N/A</definedName>
    <definedName name="FREV" localSheetId="1">'[3]C. Input'!$F$295</definedName>
    <definedName name="FREV" localSheetId="9">'[3]C. Input'!$F$295</definedName>
    <definedName name="FREV" localSheetId="29">'[3]C. Input'!$F$295</definedName>
    <definedName name="FREV">'[3]C. Input'!$F$295</definedName>
    <definedName name="GDR" localSheetId="1">'[3]C. Input'!$F$237</definedName>
    <definedName name="GDR" localSheetId="9">'[3]C. Input'!$F$237</definedName>
    <definedName name="GDR" localSheetId="29">'[3]C. Input'!$F$237</definedName>
    <definedName name="GDR">'[3]C. Input'!$F$237</definedName>
    <definedName name="GDX" localSheetId="1">'[3]C. Input'!$F$309</definedName>
    <definedName name="GDX" localSheetId="9">'[3]C. Input'!$F$309</definedName>
    <definedName name="GDX" localSheetId="29">'[3]C. Input'!$F$309</definedName>
    <definedName name="GDX">'[3]C. Input'!$F$309</definedName>
    <definedName name="GDX_TD" localSheetId="1">'[3]C. Input'!#REF!</definedName>
    <definedName name="GDX_TD" localSheetId="9">'[3]C. Input'!#REF!</definedName>
    <definedName name="GDX_TD" localSheetId="11">'[3]C. Input'!#REF!</definedName>
    <definedName name="GDX_TD" localSheetId="28">'[3]C. Input'!#REF!</definedName>
    <definedName name="GDX_TD" localSheetId="29">'[3]C. Input'!#REF!</definedName>
    <definedName name="GDX_TD">'[3]C. Input'!#REF!</definedName>
    <definedName name="gIsBlank" localSheetId="1" hidden="1">ISBLANK(gIsRef)</definedName>
    <definedName name="gIsBlank" localSheetId="9" hidden="1">ISBLANK(gIsRef)</definedName>
    <definedName name="gIsBlank" localSheetId="16" hidden="1">ISBLANK(gIsRef)</definedName>
    <definedName name="gIsBlank" localSheetId="28" hidden="1">ISBLANK(gIsRef)</definedName>
    <definedName name="gIsBlank" localSheetId="29" hidden="1">ISBLANK(gIsRef)</definedName>
    <definedName name="gIsBlank" hidden="1">ISBLANK(gIsRef)</definedName>
    <definedName name="gIsError" localSheetId="1" hidden="1">ISERROR(gIsRef)</definedName>
    <definedName name="gIsError" localSheetId="9" hidden="1">ISERROR(gIsRef)</definedName>
    <definedName name="gIsError" localSheetId="16" hidden="1">ISERROR(gIsRef)</definedName>
    <definedName name="gIsError" localSheetId="28" hidden="1">ISERROR(gIsRef)</definedName>
    <definedName name="gIsError" localSheetId="29" hidden="1">ISERROR(gIsRef)</definedName>
    <definedName name="gIsError" hidden="1">ISERROR(gIsRef)</definedName>
    <definedName name="gIsInPrintArea" localSheetId="1" hidden="1">NOT(ISERROR(gIsRef !Print_Area))</definedName>
    <definedName name="gIsInPrintArea" localSheetId="9" hidden="1">NOT(ISERROR(gIsRef !Print_Area))</definedName>
    <definedName name="gIsInPrintArea" localSheetId="11" hidden="1">NOT(ISERROR([0]!gIsRef !Print_Area))</definedName>
    <definedName name="gIsInPrintArea" localSheetId="16" hidden="1">NOT(ISERROR(gIsRef !Print_Area))</definedName>
    <definedName name="gIsInPrintArea" localSheetId="28" hidden="1">NOT(ISERROR(gIsRef !Print_Area))</definedName>
    <definedName name="gIsInPrintArea" localSheetId="29" hidden="1">NOT(ISERROR(gIsRef !Print_Area))</definedName>
    <definedName name="gIsInPrintArea" hidden="1">NOT(ISERROR(gIsRef !Print_Area))</definedName>
    <definedName name="gIsInPrintTitles" localSheetId="1" hidden="1">NOT(ISERROR(gIsRef !Print_Titles))</definedName>
    <definedName name="gIsInPrintTitles" localSheetId="9" hidden="1">NOT(ISERROR(gIsRef !Print_Titles))</definedName>
    <definedName name="gIsInPrintTitles" localSheetId="11" hidden="1">NOT(ISERROR([0]!gIsRef !Print_Titles))</definedName>
    <definedName name="gIsInPrintTitles" localSheetId="16" hidden="1">NOT(ISERROR(gIsRef !Print_Titles))</definedName>
    <definedName name="gIsInPrintTitles" localSheetId="28" hidden="1">NOT(ISERROR(gIsRef !Print_Titles))</definedName>
    <definedName name="gIsInPrintTitles" localSheetId="29" hidden="1">NOT(ISERROR(gIsRef !Print_Titles))</definedName>
    <definedName name="gIsInPrintTitles" hidden="1">NOT(ISERROR(gIsRef !Print_Titles))</definedName>
    <definedName name="gIsNumber" localSheetId="1" hidden="1">ISNUMBER(gIsRef)</definedName>
    <definedName name="gIsNumber" localSheetId="9" hidden="1">ISNUMBER(gIsRef)</definedName>
    <definedName name="gIsNumber" localSheetId="16" hidden="1">ISNUMBER(gIsRef)</definedName>
    <definedName name="gIsNumber" localSheetId="28" hidden="1">ISNUMBER(gIsRef)</definedName>
    <definedName name="gIsNumber" localSheetId="29" hidden="1">ISNUMBER(gIsRef)</definedName>
    <definedName name="gIsNumber" hidden="1">ISNUMBER(gIsRef)</definedName>
    <definedName name="gIsPreviousSheet" localSheetId="1" hidden="1">PrevShtCellValue(gIsRef)&lt;&gt;gIsRef</definedName>
    <definedName name="gIsPreviousSheet" localSheetId="9" hidden="1">PrevShtCellValue(gIsRef)&lt;&gt;gIsRef</definedName>
    <definedName name="gIsPreviousSheet" localSheetId="11" hidden="1">PrevShtCellValue([0]!gIsRef)&lt;&gt;[0]!gIsRef</definedName>
    <definedName name="gIsPreviousSheet" localSheetId="16" hidden="1">PrevShtCellValue(gIsRef)&lt;&gt;gIsRef</definedName>
    <definedName name="gIsPreviousSheet" localSheetId="28" hidden="1">PrevShtCellValue(gIsRef)&lt;&gt;gIsRef</definedName>
    <definedName name="gIsPreviousSheet" localSheetId="29" hidden="1">PrevShtCellValue(gIsRef)&lt;&gt;gIsRef</definedName>
    <definedName name="gIsPreviousSheet" hidden="1">PrevShtCellValue(gIsRef)&lt;&gt;gIsRef</definedName>
    <definedName name="gIsRef" hidden="1">INDIRECT("rc",FALSE)</definedName>
    <definedName name="gIsText" localSheetId="1" hidden="1">ISTEXT(gIsRef)</definedName>
    <definedName name="gIsText" localSheetId="9" hidden="1">ISTEXT(gIsRef)</definedName>
    <definedName name="gIsText" localSheetId="16" hidden="1">ISTEXT(gIsRef)</definedName>
    <definedName name="gIsText" localSheetId="28" hidden="1">ISTEXT(gIsRef)</definedName>
    <definedName name="gIsText" localSheetId="29" hidden="1">ISTEXT(gIsRef)</definedName>
    <definedName name="gIsText" hidden="1">ISTEXT(gIsRef)</definedName>
    <definedName name="GJC_03" localSheetId="1">#REF!</definedName>
    <definedName name="GJC_03" localSheetId="9">#REF!</definedName>
    <definedName name="GJC_03" localSheetId="11">#REF!</definedName>
    <definedName name="GJC_03" localSheetId="20">#REF!</definedName>
    <definedName name="GJC_03" localSheetId="25">#REF!</definedName>
    <definedName name="GJC_03" localSheetId="28">#REF!</definedName>
    <definedName name="GJC_03">#REF!</definedName>
    <definedName name="GJC_04" localSheetId="1">#REF!</definedName>
    <definedName name="GJC_04" localSheetId="9">#REF!</definedName>
    <definedName name="GJC_04" localSheetId="11">#REF!</definedName>
    <definedName name="GJC_04" localSheetId="20">#REF!</definedName>
    <definedName name="GJC_04" localSheetId="25">#REF!</definedName>
    <definedName name="GJC_04" localSheetId="28">#REF!</definedName>
    <definedName name="GJC_04">#REF!</definedName>
    <definedName name="GJC_09" localSheetId="1">#REF!</definedName>
    <definedName name="GJC_09" localSheetId="9">#REF!</definedName>
    <definedName name="GJC_09" localSheetId="11">#REF!</definedName>
    <definedName name="GJC_09" localSheetId="20">#REF!</definedName>
    <definedName name="GJC_09" localSheetId="25">#REF!</definedName>
    <definedName name="GJC_09" localSheetId="28">#REF!</definedName>
    <definedName name="GJC_09">#REF!</definedName>
    <definedName name="GP">'MISO Cover'!$G$72</definedName>
    <definedName name="GPLT" localSheetId="1">'[3]C. Input'!$F$168</definedName>
    <definedName name="GPLT" localSheetId="9">'[3]C. Input'!$F$168</definedName>
    <definedName name="GPLT" localSheetId="29">'[3]C. Input'!$F$168</definedName>
    <definedName name="GPLT">'[3]C. Input'!$F$168</definedName>
    <definedName name="HCTextLen" localSheetId="1">#REF!</definedName>
    <definedName name="HCTextLen" localSheetId="9">#REF!</definedName>
    <definedName name="HCTextLen" localSheetId="11">#REF!</definedName>
    <definedName name="HCTextLen" localSheetId="20">#REF!</definedName>
    <definedName name="HCTextLen" localSheetId="28">#REF!</definedName>
    <definedName name="HCTextLen">#REF!</definedName>
    <definedName name="head" localSheetId="1">#REF!</definedName>
    <definedName name="head" localSheetId="9">#REF!</definedName>
    <definedName name="head" localSheetId="11">#REF!</definedName>
    <definedName name="head" localSheetId="20">#REF!</definedName>
    <definedName name="head" localSheetId="28">#REF!</definedName>
    <definedName name="head">#REF!</definedName>
    <definedName name="HONTSR" localSheetId="1">'[3]A.2 PTP'!$P$333</definedName>
    <definedName name="HONTSR" localSheetId="9">'[3]A.2 PTP'!$P$333</definedName>
    <definedName name="HONTSR" localSheetId="29">'[3]A.2 PTP'!$P$333</definedName>
    <definedName name="HONTSR">'[3]A.2 PTP'!$P$333</definedName>
    <definedName name="HPNTSR" localSheetId="1">'[3]A.2 PTP'!$P$332</definedName>
    <definedName name="HPNTSR" localSheetId="9">'[3]A.2 PTP'!$P$332</definedName>
    <definedName name="HPNTSR" localSheetId="29">'[3]A.2 PTP'!$P$332</definedName>
    <definedName name="HPNTSR">'[3]A.2 PTP'!$P$332</definedName>
    <definedName name="IMAX1" localSheetId="1">#REF!</definedName>
    <definedName name="IMAX1" localSheetId="9">#REF!</definedName>
    <definedName name="IMAX1" localSheetId="11">#REF!</definedName>
    <definedName name="IMAX1" localSheetId="20">#REF!</definedName>
    <definedName name="IMAX1" localSheetId="28">#REF!</definedName>
    <definedName name="IMAX1">#REF!</definedName>
    <definedName name="IMAX2" localSheetId="1">#REF!</definedName>
    <definedName name="IMAX2" localSheetId="9">#REF!</definedName>
    <definedName name="IMAX2" localSheetId="11">#REF!</definedName>
    <definedName name="IMAX2" localSheetId="20">#REF!</definedName>
    <definedName name="IMAX2" localSheetId="28">#REF!</definedName>
    <definedName name="IMAX2">#REF!</definedName>
    <definedName name="IMAX3" localSheetId="1">#REF!</definedName>
    <definedName name="IMAX3" localSheetId="9">#REF!</definedName>
    <definedName name="IMAX3" localSheetId="11">#REF!</definedName>
    <definedName name="IMAX3" localSheetId="20">#REF!</definedName>
    <definedName name="IMAX3" localSheetId="28">#REF!</definedName>
    <definedName name="IMAX3">#REF!</definedName>
    <definedName name="IncomeStatement" localSheetId="1">#REF!</definedName>
    <definedName name="IncomeStatement" localSheetId="11">#REF!</definedName>
    <definedName name="IncomeStatement" localSheetId="20">#REF!</definedName>
    <definedName name="IncomeStatement" localSheetId="28">#REF!</definedName>
    <definedName name="IncomeStatement">#REF!</definedName>
    <definedName name="IND.MAX">#N/A</definedName>
    <definedName name="IND.MAX1">#N/A</definedName>
    <definedName name="INPUT" localSheetId="21">#REF!</definedName>
    <definedName name="INPUT">#N/A</definedName>
    <definedName name="INPUT_AREA" localSheetId="1">#REF!</definedName>
    <definedName name="INPUT_AREA" localSheetId="9">#REF!</definedName>
    <definedName name="INPUT_AREA" localSheetId="11">#REF!</definedName>
    <definedName name="INPUT_AREA" localSheetId="20">#REF!</definedName>
    <definedName name="INPUT_AREA" localSheetId="25">#REF!</definedName>
    <definedName name="INPUT_AREA" localSheetId="28">#REF!</definedName>
    <definedName name="INPUT_AREA">#REF!</definedName>
    <definedName name="INPUT_DATA" localSheetId="1">#REF!</definedName>
    <definedName name="INPUT_DATA" localSheetId="9">#REF!</definedName>
    <definedName name="INPUT_DATA" localSheetId="11">#REF!</definedName>
    <definedName name="INPUT_DATA" localSheetId="20">#REF!</definedName>
    <definedName name="INPUT_DATA" localSheetId="25">#REF!</definedName>
    <definedName name="INPUT_DATA" localSheetId="28">#REF!</definedName>
    <definedName name="INPUT_DATA">#REF!</definedName>
    <definedName name="Input_Range" localSheetId="1">'[8]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_Range" localSheetId="9">'[8]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_Range" localSheetId="29">'[8]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_Range">'[8]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s_EndYrBal" localSheetId="1">[4]Inputs!$E$16:$E$73</definedName>
    <definedName name="Inputs_EndYrBal">[4]Inputs!$E$16:$E$73</definedName>
    <definedName name="Inputs_EndYrBal_prior" localSheetId="1">[4]Inputs!$D$16:$D$73</definedName>
    <definedName name="Inputs_EndYrBal_prior">[4]Inputs!$D$16:$D$73</definedName>
    <definedName name="Inputs_FF1_Map" localSheetId="1">[4]Inputs!$F$16:$F$73</definedName>
    <definedName name="Inputs_FF1_Map">[4]Inputs!$F$16:$F$73</definedName>
    <definedName name="IPP" localSheetId="1">'[3]C. Input'!#REF!</definedName>
    <definedName name="IPP" localSheetId="9">'[3]C. Input'!#REF!</definedName>
    <definedName name="IPP" localSheetId="11">'[3]C. Input'!#REF!</definedName>
    <definedName name="IPP" localSheetId="16">'[3]C. Input'!#REF!</definedName>
    <definedName name="IPP" localSheetId="28">'[3]C. Input'!#REF!</definedName>
    <definedName name="IPP" localSheetId="29">'[3]C. Input'!#REF!</definedName>
    <definedName name="IPP">'[3]C. Input'!#REF!</definedName>
    <definedName name="IPPINT" localSheetId="1">'[3]C. Input'!#REF!</definedName>
    <definedName name="IPPINT" localSheetId="9">'[3]C. Input'!#REF!</definedName>
    <definedName name="IPPINT" localSheetId="11">'[3]C. Input'!#REF!</definedName>
    <definedName name="IPPINT" localSheetId="16">'[3]C. Input'!#REF!</definedName>
    <definedName name="IPPINT" localSheetId="28">'[3]C. Input'!#REF!</definedName>
    <definedName name="IPPINT" localSheetId="29">'[3]C. Input'!#REF!</definedName>
    <definedName name="IPPINT">'[3]C. Input'!#REF!</definedName>
    <definedName name="IPPIRB" localSheetId="1">'[3]C. Input'!#REF!</definedName>
    <definedName name="IPPIRB" localSheetId="9">'[3]C. Input'!#REF!</definedName>
    <definedName name="IPPIRB" localSheetId="11">'[3]C. Input'!#REF!</definedName>
    <definedName name="IPPIRB" localSheetId="16">'[3]C. Input'!#REF!</definedName>
    <definedName name="IPPIRB" localSheetId="28">'[3]C. Input'!#REF!</definedName>
    <definedName name="IPPIRB" localSheetId="29">'[3]C. Input'!#REF!</definedName>
    <definedName name="IPPIRB">'[3]C. Input'!#REF!</definedName>
    <definedName name="IPPRB" localSheetId="1">'[3]C. Input'!#REF!</definedName>
    <definedName name="IPPRB" localSheetId="9">'[3]C. Input'!#REF!</definedName>
    <definedName name="IPPRB" localSheetId="11">'[3]C. Input'!#REF!</definedName>
    <definedName name="IPPRB" localSheetId="16">'[3]C. Input'!#REF!</definedName>
    <definedName name="IPPRB" localSheetId="28">'[3]C. Input'!#REF!</definedName>
    <definedName name="IPPRB" localSheetId="29">'[3]C. Input'!#REF!</definedName>
    <definedName name="IPPRB">'[3]C. Input'!#REF!</definedName>
    <definedName name="ITC" localSheetId="1">'[3]C. Input'!$F$146</definedName>
    <definedName name="ITC" localSheetId="9">'[3]C. Input'!$F$146</definedName>
    <definedName name="ITC" localSheetId="29">'[3]C. Input'!$F$146</definedName>
    <definedName name="ITC">'[3]C. Input'!$F$146</definedName>
    <definedName name="ITCWO" localSheetId="1">'[3]C. Input'!$F$325</definedName>
    <definedName name="ITCWO" localSheetId="9">'[3]C. Input'!$F$325</definedName>
    <definedName name="ITCWO" localSheetId="29">'[3]C. Input'!$F$325</definedName>
    <definedName name="ITCWO">'[3]C. Input'!$F$325</definedName>
    <definedName name="JanCP" localSheetId="1">#REF!</definedName>
    <definedName name="JanCP" localSheetId="9">#REF!</definedName>
    <definedName name="JanCP" localSheetId="11">#REF!</definedName>
    <definedName name="JanCP" localSheetId="20">#REF!</definedName>
    <definedName name="JanCP" localSheetId="25">#REF!</definedName>
    <definedName name="JanCP" localSheetId="28">#REF!</definedName>
    <definedName name="JanCP">#REF!</definedName>
    <definedName name="jor" localSheetId="1">#REF!</definedName>
    <definedName name="jor" localSheetId="9">#REF!</definedName>
    <definedName name="jor" localSheetId="11">#REF!</definedName>
    <definedName name="jor" localSheetId="20">#REF!</definedName>
    <definedName name="jor" localSheetId="28">#REF!</definedName>
    <definedName name="jor">#REF!</definedName>
    <definedName name="JOUR_ENTRY" localSheetId="1">#REF!</definedName>
    <definedName name="JOUR_ENTRY" localSheetId="9">#REF!</definedName>
    <definedName name="JOUR_ENTRY" localSheetId="11">#REF!</definedName>
    <definedName name="JOUR_ENTRY" localSheetId="20">#REF!</definedName>
    <definedName name="JOUR_ENTRY" localSheetId="28">#REF!</definedName>
    <definedName name="JOUR_ENTRY">#REF!</definedName>
    <definedName name="JUL">#N/A</definedName>
    <definedName name="JUN">#N/A</definedName>
    <definedName name="Keep" localSheetId="1" hidden="1">{"PRINT",#N/A,TRUE,"APPA";"PRINT",#N/A,TRUE,"APS";"PRINT",#N/A,TRUE,"BHPL";"PRINT",#N/A,TRUE,"BHPL2";"PRINT",#N/A,TRUE,"CDWR";"PRINT",#N/A,TRUE,"EWEB";"PRINT",#N/A,TRUE,"LADWP";"PRINT",#N/A,TRUE,"NEVBASE"}</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1">'[3]A.2 PTP'!$P$230</definedName>
    <definedName name="LFTSR" localSheetId="9">'[3]A.2 PTP'!$P$230</definedName>
    <definedName name="LFTSR" localSheetId="29">'[3]A.2 PTP'!$P$230</definedName>
    <definedName name="LFTSR">'[3]A.2 PTP'!$P$230</definedName>
    <definedName name="LOCATE3">#N/A</definedName>
    <definedName name="LOCTABLE" localSheetId="1">#REF!</definedName>
    <definedName name="LOCTABLE" localSheetId="9">#REF!</definedName>
    <definedName name="LOCTABLE" localSheetId="11">#REF!</definedName>
    <definedName name="LOCTABLE" localSheetId="20">#REF!</definedName>
    <definedName name="LOCTABLE" localSheetId="25">#REF!</definedName>
    <definedName name="LOCTABLE" localSheetId="28">#REF!</definedName>
    <definedName name="LOCTABLE">#REF!</definedName>
    <definedName name="LOCTextLen" localSheetId="1">#REF!</definedName>
    <definedName name="LOCTextLen" localSheetId="9">#REF!</definedName>
    <definedName name="LOCTextLen" localSheetId="11">#REF!</definedName>
    <definedName name="LOCTextLen" localSheetId="20">#REF!</definedName>
    <definedName name="LOCTextLen" localSheetId="25">#REF!</definedName>
    <definedName name="LOCTextLen" localSheetId="28">#REF!</definedName>
    <definedName name="LOCTextLen">#REF!</definedName>
    <definedName name="losses" localSheetId="1">#REF!</definedName>
    <definedName name="losses" localSheetId="9">#REF!</definedName>
    <definedName name="losses" localSheetId="11">#REF!</definedName>
    <definedName name="losses" localSheetId="20">#REF!</definedName>
    <definedName name="losses" localSheetId="25">#REF!</definedName>
    <definedName name="losses" localSheetId="28">#REF!</definedName>
    <definedName name="losses">#REF!</definedName>
    <definedName name="LRG_GE" localSheetId="1">#REF!</definedName>
    <definedName name="LRG_GE" localSheetId="11">#REF!</definedName>
    <definedName name="LRG_GE" localSheetId="20">#REF!</definedName>
    <definedName name="LRG_GE" localSheetId="28">#REF!</definedName>
    <definedName name="LRG_GE">#REF!</definedName>
    <definedName name="LRG_GJ" localSheetId="1">#REF!</definedName>
    <definedName name="LRG_GJ" localSheetId="11">#REF!</definedName>
    <definedName name="LRG_GJ" localSheetId="20">#REF!</definedName>
    <definedName name="LRG_GJ" localSheetId="28">#REF!</definedName>
    <definedName name="LRG_GJ">#REF!</definedName>
    <definedName name="LYN" localSheetId="1">#REF!</definedName>
    <definedName name="LYN" localSheetId="11">#REF!</definedName>
    <definedName name="LYN" localSheetId="28">#REF!</definedName>
    <definedName name="LYN" localSheetId="29">#REF!</definedName>
    <definedName name="LYN">#REF!</definedName>
    <definedName name="M" localSheetId="1">[6]FERCFACT!#REF!</definedName>
    <definedName name="M" localSheetId="11">[6]FERCFACT!#REF!</definedName>
    <definedName name="M" localSheetId="28">[6]FERCFACT!#REF!</definedName>
    <definedName name="M">[6]FERCFACT!#REF!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1">'[3]A.2 PTP'!$P$276</definedName>
    <definedName name="MFTSR" localSheetId="9">'[3]A.2 PTP'!$P$276</definedName>
    <definedName name="MFTSR" localSheetId="29">'[3]A.2 PTP'!$P$276</definedName>
    <definedName name="MFTSR">'[3]A.2 PTP'!$P$276</definedName>
    <definedName name="Mo_roll" localSheetId="1">#REF!</definedName>
    <definedName name="Mo_roll" localSheetId="11">#REF!</definedName>
    <definedName name="Mo_roll" localSheetId="28">#REF!</definedName>
    <definedName name="Mo_roll" localSheetId="29">#REF!</definedName>
    <definedName name="Mo_roll">#REF!</definedName>
    <definedName name="MONTHS">#N/A</definedName>
    <definedName name="MOVE">#N/A</definedName>
    <definedName name="MREV" localSheetId="1">'[3]C. Input'!$F$295</definedName>
    <definedName name="MREV" localSheetId="9">'[3]C. Input'!$F$295</definedName>
    <definedName name="MREV" localSheetId="29">'[3]C. Input'!$F$295</definedName>
    <definedName name="MREV">'[3]C. Input'!$F$295</definedName>
    <definedName name="MS" localSheetId="1">'[3]C. Input'!$F$242</definedName>
    <definedName name="MS" localSheetId="9">'[3]C. Input'!$F$242</definedName>
    <definedName name="MS" localSheetId="29">'[3]C. Input'!$F$242</definedName>
    <definedName name="MS">'[3]C. Input'!$F$242</definedName>
    <definedName name="MTH">#N/A</definedName>
    <definedName name="N_A" localSheetId="1">'[3]C. Input'!#REF!</definedName>
    <definedName name="N_A" localSheetId="9">'[3]C. Input'!#REF!</definedName>
    <definedName name="N_A" localSheetId="11">'[3]C. Input'!#REF!</definedName>
    <definedName name="N_A" localSheetId="28">'[3]C. Input'!#REF!</definedName>
    <definedName name="N_A" localSheetId="29">'[3]C. Input'!#REF!</definedName>
    <definedName name="N_A">'[3]C. Input'!#REF!</definedName>
    <definedName name="NCP">#N/A</definedName>
    <definedName name="NCP_1">#N/A</definedName>
    <definedName name="NCPK1">#N/A</definedName>
    <definedName name="NCPK1X" localSheetId="1">#REF!</definedName>
    <definedName name="NCPK1X" localSheetId="9">#REF!</definedName>
    <definedName name="NCPK1X" localSheetId="11">#REF!</definedName>
    <definedName name="NCPK1X" localSheetId="20">#REF!</definedName>
    <definedName name="NCPK1X" localSheetId="25">#REF!</definedName>
    <definedName name="NCPK1X" localSheetId="28">#REF!</definedName>
    <definedName name="NCPK1X">#REF!</definedName>
    <definedName name="NCPK2" localSheetId="1">#REF!</definedName>
    <definedName name="NCPK2" localSheetId="9">#REF!</definedName>
    <definedName name="NCPK2" localSheetId="11">#REF!</definedName>
    <definedName name="NCPK2" localSheetId="20">#REF!</definedName>
    <definedName name="NCPK2" localSheetId="25">#REF!</definedName>
    <definedName name="NCPK2" localSheetId="28">#REF!</definedName>
    <definedName name="NCPK2">#REF!</definedName>
    <definedName name="NCPK2X" localSheetId="1">#REF!</definedName>
    <definedName name="NCPK2X" localSheetId="9">#REF!</definedName>
    <definedName name="NCPK2X" localSheetId="11">#REF!</definedName>
    <definedName name="NCPK2X" localSheetId="20">#REF!</definedName>
    <definedName name="NCPK2X" localSheetId="25">#REF!</definedName>
    <definedName name="NCPK2X" localSheetId="28">#REF!</definedName>
    <definedName name="NCPK2X">#REF!</definedName>
    <definedName name="NCPK3" localSheetId="1">#REF!</definedName>
    <definedName name="NCPK3" localSheetId="11">#REF!</definedName>
    <definedName name="NCPK3" localSheetId="20">#REF!</definedName>
    <definedName name="NCPK3" localSheetId="28">#REF!</definedName>
    <definedName name="NCPK3">#REF!</definedName>
    <definedName name="NET_TO_ZERO" localSheetId="1">#REF!</definedName>
    <definedName name="NET_TO_ZERO" localSheetId="11">#REF!</definedName>
    <definedName name="NET_TO_ZERO" localSheetId="28">#REF!</definedName>
    <definedName name="NET_TO_ZERO" localSheetId="29">#REF!</definedName>
    <definedName name="NET_TO_ZERO">#REF!</definedName>
    <definedName name="NETWK_TRANS_PK_RPT_Print_Area" localSheetId="1">#REF!</definedName>
    <definedName name="NETWK_TRANS_PK_RPT_Print_Area" localSheetId="11">#REF!</definedName>
    <definedName name="NETWK_TRANS_PK_RPT_Print_Area" localSheetId="20">#REF!</definedName>
    <definedName name="NETWK_TRANS_PK_RPT_Print_Area" localSheetId="28">#REF!</definedName>
    <definedName name="NETWK_TRANS_PK_RPT_Print_Area">#REF!</definedName>
    <definedName name="NINE">#N/A</definedName>
    <definedName name="NoErrMsg" localSheetId="1">#REF!</definedName>
    <definedName name="NoErrMsg" localSheetId="9">#REF!</definedName>
    <definedName name="NoErrMsg" localSheetId="11">#REF!</definedName>
    <definedName name="NoErrMsg" localSheetId="20">#REF!</definedName>
    <definedName name="NoErrMsg" localSheetId="25">#REF!</definedName>
    <definedName name="NoErrMsg" localSheetId="28">#REF!</definedName>
    <definedName name="NoErrMsg">#REF!</definedName>
    <definedName name="NormErrMsg" localSheetId="1">#REF!</definedName>
    <definedName name="NormErrMsg" localSheetId="9">#REF!</definedName>
    <definedName name="NormErrMsg" localSheetId="11">#REF!</definedName>
    <definedName name="NormErrMsg" localSheetId="20">#REF!</definedName>
    <definedName name="NormErrMsg" localSheetId="25">#REF!</definedName>
    <definedName name="NormErrMsg" localSheetId="28">#REF!</definedName>
    <definedName name="NormErrMsg">#REF!</definedName>
    <definedName name="NOTE" localSheetId="1">#REF!</definedName>
    <definedName name="NOTE" localSheetId="9">#REF!</definedName>
    <definedName name="NOTE" localSheetId="11">#REF!</definedName>
    <definedName name="NOTE" localSheetId="20">#REF!</definedName>
    <definedName name="NOTE" localSheetId="25">#REF!</definedName>
    <definedName name="NOTE" localSheetId="28">#REF!</definedName>
    <definedName name="NOTE">#REF!</definedName>
    <definedName name="NOTE_A" localSheetId="1">#REF!</definedName>
    <definedName name="NOTE_A" localSheetId="11">#REF!</definedName>
    <definedName name="NOTE_A" localSheetId="20">#REF!</definedName>
    <definedName name="NOTE_A" localSheetId="28">#REF!</definedName>
    <definedName name="NOTE_A">#REF!</definedName>
    <definedName name="NOTE_B" localSheetId="1">#REF!</definedName>
    <definedName name="NOTE_B" localSheetId="11">#REF!</definedName>
    <definedName name="NOTE_B" localSheetId="20">#REF!</definedName>
    <definedName name="NOTE_B" localSheetId="28">#REF!</definedName>
    <definedName name="NOTE_B">#REF!</definedName>
    <definedName name="NOTE2" localSheetId="1">#REF!</definedName>
    <definedName name="NOTE2" localSheetId="11">#REF!</definedName>
    <definedName name="NOTE2" localSheetId="20">#REF!</definedName>
    <definedName name="NOTE2" localSheetId="28">#REF!</definedName>
    <definedName name="NOTE2">#REF!</definedName>
    <definedName name="NOV">#N/A</definedName>
    <definedName name="NP">'MISO Cover'!$G$90</definedName>
    <definedName name="NTDR" localSheetId="1">'[3]C. Input'!$F$234</definedName>
    <definedName name="NTDR" localSheetId="9">'[3]C. Input'!$F$234</definedName>
    <definedName name="NTDR" localSheetId="29">'[3]C. Input'!$F$234</definedName>
    <definedName name="NTDR">'[3]C. Input'!$F$234</definedName>
    <definedName name="NTPLT" localSheetId="1">'[3]C. Input'!$F$164</definedName>
    <definedName name="NTPLT" localSheetId="9">'[3]C. Input'!$F$164</definedName>
    <definedName name="NTPLT" localSheetId="29">'[3]C. Input'!$F$164</definedName>
    <definedName name="NTPLT">'[3]C. Input'!$F$164</definedName>
    <definedName name="NTSRR" localSheetId="1">'[3]B.2 NITS '!$P$220</definedName>
    <definedName name="NTSRR" localSheetId="9">'[3]B.2 NITS '!$P$220</definedName>
    <definedName name="NTSRR" localSheetId="29">'[3]B.2 NITS '!$P$220</definedName>
    <definedName name="NTSRR">'[3]B.2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1">'[3]A.2 PTP'!$P$129</definedName>
    <definedName name="OTR_TST" localSheetId="9">'[3]A.2 PTP'!$P$129</definedName>
    <definedName name="OTR_TST" localSheetId="29">'[3]A.2 PTP'!$P$129</definedName>
    <definedName name="OTR_TST">'[3]A.2 PTP'!$P$129</definedName>
    <definedName name="P_TYPE">#N/A</definedName>
    <definedName name="PAGE.1" localSheetId="1">#REF!</definedName>
    <definedName name="PAGE.1" localSheetId="11">#REF!</definedName>
    <definedName name="PAGE.1" localSheetId="28">#REF!</definedName>
    <definedName name="PAGE.1">#REF!</definedName>
    <definedName name="PAGE.2" localSheetId="1">#REF!</definedName>
    <definedName name="PAGE.2" localSheetId="11">#REF!</definedName>
    <definedName name="PAGE.2" localSheetId="28">#REF!</definedName>
    <definedName name="PAGE.2">#REF!</definedName>
    <definedName name="PAGE.4" localSheetId="1">#REF!</definedName>
    <definedName name="PAGE.4" localSheetId="11">#REF!</definedName>
    <definedName name="PAGE.4" localSheetId="28">#REF!</definedName>
    <definedName name="PAGE.4">#REF!</definedName>
    <definedName name="PAGE.5" localSheetId="1">#REF!</definedName>
    <definedName name="PAGE.5" localSheetId="11">#REF!</definedName>
    <definedName name="PAGE.5" localSheetId="28">#REF!</definedName>
    <definedName name="PAGE.5">#REF!</definedName>
    <definedName name="PAGE.6" localSheetId="1">#REF!</definedName>
    <definedName name="PAGE.6" localSheetId="11">#REF!</definedName>
    <definedName name="PAGE.6" localSheetId="28">#REF!</definedName>
    <definedName name="PAGE.6">#REF!</definedName>
    <definedName name="PAGE.7" localSheetId="1">#REF!</definedName>
    <definedName name="PAGE.7" localSheetId="11">#REF!</definedName>
    <definedName name="PAGE.7" localSheetId="28">#REF!</definedName>
    <definedName name="PAGE.7">#REF!</definedName>
    <definedName name="PAGE_2A" localSheetId="1">#REF!</definedName>
    <definedName name="PAGE_2A" localSheetId="11">#REF!</definedName>
    <definedName name="PAGE_2A" localSheetId="28">#REF!</definedName>
    <definedName name="PAGE_2A" localSheetId="29">#REF!</definedName>
    <definedName name="PAGE_2A">#REF!</definedName>
    <definedName name="PAGE_3B" localSheetId="1">#REF!</definedName>
    <definedName name="PAGE_3B" localSheetId="11">#REF!</definedName>
    <definedName name="PAGE_3B" localSheetId="28">#REF!</definedName>
    <definedName name="PAGE_3B" localSheetId="29">#REF!</definedName>
    <definedName name="PAGE_3B">#REF!</definedName>
    <definedName name="PAGE1" localSheetId="1">[6]FERCFACT!#REF!</definedName>
    <definedName name="PAGE1" localSheetId="9">[6]FERCFACT!#REF!</definedName>
    <definedName name="PAGE1" localSheetId="11">[6]FERCFACT!#REF!</definedName>
    <definedName name="PAGE1" localSheetId="16">[6]FERCFACT!#REF!</definedName>
    <definedName name="page1" localSheetId="21">'[9]W&amp;S by group'!#REF!</definedName>
    <definedName name="PAGE1" localSheetId="25">[6]FERCFACT!#REF!</definedName>
    <definedName name="PAGE1" localSheetId="28">[6]FERCFACT!#REF!</definedName>
    <definedName name="PAGE1" localSheetId="29">#REF!</definedName>
    <definedName name="PAGE1">[6]FERCFACT!#REF!</definedName>
    <definedName name="page10" localSheetId="9">'[9]W&amp;S by group'!#REF!</definedName>
    <definedName name="page10" localSheetId="11">'[9]W&amp;S by group'!#REF!</definedName>
    <definedName name="page10" localSheetId="25">'[9]W&amp;S by group'!#REF!</definedName>
    <definedName name="page10">'[9]W&amp;S by group'!#REF!</definedName>
    <definedName name="page11" localSheetId="9">'[9]W&amp;S by group'!#REF!</definedName>
    <definedName name="page11" localSheetId="11">'[9]W&amp;S by group'!#REF!</definedName>
    <definedName name="page11" localSheetId="25">'[9]W&amp;S by group'!#REF!</definedName>
    <definedName name="page11">'[9]W&amp;S by group'!#REF!</definedName>
    <definedName name="page12" localSheetId="9">'[9]W&amp;S by group'!#REF!</definedName>
    <definedName name="page12" localSheetId="11">'[9]W&amp;S by group'!#REF!</definedName>
    <definedName name="page12" localSheetId="25">'[9]W&amp;S by group'!#REF!</definedName>
    <definedName name="page12">'[9]W&amp;S by group'!#REF!</definedName>
    <definedName name="page13" localSheetId="11">'[9]W&amp;S by group'!#REF!</definedName>
    <definedName name="page13">'[9]W&amp;S by group'!#REF!</definedName>
    <definedName name="page14" localSheetId="11">'[9]W&amp;S by group'!#REF!</definedName>
    <definedName name="page14">'[9]W&amp;S by group'!#REF!</definedName>
    <definedName name="page15" localSheetId="11">'[9]W&amp;S by group'!#REF!</definedName>
    <definedName name="page15">'[9]W&amp;S by group'!#REF!</definedName>
    <definedName name="page16" localSheetId="11">'[9]W&amp;S by group'!#REF!</definedName>
    <definedName name="page16">'[9]W&amp;S by group'!#REF!</definedName>
    <definedName name="PAGE1A" localSheetId="1">#REF!</definedName>
    <definedName name="PAGE1A" localSheetId="11">#REF!</definedName>
    <definedName name="PAGE1A" localSheetId="28">#REF!</definedName>
    <definedName name="PAGE1A" localSheetId="29">#REF!</definedName>
    <definedName name="PAGE1A">#REF!</definedName>
    <definedName name="PAGE2" localSheetId="1">#REF!</definedName>
    <definedName name="PAGE2" localSheetId="9">#REF!</definedName>
    <definedName name="PAGE2" localSheetId="11">#REF!</definedName>
    <definedName name="PAGE2" localSheetId="16">#REF!</definedName>
    <definedName name="PAGE2" localSheetId="20">#REF!</definedName>
    <definedName name="page2" localSheetId="21">'[9]W&amp;S by group'!#REF!</definedName>
    <definedName name="PAGE2" localSheetId="28">#REF!</definedName>
    <definedName name="PAGE2" localSheetId="29">#REF!</definedName>
    <definedName name="PAGE2">#REF!</definedName>
    <definedName name="PAGE3" localSheetId="1">[6]FERCFACT!#REF!</definedName>
    <definedName name="PAGE3" localSheetId="9">[6]FERCFACT!#REF!</definedName>
    <definedName name="PAGE3" localSheetId="11">[6]FERCFACT!#REF!</definedName>
    <definedName name="PAGE3" localSheetId="16">[6]FERCFACT!#REF!</definedName>
    <definedName name="page3" localSheetId="21">'[9]W&amp;S by group'!#REF!</definedName>
    <definedName name="PAGE3" localSheetId="28">[6]FERCFACT!#REF!</definedName>
    <definedName name="PAGE3" localSheetId="29">#REF!</definedName>
    <definedName name="PAGE3">[6]FERCFACT!#REF!</definedName>
    <definedName name="PAGE3A" localSheetId="1">#REF!</definedName>
    <definedName name="PAGE3A" localSheetId="11">#REF!</definedName>
    <definedName name="PAGE3A" localSheetId="28">#REF!</definedName>
    <definedName name="PAGE3A" localSheetId="29">#REF!</definedName>
    <definedName name="PAGE3A">#REF!</definedName>
    <definedName name="PAGE4" localSheetId="1">#REF!</definedName>
    <definedName name="PAGE4" localSheetId="9">#REF!</definedName>
    <definedName name="PAGE4" localSheetId="11">#REF!</definedName>
    <definedName name="PAGE4" localSheetId="16">#REF!</definedName>
    <definedName name="PAGE4" localSheetId="20">#REF!</definedName>
    <definedName name="page4" localSheetId="21">'[9]W&amp;S by group'!#REF!</definedName>
    <definedName name="PAGE4" localSheetId="25">#REF!</definedName>
    <definedName name="PAGE4" localSheetId="28">#REF!</definedName>
    <definedName name="PAGE4" localSheetId="29">#REF!</definedName>
    <definedName name="PAGE4">#REF!</definedName>
    <definedName name="PAGE4A" localSheetId="1">#REF!</definedName>
    <definedName name="PAGE4A" localSheetId="11">#REF!</definedName>
    <definedName name="PAGE4A" localSheetId="28">#REF!</definedName>
    <definedName name="PAGE4A" localSheetId="29">#REF!</definedName>
    <definedName name="PAGE4A">#REF!</definedName>
    <definedName name="PAGE5" localSheetId="1">#REF!</definedName>
    <definedName name="PAGE5" localSheetId="9">#REF!</definedName>
    <definedName name="PAGE5" localSheetId="11">#REF!</definedName>
    <definedName name="PAGE5" localSheetId="20">#REF!</definedName>
    <definedName name="page5" localSheetId="21">#REF!</definedName>
    <definedName name="PAGE5" localSheetId="25">#REF!</definedName>
    <definedName name="PAGE5" localSheetId="28">#REF!</definedName>
    <definedName name="PAGE5" localSheetId="29">#REF!</definedName>
    <definedName name="PAGE5">#REF!</definedName>
    <definedName name="PAGE6" localSheetId="1">#REF!</definedName>
    <definedName name="PAGE6" localSheetId="9">#REF!</definedName>
    <definedName name="PAGE6" localSheetId="11">#REF!</definedName>
    <definedName name="PAGE6" localSheetId="20">#REF!</definedName>
    <definedName name="page6" localSheetId="21">#REF!</definedName>
    <definedName name="PAGE6" localSheetId="25">#REF!</definedName>
    <definedName name="PAGE6" localSheetId="28">#REF!</definedName>
    <definedName name="PAGE6" localSheetId="29">#REF!</definedName>
    <definedName name="PAGE6">#REF!</definedName>
    <definedName name="PAGE7" localSheetId="1">#REF!</definedName>
    <definedName name="PAGE7" localSheetId="9">#REF!</definedName>
    <definedName name="PAGE7" localSheetId="11">#REF!</definedName>
    <definedName name="PAGE7" localSheetId="16">#REF!</definedName>
    <definedName name="PAGE7" localSheetId="20">#REF!</definedName>
    <definedName name="page7" localSheetId="21">'[9]W&amp;S by group'!#REF!</definedName>
    <definedName name="PAGE7" localSheetId="25">#REF!</definedName>
    <definedName name="PAGE7" localSheetId="28">#REF!</definedName>
    <definedName name="PAGE7" localSheetId="29">#REF!</definedName>
    <definedName name="PAGE7">#REF!</definedName>
    <definedName name="PAGE8" localSheetId="1">#REF!</definedName>
    <definedName name="PAGE8" localSheetId="9">#REF!</definedName>
    <definedName name="PAGE8" localSheetId="11">#REF!</definedName>
    <definedName name="PAGE8" localSheetId="16">#REF!</definedName>
    <definedName name="PAGE8" localSheetId="20">#REF!</definedName>
    <definedName name="page8" localSheetId="21">'[9]W&amp;S by group'!#REF!</definedName>
    <definedName name="PAGE8" localSheetId="25">#REF!</definedName>
    <definedName name="PAGE8" localSheetId="28">#REF!</definedName>
    <definedName name="PAGE8">#REF!</definedName>
    <definedName name="PAGE9" localSheetId="1">#REF!</definedName>
    <definedName name="PAGE9" localSheetId="9">#REF!</definedName>
    <definedName name="PAGE9" localSheetId="11">#REF!</definedName>
    <definedName name="PAGE9" localSheetId="16">#REF!</definedName>
    <definedName name="PAGE9" localSheetId="20">#REF!</definedName>
    <definedName name="page9" localSheetId="21">'[9]W&amp;S by group'!#REF!</definedName>
    <definedName name="PAGE9" localSheetId="25">#REF!</definedName>
    <definedName name="PAGE9" localSheetId="28">#REF!</definedName>
    <definedName name="PAGE9">#REF!</definedName>
    <definedName name="PageA" localSheetId="1">#REF!</definedName>
    <definedName name="PageA" localSheetId="11">#REF!</definedName>
    <definedName name="PageA" localSheetId="20">#REF!</definedName>
    <definedName name="PageA" localSheetId="25">#REF!</definedName>
    <definedName name="PageA" localSheetId="28">#REF!</definedName>
    <definedName name="PageA">#REF!</definedName>
    <definedName name="PageB" localSheetId="1">#REF!</definedName>
    <definedName name="PageB" localSheetId="11">#REF!</definedName>
    <definedName name="PageB" localSheetId="20">#REF!</definedName>
    <definedName name="PageB" localSheetId="28">#REF!</definedName>
    <definedName name="PageB">#REF!</definedName>
    <definedName name="PageC" localSheetId="1">#REF!</definedName>
    <definedName name="PageC" localSheetId="11">#REF!</definedName>
    <definedName name="PageC" localSheetId="20">#REF!</definedName>
    <definedName name="PageC" localSheetId="28">#REF!</definedName>
    <definedName name="PageC">#REF!</definedName>
    <definedName name="PEAK">#N/A</definedName>
    <definedName name="PF" localSheetId="1">'[3]C. Input'!$F$35</definedName>
    <definedName name="PF" localSheetId="9">'[3]C. Input'!$F$35</definedName>
    <definedName name="PF" localSheetId="29">'[3]C. Input'!$F$35</definedName>
    <definedName name="PF">'[3]C. Input'!$F$35</definedName>
    <definedName name="PF_EAI" localSheetId="1">'[3]C. Input'!$I$35</definedName>
    <definedName name="PF_EAI" localSheetId="9">'[3]C. Input'!$I$35</definedName>
    <definedName name="PF_EAI" localSheetId="29">'[3]C. Input'!$I$35</definedName>
    <definedName name="PF_EAI">'[3]C. Input'!$I$35</definedName>
    <definedName name="PF_EGSI" localSheetId="1">'[3]C. Input'!$L$35</definedName>
    <definedName name="PF_EGSI" localSheetId="9">'[3]C. Input'!$L$35</definedName>
    <definedName name="PF_EGSI" localSheetId="29">'[3]C. Input'!$L$35</definedName>
    <definedName name="PF_EGSI">'[3]C. Input'!$L$35</definedName>
    <definedName name="PF_ELI" localSheetId="1">'[3]C. Input'!$O$35</definedName>
    <definedName name="PF_ELI" localSheetId="9">'[3]C. Input'!$O$35</definedName>
    <definedName name="PF_ELI" localSheetId="29">'[3]C. Input'!$O$35</definedName>
    <definedName name="PF_ELI">'[3]C. Input'!$O$35</definedName>
    <definedName name="PF_EMI" localSheetId="1">'[3]C. Input'!$R$35</definedName>
    <definedName name="PF_EMI" localSheetId="9">'[3]C. Input'!$R$35</definedName>
    <definedName name="PF_EMI" localSheetId="29">'[3]C. Input'!$R$35</definedName>
    <definedName name="PF_EMI">'[3]C. Input'!$R$35</definedName>
    <definedName name="PF_ENOI" localSheetId="1">'[3]C. Input'!$X$35</definedName>
    <definedName name="PF_ENOI" localSheetId="9">'[3]C. Input'!$X$35</definedName>
    <definedName name="PF_ENOI" localSheetId="29">'[3]C. Input'!$X$35</definedName>
    <definedName name="PF_ENOI">'[3]C. Input'!$X$35</definedName>
    <definedName name="PK_1">#N/A</definedName>
    <definedName name="PPLT" localSheetId="1">'[3]C. Input'!$F$152</definedName>
    <definedName name="PPLT" localSheetId="9">'[3]C. Input'!$F$152</definedName>
    <definedName name="PPLT" localSheetId="29">'[3]C. Input'!$F$152</definedName>
    <definedName name="PPLT">'[3]C. Input'!$F$152</definedName>
    <definedName name="PPT" localSheetId="1">'[3]C. Input'!$F$244</definedName>
    <definedName name="PPT" localSheetId="9">'[3]C. Input'!$F$244</definedName>
    <definedName name="PPT" localSheetId="29">'[3]C. Input'!$F$244</definedName>
    <definedName name="PPT">'[3]C. Input'!$F$244</definedName>
    <definedName name="PR" localSheetId="1">'[3]C. Input'!$F$25</definedName>
    <definedName name="PR" localSheetId="9">'[3]C. Input'!$F$25</definedName>
    <definedName name="PR" localSheetId="29">'[3]C. Input'!$F$25</definedName>
    <definedName name="PR">'[3]C. Input'!$F$25</definedName>
    <definedName name="_xlnm.Print_Area" localSheetId="2">'Appendix A'!$A:$H</definedName>
    <definedName name="_xlnm.Print_Area" localSheetId="0">'Explanatory Stmts'!$A$1:$B$37</definedName>
    <definedName name="_xlnm.Print_Area" localSheetId="1">'MISO Cover'!$A$1:$K$239</definedName>
    <definedName name="_xlnm.Print_Area" localSheetId="7">'Support to WP02'!$A$1:$F$61</definedName>
    <definedName name="_xlnm.Print_Area" localSheetId="33">'WP AJ1 MISO'!$A$1:$K$84</definedName>
    <definedName name="_xlnm.Print_Area" localSheetId="34">'WP AJ2 ITC'!$A$1:$F$68</definedName>
    <definedName name="_xlnm.Print_Area" localSheetId="35">'WP AJ3 HCM'!$A$1:$G$60</definedName>
    <definedName name="_xlnm.Print_Area" localSheetId="36">'WP AJ4 Ouachita'!$A$1:$E$62</definedName>
    <definedName name="_xlnm.Print_Area" localSheetId="37">'WP AJ5 GPRD'!$A:$E</definedName>
    <definedName name="_xlnm.Print_Area" localSheetId="4">'WP01 True-Up'!$A:$I</definedName>
    <definedName name="_xlnm.Print_Area" localSheetId="5">'WP01 TU Support'!$A$1:$I$82</definedName>
    <definedName name="_xlnm.Print_Area" localSheetId="6">'WP02 Support'!$A$1:$I$176</definedName>
    <definedName name="_xlnm.Print_Area" localSheetId="8">'WP03 W&amp;S'!$A$1:$D$37</definedName>
    <definedName name="_xlnm.Print_Area" localSheetId="9">'WP04 PIS'!$A:$L</definedName>
    <definedName name="_xlnm.Print_Area" localSheetId="10">'WP04 Support'!$A$1:$L$28</definedName>
    <definedName name="_xlnm.Print_Area" localSheetId="11">'WP05 CapAds'!$A$1:$D$28</definedName>
    <definedName name="_xlnm.Print_Area" localSheetId="12">'WP06 ADIT'!$A$1:$N$236</definedName>
    <definedName name="_xlnm.Print_Area" localSheetId="13">'WP06 ADIT Support'!$A$1:$F$37</definedName>
    <definedName name="_xlnm.Print_Area" localSheetId="14">'WP07 M&amp;S'!$A$1:$Q$14</definedName>
    <definedName name="_xlnm.Print_Area" localSheetId="15">'WP08 Prepay'!$A$1:$Q$70</definedName>
    <definedName name="_xlnm.Print_Area" localSheetId="16">'WP09 PHFU'!$A$1:$P$18</definedName>
    <definedName name="_xlnm.Print_Area" localSheetId="17">'WP10 Storm'!$A$1:$E$68</definedName>
    <definedName name="_xlnm.Print_Area" localSheetId="18">'WP11 Credits'!$A$1:$E$16</definedName>
    <definedName name="_xlnm.Print_Area" localSheetId="19">'WP12 PBOP'!$A$1:$C$16</definedName>
    <definedName name="_xlnm.Print_Area" localSheetId="20">'WP13 TOTI'!$A$1:$H$47</definedName>
    <definedName name="_xlnm.Print_Area" localSheetId="21">'WP14 COC'!$A$1:$J$57,'WP14 COC'!$K$1:$Q$48</definedName>
    <definedName name="_xlnm.Print_Area" localSheetId="23">'WP15 Radials'!$A$1:$G$88</definedName>
    <definedName name="_xlnm.Print_Area" localSheetId="24">'WP16 Interconn'!$A$1:$P$29</definedName>
    <definedName name="_xlnm.Print_Area" localSheetId="25">'WP17 Rev'!$A$1:$I$72</definedName>
    <definedName name="_xlnm.Print_Area" localSheetId="26">'WP17 Rev Support'!$A$1:$E$41</definedName>
    <definedName name="_xlnm.Print_Area" localSheetId="28">'WP18 Depr Support'!$A$1:$D$29</definedName>
    <definedName name="_xlnm.Print_Area" localSheetId="27">'WP18 Deprec'!$A$1:$E$52</definedName>
    <definedName name="_xlnm.Print_Area" localSheetId="29">'WP19 Load'!$A:$P</definedName>
    <definedName name="_xlnm.Print_Area" localSheetId="30">'WP20 Reserves'!$A$1:$Q$31</definedName>
    <definedName name="_xlnm.Print_Area" localSheetId="31">'WP21 Pension'!$A$1:$K$30</definedName>
    <definedName name="_xlnm.Print_Area" localSheetId="32">'WP22 IT Adj'!$A$1:$C$15</definedName>
    <definedName name="_xlnm.Print_Area">'[2]BC 2 2005BC'!#REF!</definedName>
    <definedName name="PRINT_AREA_MI" localSheetId="1">'[2]BC 2 2005BC'!#REF!</definedName>
    <definedName name="PRINT_AREA_MI" localSheetId="9">'[2]BC 2 2005BC'!#REF!</definedName>
    <definedName name="PRINT_AREA_MI" localSheetId="11">'[2]BC 2 2005BC'!#REF!</definedName>
    <definedName name="PRINT_AREA_MI" localSheetId="25">'[2]BC 2 2005BC'!#REF!</definedName>
    <definedName name="Print_Area_MI" localSheetId="29">#REF!</definedName>
    <definedName name="PRINT_AREA_MI">'[2]BC 2 2005BC'!#REF!</definedName>
    <definedName name="Print_Area_MI.1" localSheetId="1">#REF!</definedName>
    <definedName name="Print_Area_MI.1" localSheetId="11">#REF!</definedName>
    <definedName name="Print_Area_MI.1" localSheetId="28">#REF!</definedName>
    <definedName name="Print_Area_MI.1">#REF!</definedName>
    <definedName name="_xlnm.Print_Titles" localSheetId="2">'Appendix A'!$1:$6</definedName>
    <definedName name="_xlnm.Print_Titles" localSheetId="33">'WP AJ1 MISO'!$1:$11</definedName>
    <definedName name="_xlnm.Print_Titles" localSheetId="34">'WP AJ2 ITC'!$B:$C,'WP AJ2 ITC'!$1:$7</definedName>
    <definedName name="_xlnm.Print_Titles" localSheetId="4">'WP01 True-Up'!$1:$7</definedName>
    <definedName name="_xlnm.Print_Titles" localSheetId="5">'WP01 TU Support'!$1:$7</definedName>
    <definedName name="_xlnm.Print_Titles" localSheetId="6">'WP02 Support'!$1:$6</definedName>
    <definedName name="_xlnm.Print_Titles" localSheetId="9">'WP04 PIS'!$1:$3</definedName>
    <definedName name="_xlnm.Print_Titles" localSheetId="12">'WP06 ADIT'!$1:$7</definedName>
    <definedName name="_xlnm.Print_Titles" localSheetId="21">'WP14 COC'!$A:$C,'WP14 COC'!$1:$6</definedName>
    <definedName name="_xlnm.Print_Titles" localSheetId="23">'WP15 Radials'!$1:$11</definedName>
    <definedName name="PRINTFILE" localSheetId="1">#REF!</definedName>
    <definedName name="PRINTFILE" localSheetId="9">#REF!</definedName>
    <definedName name="PRINTFILE" localSheetId="11">#REF!</definedName>
    <definedName name="PRINTFILE" localSheetId="20">#REF!</definedName>
    <definedName name="PRINTFILE" localSheetId="25">#REF!</definedName>
    <definedName name="PRINTFILE" localSheetId="28">#REF!</definedName>
    <definedName name="PRINTFILE">#REF!</definedName>
    <definedName name="PROJ_WOTextLen" localSheetId="1">#REF!</definedName>
    <definedName name="PROJ_WOTextLen" localSheetId="9">#REF!</definedName>
    <definedName name="PROJ_WOTextLen" localSheetId="11">#REF!</definedName>
    <definedName name="PROJ_WOTextLen" localSheetId="20">#REF!</definedName>
    <definedName name="PROJ_WOTextLen" localSheetId="25">#REF!</definedName>
    <definedName name="PROJ_WOTextLen" localSheetId="28">#REF!</definedName>
    <definedName name="PROJ_WOTextLen">#REF!</definedName>
    <definedName name="Projection" localSheetId="1">'[4]Appendix A'!$H$7</definedName>
    <definedName name="Projection">'[4]Appendix A'!$H$7</definedName>
    <definedName name="PSLJ8LG">#N/A</definedName>
    <definedName name="PSOKI6">#N/A</definedName>
    <definedName name="PXAG" localSheetId="1">'[3]C. Input'!$F$185</definedName>
    <definedName name="PXAG" localSheetId="9">'[3]C. Input'!$F$185</definedName>
    <definedName name="PXAG" localSheetId="29">'[3]C. Input'!$F$185</definedName>
    <definedName name="PXAG">'[3]C. Input'!$F$185</definedName>
    <definedName name="PXAG_561" localSheetId="1">'[3]C. Input'!#REF!</definedName>
    <definedName name="PXAG_561" localSheetId="9">'[3]C. Input'!#REF!</definedName>
    <definedName name="PXAG_561" localSheetId="11">'[3]C. Input'!#REF!</definedName>
    <definedName name="PXAG_561" localSheetId="28">'[3]C. Input'!#REF!</definedName>
    <definedName name="PXAG_561" localSheetId="29">'[3]C. Input'!#REF!</definedName>
    <definedName name="PXAG_561">'[3]C. Input'!#REF!</definedName>
    <definedName name="PXAG_EAI" localSheetId="1">'[3]C. Input'!#REF!</definedName>
    <definedName name="PXAG_EAI" localSheetId="9">'[3]C. Input'!#REF!</definedName>
    <definedName name="PXAG_EAI" localSheetId="11">'[3]C. Input'!#REF!</definedName>
    <definedName name="PXAG_EAI" localSheetId="28">'[3]C. Input'!#REF!</definedName>
    <definedName name="PXAG_EAI" localSheetId="29">'[3]C. Input'!#REF!</definedName>
    <definedName name="PXAG_EAI">'[3]C. Input'!#REF!</definedName>
    <definedName name="PXAG_EGSI" localSheetId="1">'[3]C. Input'!#REF!</definedName>
    <definedName name="PXAG_EGSI" localSheetId="9">'[3]C. Input'!#REF!</definedName>
    <definedName name="PXAG_EGSI" localSheetId="11">'[3]C. Input'!#REF!</definedName>
    <definedName name="PXAG_EGSI" localSheetId="28">'[3]C. Input'!#REF!</definedName>
    <definedName name="PXAG_EGSI" localSheetId="29">'[3]C. Input'!#REF!</definedName>
    <definedName name="PXAG_EGSI">'[3]C. Input'!#REF!</definedName>
    <definedName name="PXAG_ELI" localSheetId="1">'[3]C. Input'!#REF!</definedName>
    <definedName name="PXAG_ELI" localSheetId="9">'[3]C. Input'!#REF!</definedName>
    <definedName name="PXAG_ELI" localSheetId="11">'[3]C. Input'!#REF!</definedName>
    <definedName name="PXAG_ELI" localSheetId="28">'[3]C. Input'!#REF!</definedName>
    <definedName name="PXAG_ELI" localSheetId="29">'[3]C. Input'!#REF!</definedName>
    <definedName name="PXAG_ELI">'[3]C. Input'!#REF!</definedName>
    <definedName name="PXAG_EMI" localSheetId="1">'[3]C. Input'!#REF!</definedName>
    <definedName name="PXAG_EMI" localSheetId="9">'[3]C. Input'!#REF!</definedName>
    <definedName name="PXAG_EMI" localSheetId="11">'[3]C. Input'!#REF!</definedName>
    <definedName name="PXAG_EMI" localSheetId="29">'[3]C. Input'!#REF!</definedName>
    <definedName name="PXAG_EMI">'[3]C. Input'!#REF!</definedName>
    <definedName name="PXAG_ENOI" localSheetId="1">'[3]C. Input'!#REF!</definedName>
    <definedName name="PXAG_ENOI" localSheetId="9">'[3]C. Input'!#REF!</definedName>
    <definedName name="PXAG_ENOI" localSheetId="11">'[3]C. Input'!#REF!</definedName>
    <definedName name="PXAG_ENOI" localSheetId="29">'[3]C. Input'!#REF!</definedName>
    <definedName name="PXAG_ENOI">'[3]C. Input'!#REF!</definedName>
    <definedName name="PXAGBAD" localSheetId="1">'[3]C. Input'!#REF!</definedName>
    <definedName name="PXAGBAD" localSheetId="9">'[3]C. Input'!#REF!</definedName>
    <definedName name="PXAGBAD" localSheetId="11">'[3]C. Input'!#REF!</definedName>
    <definedName name="PXAGBAD" localSheetId="29">'[3]C. Input'!#REF!</definedName>
    <definedName name="PXAGBAD">'[3]C. Input'!#REF!</definedName>
    <definedName name="PYTX" localSheetId="1">'[3]C. Input'!$F$220</definedName>
    <definedName name="PYTX" localSheetId="9">'[3]C. Input'!$F$220</definedName>
    <definedName name="PYTX" localSheetId="29">'[3]C. Input'!$F$220</definedName>
    <definedName name="PYTX">'[3]C. Input'!$F$220</definedName>
    <definedName name="Q" localSheetId="1">#REF!</definedName>
    <definedName name="Q" localSheetId="9">#REF!</definedName>
    <definedName name="Q" localSheetId="11">#REF!</definedName>
    <definedName name="Q" localSheetId="20">#REF!</definedName>
    <definedName name="Q" localSheetId="25">#REF!</definedName>
    <definedName name="Q" localSheetId="28">#REF!</definedName>
    <definedName name="Q">#REF!</definedName>
    <definedName name="RA" localSheetId="1">'[3]C. Input'!$F$343</definedName>
    <definedName name="RA" localSheetId="9">'[3]C. Input'!$F$343</definedName>
    <definedName name="RA" localSheetId="29">'[3]C. Input'!$F$343</definedName>
    <definedName name="RA">'[3]C. Input'!$F$343</definedName>
    <definedName name="RECAP" localSheetId="1">#REF!</definedName>
    <definedName name="RECAP" localSheetId="11">#REF!</definedName>
    <definedName name="RECAP" localSheetId="28">#REF!</definedName>
    <definedName name="RECAP" localSheetId="29">#REF!</definedName>
    <definedName name="RECAP">#REF!</definedName>
    <definedName name="_xlnm.Recorder" localSheetId="1">#REF!</definedName>
    <definedName name="_xlnm.Recorder" localSheetId="9">#REF!</definedName>
    <definedName name="_xlnm.Recorder" localSheetId="11">#REF!</definedName>
    <definedName name="_xlnm.Recorder" localSheetId="20">#REF!</definedName>
    <definedName name="_xlnm.Recorder" localSheetId="25">#REF!</definedName>
    <definedName name="_xlnm.Recorder" localSheetId="28">#REF!</definedName>
    <definedName name="_xlnm.Recorder">#REF!</definedName>
    <definedName name="RES_CPB" localSheetId="1">#REF!</definedName>
    <definedName name="RES_CPB" localSheetId="9">#REF!</definedName>
    <definedName name="RES_CPB" localSheetId="11">#REF!</definedName>
    <definedName name="RES_CPB" localSheetId="20">#REF!</definedName>
    <definedName name="RES_CPB" localSheetId="25">#REF!</definedName>
    <definedName name="RES_CPB" localSheetId="28">#REF!</definedName>
    <definedName name="RES_CPB">#REF!</definedName>
    <definedName name="retail" localSheetId="1" hidden="1">{#N/A,#N/A,FALSE,"Loans";#N/A,#N/A,FALSE,"Program Costs";#N/A,#N/A,FALSE,"Measures";#N/A,#N/A,FALSE,"Net Lost Rev";#N/A,#N/A,FALSE,"Incentive"}</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1">#REF!</definedName>
    <definedName name="RID" localSheetId="11">#REF!</definedName>
    <definedName name="RID" localSheetId="28">#REF!</definedName>
    <definedName name="RID" localSheetId="29">#REF!</definedName>
    <definedName name="RID">#REF!</definedName>
    <definedName name="right">OFFSET(!A1,0,1)</definedName>
    <definedName name="RRE" localSheetId="1">'[3]C. Input'!$F$207</definedName>
    <definedName name="RRE" localSheetId="9">'[3]C. Input'!$F$207</definedName>
    <definedName name="RRE" localSheetId="29">'[3]C. Input'!$F$207</definedName>
    <definedName name="RRE">'[3]C. Input'!$F$207</definedName>
    <definedName name="RTX" localSheetId="1">'[3]C. Input'!$F$222</definedName>
    <definedName name="RTX" localSheetId="9">'[3]C. Input'!$F$222</definedName>
    <definedName name="RTX" localSheetId="29">'[3]C. Input'!$F$222</definedName>
    <definedName name="RTX">'[3]C. Input'!$F$222</definedName>
    <definedName name="S" localSheetId="1">'[3]C. Input'!$F$76</definedName>
    <definedName name="S" localSheetId="9">'[3]C. Input'!$F$76</definedName>
    <definedName name="S" localSheetId="29">'[3]C. Input'!$F$76</definedName>
    <definedName name="S">'[3]C. Input'!$F$76</definedName>
    <definedName name="SAPBEXrevision" hidden="1">1</definedName>
    <definedName name="SAPBEXsysID" hidden="1">"BWP"</definedName>
    <definedName name="SAPBEXwbID" hidden="1">"45EQYSCWE9WJMGB34OOD1BOQZ"</definedName>
    <definedName name="SECUR_GI" localSheetId="1">'[3]C. Input'!$F$353</definedName>
    <definedName name="SECUR_GI" localSheetId="9">'[3]C. Input'!$F$353</definedName>
    <definedName name="SECUR_GI" localSheetId="29">'[3]C. Input'!$F$353</definedName>
    <definedName name="SECUR_GI">'[3]C. Input'!$F$353</definedName>
    <definedName name="SECUR_IS" localSheetId="1">'[3]C. Input'!$F$357</definedName>
    <definedName name="SECUR_IS" localSheetId="9">'[3]C. Input'!$F$357</definedName>
    <definedName name="SECUR_IS" localSheetId="29">'[3]C. Input'!$F$357</definedName>
    <definedName name="SECUR_IS">'[3]C. Input'!$F$357</definedName>
    <definedName name="SECUR_KR" localSheetId="1">'[3]C. Input'!$F$349</definedName>
    <definedName name="SECUR_KR" localSheetId="9">'[3]C. Input'!$F$349</definedName>
    <definedName name="SECUR_KR" localSheetId="29">'[3]C. Input'!$F$349</definedName>
    <definedName name="SECUR_KR">'[3]C. Input'!$F$349</definedName>
    <definedName name="SELECT">#N/A</definedName>
    <definedName name="SEP">#N/A</definedName>
    <definedName name="SEVEN">#N/A</definedName>
    <definedName name="shit" localSheetId="1" hidden="1">{"PRINT",#N/A,TRUE,"APPA";"PRINT",#N/A,TRUE,"APS";"PRINT",#N/A,TRUE,"BHPL";"PRINT",#N/A,TRUE,"BHPL2";"PRINT",#N/A,TRUE,"CDWR";"PRINT",#N/A,TRUE,"EWEB";"PRINT",#N/A,TRUE,"LADWP";"PRINT",#N/A,TRUE,"NEVBASE"}</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1">#REF!</definedName>
    <definedName name="Spot_Purchases_and_Tailgate" localSheetId="9">#REF!</definedName>
    <definedName name="Spot_Purchases_and_Tailgate" localSheetId="11">#REF!</definedName>
    <definedName name="Spot_Purchases_and_Tailgate" localSheetId="20">#REF!</definedName>
    <definedName name="Spot_Purchases_and_Tailgate" localSheetId="25">#REF!</definedName>
    <definedName name="Spot_Purchases_and_Tailgate" localSheetId="28">#REF!</definedName>
    <definedName name="Spot_Purchases_and_Tailgate">#REF!</definedName>
    <definedName name="SPOTE_04" localSheetId="1">#REF!</definedName>
    <definedName name="SPOTE_04" localSheetId="9">#REF!</definedName>
    <definedName name="SPOTE_04" localSheetId="11">#REF!</definedName>
    <definedName name="SPOTE_04" localSheetId="20">#REF!</definedName>
    <definedName name="SPOTE_04" localSheetId="25">#REF!</definedName>
    <definedName name="SPOTE_04" localSheetId="28">#REF!</definedName>
    <definedName name="SPOTE_04">#REF!</definedName>
    <definedName name="START" localSheetId="1">#REF!</definedName>
    <definedName name="START" localSheetId="9">#REF!</definedName>
    <definedName name="START" localSheetId="11">#REF!</definedName>
    <definedName name="START" localSheetId="20">#REF!</definedName>
    <definedName name="START" localSheetId="25">#REF!</definedName>
    <definedName name="START" localSheetId="28">#REF!</definedName>
    <definedName name="START">#REF!</definedName>
    <definedName name="STARTCR" localSheetId="1">#REF!</definedName>
    <definedName name="STARTCR" localSheetId="11">#REF!</definedName>
    <definedName name="STARTCR" localSheetId="20">#REF!</definedName>
    <definedName name="STARTCR" localSheetId="28">#REF!</definedName>
    <definedName name="STARTCR">#REF!</definedName>
    <definedName name="STARTDR" localSheetId="1">#REF!</definedName>
    <definedName name="STARTDR" localSheetId="11">#REF!</definedName>
    <definedName name="STARTDR" localSheetId="20">#REF!</definedName>
    <definedName name="STARTDR" localSheetId="28">#REF!</definedName>
    <definedName name="STARTDR">#REF!</definedName>
    <definedName name="SUBTITLE">#N/A</definedName>
    <definedName name="SUMMARY" localSheetId="1">#REF!</definedName>
    <definedName name="SUMMARY" localSheetId="11">#REF!</definedName>
    <definedName name="SUMMARY" localSheetId="28">#REF!</definedName>
    <definedName name="SUMMARY" localSheetId="29">#REF!</definedName>
    <definedName name="SUMMARY">#REF!</definedName>
    <definedName name="SUPPORTING_DATA_TO_UPLOAD" localSheetId="1">#REF!</definedName>
    <definedName name="SUPPORTING_DATA_TO_UPLOAD" localSheetId="9">#REF!</definedName>
    <definedName name="SUPPORTING_DATA_TO_UPLOAD" localSheetId="11">#REF!</definedName>
    <definedName name="SUPPORTING_DATA_TO_UPLOAD" localSheetId="20">#REF!</definedName>
    <definedName name="SUPPORTING_DATA_TO_UPLOAD" localSheetId="25">#REF!</definedName>
    <definedName name="SUPPORTING_DATA_TO_UPLOAD" localSheetId="28">#REF!</definedName>
    <definedName name="SUPPORTING_DATA_TO_UPLOAD">#REF!</definedName>
    <definedName name="suz" localSheetId="9">'[2]BC 2 2005BC'!#REF!</definedName>
    <definedName name="suz" localSheetId="11">'[2]BC 2 2005BC'!#REF!</definedName>
    <definedName name="suz" localSheetId="25">'[2]BC 2 2005BC'!#REF!</definedName>
    <definedName name="suz" localSheetId="28">'[2]BC 2 2005BC'!#REF!</definedName>
    <definedName name="suz">'[2]BC 2 2005BC'!#REF!</definedName>
    <definedName name="TABLE4_1" localSheetId="1">#REF!</definedName>
    <definedName name="TABLE4_1" localSheetId="11">#REF!</definedName>
    <definedName name="TABLE4_1" localSheetId="28">#REF!</definedName>
    <definedName name="TABLE4_1" localSheetId="29">#REF!</definedName>
    <definedName name="TABLE4_1">#REF!</definedName>
    <definedName name="TABLE4_2" localSheetId="1">#REF!</definedName>
    <definedName name="TABLE4_2" localSheetId="11">#REF!</definedName>
    <definedName name="TABLE4_2" localSheetId="28">#REF!</definedName>
    <definedName name="TABLE4_2" localSheetId="29">#REF!</definedName>
    <definedName name="TABLE4_2">#REF!</definedName>
    <definedName name="TDR_ITC" localSheetId="1">'[3]C. Input'!#REF!</definedName>
    <definedName name="TDR_ITC" localSheetId="9">'[3]C. Input'!#REF!</definedName>
    <definedName name="TDR_ITC" localSheetId="11">'[3]C. Input'!#REF!</definedName>
    <definedName name="TDR_ITC" localSheetId="16">'[3]C. Input'!#REF!</definedName>
    <definedName name="TDR_ITC" localSheetId="28">'[3]C. Input'!#REF!</definedName>
    <definedName name="TDR_ITC" localSheetId="29">'[3]C. Input'!#REF!</definedName>
    <definedName name="TDR_ITC">'[3]C. Input'!#REF!</definedName>
    <definedName name="TDR_TD" localSheetId="1">'[3]C. Input'!#REF!</definedName>
    <definedName name="TDR_TD" localSheetId="9">'[3]C. Input'!#REF!</definedName>
    <definedName name="TDR_TD" localSheetId="11">'[3]C. Input'!#REF!</definedName>
    <definedName name="TDR_TD" localSheetId="16">'[3]C. Input'!#REF!</definedName>
    <definedName name="TDR_TD" localSheetId="28">'[3]C. Input'!#REF!</definedName>
    <definedName name="TDR_TD" localSheetId="29">'[3]C. Input'!#REF!</definedName>
    <definedName name="TDR_TD">'[3]C. Input'!#REF!</definedName>
    <definedName name="TDRXS" localSheetId="1">'[3]C. Input'!$F$234</definedName>
    <definedName name="TDRXS" localSheetId="9">'[3]C. Input'!$F$234</definedName>
    <definedName name="TDRXS" localSheetId="29">'[3]C. Input'!$F$234</definedName>
    <definedName name="TDRXS">'[3]C. Input'!$F$234</definedName>
    <definedName name="TDX" localSheetId="1">'[3]C. Input'!$F$304</definedName>
    <definedName name="TDX" localSheetId="9">'[3]C. Input'!$F$304</definedName>
    <definedName name="TDX" localSheetId="29">'[3]C. Input'!$F$304</definedName>
    <definedName name="TDX">'[3]C. Input'!$F$304</definedName>
    <definedName name="TDX_TD" localSheetId="1">'[3]C. Input'!#REF!</definedName>
    <definedName name="TDX_TD" localSheetId="9">'[3]C. Input'!#REF!</definedName>
    <definedName name="TDX_TD" localSheetId="11">'[3]C. Input'!#REF!</definedName>
    <definedName name="TDX_TD" localSheetId="28">'[3]C. Input'!#REF!</definedName>
    <definedName name="TDX_TD" localSheetId="29">'[3]C. Input'!#REF!</definedName>
    <definedName name="TDX_TD">'[3]C. Input'!#REF!</definedName>
    <definedName name="TEN">#N/A</definedName>
    <definedName name="TEQ" localSheetId="1">'[3]C. Input'!$F$277</definedName>
    <definedName name="TEQ" localSheetId="9">'[3]C. Input'!$F$277</definedName>
    <definedName name="TEQ" localSheetId="29">'[3]C. Input'!$F$277</definedName>
    <definedName name="TEQ">'[3]C. Input'!$F$277</definedName>
    <definedName name="test" localSheetId="1" hidden="1">{"LBO Summary",#N/A,FALSE,"Summary"}</definedName>
    <definedName name="test" localSheetId="9" hidden="1">{"LBO Summary",#N/A,FALSE,"Summary"}</definedName>
    <definedName name="test" localSheetId="16" hidden="1">{"LBO Summary",#N/A,FALSE,"Summary"}</definedName>
    <definedName name="test" localSheetId="28" hidden="1">{"LBO Summary",#N/A,FALSE,"Summary"}</definedName>
    <definedName name="test" localSheetId="29" hidden="1">{"LBO Summary",#N/A,FALSE,"Summary"}</definedName>
    <definedName name="test" hidden="1">{"LBO Summary",#N/A,FALSE,"Summary"}</definedName>
    <definedName name="test1" localSheetId="1" hidden="1">{"LBO Summary",#N/A,FALSE,"Summary";"Income Statement",#N/A,FALSE,"Model";"Cash Flow",#N/A,FALSE,"Model";"Balance Sheet",#N/A,FALSE,"Model";"Working Capital",#N/A,FALSE,"Model";"Pro Forma Balance Sheets",#N/A,FALSE,"PFBS";"Debt Balances",#N/A,FALSE,"Model";"Fee Schedules",#N/A,FALSE,"Model"}</definedName>
    <definedName name="test1" localSheetId="9" hidden="1">{"LBO Summary",#N/A,FALSE,"Summary";"Income Statement",#N/A,FALSE,"Model";"Cash Flow",#N/A,FALSE,"Model";"Balance Sheet",#N/A,FALSE,"Model";"Working Capital",#N/A,FALSE,"Model";"Pro Forma Balance Sheets",#N/A,FALSE,"PFBS";"Debt Balances",#N/A,FALSE,"Model";"Fee Schedules",#N/A,FALSE,"Model"}</definedName>
    <definedName name="test1" localSheetId="16" hidden="1">{"LBO Summary",#N/A,FALSE,"Summary";"Income Statement",#N/A,FALSE,"Model";"Cash Flow",#N/A,FALSE,"Model";"Balance Sheet",#N/A,FALSE,"Model";"Working Capital",#N/A,FALSE,"Model";"Pro Forma Balance Sheets",#N/A,FALSE,"PFBS";"Debt Balances",#N/A,FALSE,"Model";"Fee Schedules",#N/A,FALSE,"Model"}</definedName>
    <definedName name="test1" localSheetId="28" hidden="1">{"LBO Summary",#N/A,FALSE,"Summary";"Income Statement",#N/A,FALSE,"Model";"Cash Flow",#N/A,FALSE,"Model";"Balance Sheet",#N/A,FALSE,"Model";"Working Capital",#N/A,FALSE,"Model";"Pro Forma Balance Sheets",#N/A,FALSE,"PFBS";"Debt Balances",#N/A,FALSE,"Model";"Fee Schedules",#N/A,FALSE,"Model"}</definedName>
    <definedName name="test1" localSheetId="29"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 hidden="1">{"LBO Summary",#N/A,FALSE,"Summary";"Income Statement",#N/A,FALSE,"Model";"Cash Flow",#N/A,FALSE,"Model";"Balance Sheet",#N/A,FALSE,"Model";"Working Capital",#N/A,FALSE,"Model";"Pro Forma Balance Sheets",#N/A,FALSE,"PFBS";"Debt Balances",#N/A,FALSE,"Model";"Fee Schedules",#N/A,FALSE,"Model"}</definedName>
    <definedName name="test10" localSheetId="9" hidden="1">{"LBO Summary",#N/A,FALSE,"Summary";"Income Statement",#N/A,FALSE,"Model";"Cash Flow",#N/A,FALSE,"Model";"Balance Sheet",#N/A,FALSE,"Model";"Working Capital",#N/A,FALSE,"Model";"Pro Forma Balance Sheets",#N/A,FALSE,"PFBS";"Debt Balances",#N/A,FALSE,"Model";"Fee Schedules",#N/A,FALSE,"Model"}</definedName>
    <definedName name="test10" localSheetId="16" hidden="1">{"LBO Summary",#N/A,FALSE,"Summary";"Income Statement",#N/A,FALSE,"Model";"Cash Flow",#N/A,FALSE,"Model";"Balance Sheet",#N/A,FALSE,"Model";"Working Capital",#N/A,FALSE,"Model";"Pro Forma Balance Sheets",#N/A,FALSE,"PFBS";"Debt Balances",#N/A,FALSE,"Model";"Fee Schedules",#N/A,FALSE,"Model"}</definedName>
    <definedName name="test10" localSheetId="28" hidden="1">{"LBO Summary",#N/A,FALSE,"Summary";"Income Statement",#N/A,FALSE,"Model";"Cash Flow",#N/A,FALSE,"Model";"Balance Sheet",#N/A,FALSE,"Model";"Working Capital",#N/A,FALSE,"Model";"Pro Forma Balance Sheets",#N/A,FALSE,"PFBS";"Debt Balances",#N/A,FALSE,"Model";"Fee Schedules",#N/A,FALSE,"Model"}</definedName>
    <definedName name="test10" localSheetId="29"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 hidden="1">{"LBO Summary",#N/A,FALSE,"Summary"}</definedName>
    <definedName name="test11" localSheetId="9" hidden="1">{"LBO Summary",#N/A,FALSE,"Summary"}</definedName>
    <definedName name="test11" localSheetId="16" hidden="1">{"LBO Summary",#N/A,FALSE,"Summary"}</definedName>
    <definedName name="test11" localSheetId="28" hidden="1">{"LBO Summary",#N/A,FALSE,"Summary"}</definedName>
    <definedName name="test11" localSheetId="29" hidden="1">{"LBO Summary",#N/A,FALSE,"Summary"}</definedName>
    <definedName name="test11" hidden="1">{"LBO Summary",#N/A,FALSE,"Summary"}</definedName>
    <definedName name="test12" localSheetId="1" hidden="1">{"assumptions",#N/A,FALSE,"Scenario 1";"valuation",#N/A,FALSE,"Scenario 1"}</definedName>
    <definedName name="test12" localSheetId="9" hidden="1">{"assumptions",#N/A,FALSE,"Scenario 1";"valuation",#N/A,FALSE,"Scenario 1"}</definedName>
    <definedName name="test12" localSheetId="16" hidden="1">{"assumptions",#N/A,FALSE,"Scenario 1";"valuation",#N/A,FALSE,"Scenario 1"}</definedName>
    <definedName name="test12" localSheetId="28" hidden="1">{"assumptions",#N/A,FALSE,"Scenario 1";"valuation",#N/A,FALSE,"Scenario 1"}</definedName>
    <definedName name="test12" localSheetId="29" hidden="1">{"assumptions",#N/A,FALSE,"Scenario 1";"valuation",#N/A,FALSE,"Scenario 1"}</definedName>
    <definedName name="test12" hidden="1">{"assumptions",#N/A,FALSE,"Scenario 1";"valuation",#N/A,FALSE,"Scenario 1"}</definedName>
    <definedName name="test13" localSheetId="1" hidden="1">{"LBO Summary",#N/A,FALSE,"Summary"}</definedName>
    <definedName name="test13" localSheetId="9" hidden="1">{"LBO Summary",#N/A,FALSE,"Summary"}</definedName>
    <definedName name="test13" localSheetId="16" hidden="1">{"LBO Summary",#N/A,FALSE,"Summary"}</definedName>
    <definedName name="test13" localSheetId="28" hidden="1">{"LBO Summary",#N/A,FALSE,"Summary"}</definedName>
    <definedName name="test13" localSheetId="29" hidden="1">{"LBO Summary",#N/A,FALSE,"Summary"}</definedName>
    <definedName name="test13" hidden="1">{"LBO Summary",#N/A,FALSE,"Summary"}</definedName>
    <definedName name="test14" localSheetId="1" hidden="1">{"LBO Summary",#N/A,FALSE,"Summary";"Income Statement",#N/A,FALSE,"Model";"Cash Flow",#N/A,FALSE,"Model";"Balance Sheet",#N/A,FALSE,"Model";"Working Capital",#N/A,FALSE,"Model";"Pro Forma Balance Sheets",#N/A,FALSE,"PFBS";"Debt Balances",#N/A,FALSE,"Model";"Fee Schedules",#N/A,FALSE,"Model"}</definedName>
    <definedName name="test14" localSheetId="9" hidden="1">{"LBO Summary",#N/A,FALSE,"Summary";"Income Statement",#N/A,FALSE,"Model";"Cash Flow",#N/A,FALSE,"Model";"Balance Sheet",#N/A,FALSE,"Model";"Working Capital",#N/A,FALSE,"Model";"Pro Forma Balance Sheets",#N/A,FALSE,"PFBS";"Debt Balances",#N/A,FALSE,"Model";"Fee Schedules",#N/A,FALSE,"Model"}</definedName>
    <definedName name="test14" localSheetId="16" hidden="1">{"LBO Summary",#N/A,FALSE,"Summary";"Income Statement",#N/A,FALSE,"Model";"Cash Flow",#N/A,FALSE,"Model";"Balance Sheet",#N/A,FALSE,"Model";"Working Capital",#N/A,FALSE,"Model";"Pro Forma Balance Sheets",#N/A,FALSE,"PFBS";"Debt Balances",#N/A,FALSE,"Model";"Fee Schedules",#N/A,FALSE,"Model"}</definedName>
    <definedName name="test14" localSheetId="28" hidden="1">{"LBO Summary",#N/A,FALSE,"Summary";"Income Statement",#N/A,FALSE,"Model";"Cash Flow",#N/A,FALSE,"Model";"Balance Sheet",#N/A,FALSE,"Model";"Working Capital",#N/A,FALSE,"Model";"Pro Forma Balance Sheets",#N/A,FALSE,"PFBS";"Debt Balances",#N/A,FALSE,"Model";"Fee Schedules",#N/A,FALSE,"Model"}</definedName>
    <definedName name="test14" localSheetId="29"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 hidden="1">{"LBO Summary",#N/A,FALSE,"Summary";"Income Statement",#N/A,FALSE,"Model";"Cash Flow",#N/A,FALSE,"Model";"Balance Sheet",#N/A,FALSE,"Model";"Working Capital",#N/A,FALSE,"Model";"Pro Forma Balance Sheets",#N/A,FALSE,"PFBS";"Debt Balances",#N/A,FALSE,"Model";"Fee Schedules",#N/A,FALSE,"Model"}</definedName>
    <definedName name="test15" localSheetId="9" hidden="1">{"LBO Summary",#N/A,FALSE,"Summary";"Income Statement",#N/A,FALSE,"Model";"Cash Flow",#N/A,FALSE,"Model";"Balance Sheet",#N/A,FALSE,"Model";"Working Capital",#N/A,FALSE,"Model";"Pro Forma Balance Sheets",#N/A,FALSE,"PFBS";"Debt Balances",#N/A,FALSE,"Model";"Fee Schedules",#N/A,FALSE,"Model"}</definedName>
    <definedName name="test15" localSheetId="16" hidden="1">{"LBO Summary",#N/A,FALSE,"Summary";"Income Statement",#N/A,FALSE,"Model";"Cash Flow",#N/A,FALSE,"Model";"Balance Sheet",#N/A,FALSE,"Model";"Working Capital",#N/A,FALSE,"Model";"Pro Forma Balance Sheets",#N/A,FALSE,"PFBS";"Debt Balances",#N/A,FALSE,"Model";"Fee Schedules",#N/A,FALSE,"Model"}</definedName>
    <definedName name="test15" localSheetId="28" hidden="1">{"LBO Summary",#N/A,FALSE,"Summary";"Income Statement",#N/A,FALSE,"Model";"Cash Flow",#N/A,FALSE,"Model";"Balance Sheet",#N/A,FALSE,"Model";"Working Capital",#N/A,FALSE,"Model";"Pro Forma Balance Sheets",#N/A,FALSE,"PFBS";"Debt Balances",#N/A,FALSE,"Model";"Fee Schedules",#N/A,FALSE,"Model"}</definedName>
    <definedName name="test15" localSheetId="29"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 hidden="1">{"LBO Summary",#N/A,FALSE,"Summary";"Income Statement",#N/A,FALSE,"Model";"Cash Flow",#N/A,FALSE,"Model";"Balance Sheet",#N/A,FALSE,"Model";"Working Capital",#N/A,FALSE,"Model";"Pro Forma Balance Sheets",#N/A,FALSE,"PFBS";"Debt Balances",#N/A,FALSE,"Model";"Fee Schedules",#N/A,FALSE,"Model"}</definedName>
    <definedName name="test16" localSheetId="9" hidden="1">{"LBO Summary",#N/A,FALSE,"Summary";"Income Statement",#N/A,FALSE,"Model";"Cash Flow",#N/A,FALSE,"Model";"Balance Sheet",#N/A,FALSE,"Model";"Working Capital",#N/A,FALSE,"Model";"Pro Forma Balance Sheets",#N/A,FALSE,"PFBS";"Debt Balances",#N/A,FALSE,"Model";"Fee Schedules",#N/A,FALSE,"Model"}</definedName>
    <definedName name="test16" localSheetId="16" hidden="1">{"LBO Summary",#N/A,FALSE,"Summary";"Income Statement",#N/A,FALSE,"Model";"Cash Flow",#N/A,FALSE,"Model";"Balance Sheet",#N/A,FALSE,"Model";"Working Capital",#N/A,FALSE,"Model";"Pro Forma Balance Sheets",#N/A,FALSE,"PFBS";"Debt Balances",#N/A,FALSE,"Model";"Fee Schedules",#N/A,FALSE,"Model"}</definedName>
    <definedName name="test16" localSheetId="28" hidden="1">{"LBO Summary",#N/A,FALSE,"Summary";"Income Statement",#N/A,FALSE,"Model";"Cash Flow",#N/A,FALSE,"Model";"Balance Sheet",#N/A,FALSE,"Model";"Working Capital",#N/A,FALSE,"Model";"Pro Forma Balance Sheets",#N/A,FALSE,"PFBS";"Debt Balances",#N/A,FALSE,"Model";"Fee Schedules",#N/A,FALSE,"Model"}</definedName>
    <definedName name="test16" localSheetId="29"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 hidden="1">{"LBO Summary",#N/A,FALSE,"Summary"}</definedName>
    <definedName name="test2" localSheetId="9" hidden="1">{"LBO Summary",#N/A,FALSE,"Summary"}</definedName>
    <definedName name="test2" localSheetId="16" hidden="1">{"LBO Summary",#N/A,FALSE,"Summary"}</definedName>
    <definedName name="test2" localSheetId="28" hidden="1">{"LBO Summary",#N/A,FALSE,"Summary"}</definedName>
    <definedName name="test2" localSheetId="29" hidden="1">{"LBO Summary",#N/A,FALSE,"Summary"}</definedName>
    <definedName name="test2" hidden="1">{"LBO Summary",#N/A,FALSE,"Summary"}</definedName>
    <definedName name="test4" localSheetId="1" hidden="1">{"assumptions",#N/A,FALSE,"Scenario 1";"valuation",#N/A,FALSE,"Scenario 1"}</definedName>
    <definedName name="test4" localSheetId="9" hidden="1">{"assumptions",#N/A,FALSE,"Scenario 1";"valuation",#N/A,FALSE,"Scenario 1"}</definedName>
    <definedName name="test4" localSheetId="16" hidden="1">{"assumptions",#N/A,FALSE,"Scenario 1";"valuation",#N/A,FALSE,"Scenario 1"}</definedName>
    <definedName name="test4" localSheetId="28" hidden="1">{"assumptions",#N/A,FALSE,"Scenario 1";"valuation",#N/A,FALSE,"Scenario 1"}</definedName>
    <definedName name="test4" localSheetId="29" hidden="1">{"assumptions",#N/A,FALSE,"Scenario 1";"valuation",#N/A,FALSE,"Scenario 1"}</definedName>
    <definedName name="test4" hidden="1">{"assumptions",#N/A,FALSE,"Scenario 1";"valuation",#N/A,FALSE,"Scenario 1"}</definedName>
    <definedName name="test6" localSheetId="1" hidden="1">{"LBO Summary",#N/A,FALSE,"Summary"}</definedName>
    <definedName name="test6" localSheetId="9" hidden="1">{"LBO Summary",#N/A,FALSE,"Summary"}</definedName>
    <definedName name="test6" localSheetId="16" hidden="1">{"LBO Summary",#N/A,FALSE,"Summary"}</definedName>
    <definedName name="test6" localSheetId="28" hidden="1">{"LBO Summary",#N/A,FALSE,"Summary"}</definedName>
    <definedName name="test6" localSheetId="29" hidden="1">{"LBO Summary",#N/A,FALSE,"Summary"}</definedName>
    <definedName name="test6" hidden="1">{"LBO Summary",#N/A,FALSE,"Summary"}</definedName>
    <definedName name="TextRefCopyRangeCount" hidden="1">1</definedName>
    <definedName name="THREE">#N/A</definedName>
    <definedName name="TKW" localSheetId="1">'[3]C. Input'!$F$330</definedName>
    <definedName name="TKW" localSheetId="9">'[3]C. Input'!$F$330</definedName>
    <definedName name="TKW" localSheetId="29">'[3]C. Input'!$F$330</definedName>
    <definedName name="TKW">'[3]C. Input'!$F$330</definedName>
    <definedName name="TKWS" localSheetId="1">'[3]C. Input'!#REF!</definedName>
    <definedName name="TKWS" localSheetId="9">'[3]C. Input'!#REF!</definedName>
    <definedName name="TKWS" localSheetId="11">'[3]C. Input'!#REF!</definedName>
    <definedName name="TKWS" localSheetId="28">'[3]C. Input'!#REF!</definedName>
    <definedName name="TKWS" localSheetId="29">'[3]C. Input'!#REF!</definedName>
    <definedName name="TKWS">'[3]C. Input'!#REF!</definedName>
    <definedName name="TL" localSheetId="1">'[3]C. Input'!$F$178</definedName>
    <definedName name="TL" localSheetId="9">'[3]C. Input'!$F$178</definedName>
    <definedName name="TL" localSheetId="29">'[3]C. Input'!$F$178</definedName>
    <definedName name="TL">'[3]C. Input'!$F$178</definedName>
    <definedName name="TL_561" localSheetId="1">'[3]C. Input'!#REF!</definedName>
    <definedName name="TL_561" localSheetId="9">'[3]C. Input'!#REF!</definedName>
    <definedName name="TL_561" localSheetId="11">'[3]C. Input'!#REF!</definedName>
    <definedName name="TL_561" localSheetId="28">'[3]C. Input'!#REF!</definedName>
    <definedName name="TL_561" localSheetId="29">'[3]C. Input'!#REF!</definedName>
    <definedName name="TL_561">'[3]C. Input'!#REF!</definedName>
    <definedName name="TLR_TST" localSheetId="1">'[3]A.2 PTP'!$P$91</definedName>
    <definedName name="TLR_TST" localSheetId="9">'[3]A.2 PTP'!$P$91</definedName>
    <definedName name="TLR_TST" localSheetId="29">'[3]A.2 PTP'!$P$91</definedName>
    <definedName name="TLR_TST">'[3]A.2 PTP'!$P$91</definedName>
    <definedName name="Toggle" localSheetId="1">'[4]Appendix A'!$H$7</definedName>
    <definedName name="Toggle">'[4]Appendix A'!$H$7</definedName>
    <definedName name="TOM" localSheetId="1">'[3]C. Input'!$F$270</definedName>
    <definedName name="TOM" localSheetId="9">'[3]C. Input'!$F$270</definedName>
    <definedName name="TOM" localSheetId="29">'[3]C. Input'!$F$270</definedName>
    <definedName name="TOM">'[3]C. Input'!$F$270</definedName>
    <definedName name="TOM_EAI" localSheetId="1">'[3]C. Input'!#REF!</definedName>
    <definedName name="TOM_EAI" localSheetId="9">'[3]C. Input'!#REF!</definedName>
    <definedName name="TOM_EAI" localSheetId="11">'[3]C. Input'!#REF!</definedName>
    <definedName name="TOM_EAI" localSheetId="28">'[3]C. Input'!#REF!</definedName>
    <definedName name="TOM_EAI" localSheetId="29">'[3]C. Input'!#REF!</definedName>
    <definedName name="TOM_EAI">'[3]C. Input'!#REF!</definedName>
    <definedName name="TOM_EGSI" localSheetId="1">'[3]C. Input'!#REF!</definedName>
    <definedName name="TOM_EGSI" localSheetId="9">'[3]C. Input'!#REF!</definedName>
    <definedName name="TOM_EGSI" localSheetId="11">'[3]C. Input'!#REF!</definedName>
    <definedName name="TOM_EGSI" localSheetId="28">'[3]C. Input'!#REF!</definedName>
    <definedName name="TOM_EGSI" localSheetId="29">'[3]C. Input'!#REF!</definedName>
    <definedName name="TOM_EGSI">'[3]C. Input'!#REF!</definedName>
    <definedName name="TOM_ELI" localSheetId="1">'[3]C. Input'!#REF!</definedName>
    <definedName name="TOM_ELI" localSheetId="9">'[3]C. Input'!#REF!</definedName>
    <definedName name="TOM_ELI" localSheetId="11">'[3]C. Input'!#REF!</definedName>
    <definedName name="TOM_ELI" localSheetId="28">'[3]C. Input'!#REF!</definedName>
    <definedName name="TOM_ELI" localSheetId="29">'[3]C. Input'!#REF!</definedName>
    <definedName name="TOM_ELI">'[3]C. Input'!#REF!</definedName>
    <definedName name="TOM_EMI" localSheetId="1">'[3]C. Input'!#REF!</definedName>
    <definedName name="TOM_EMI" localSheetId="9">'[3]C. Input'!#REF!</definedName>
    <definedName name="TOM_EMI" localSheetId="11">'[3]C. Input'!#REF!</definedName>
    <definedName name="TOM_EMI" localSheetId="28">'[3]C. Input'!#REF!</definedName>
    <definedName name="TOM_EMI" localSheetId="29">'[3]C. Input'!#REF!</definedName>
    <definedName name="TOM_EMI">'[3]C. Input'!#REF!</definedName>
    <definedName name="TOM_ENOI" localSheetId="1">'[3]C. Input'!#REF!</definedName>
    <definedName name="TOM_ENOI" localSheetId="9">'[3]C. Input'!#REF!</definedName>
    <definedName name="TOM_ENOI" localSheetId="11">'[3]C. Input'!#REF!</definedName>
    <definedName name="TOM_ENOI" localSheetId="29">'[3]C. Input'!#REF!</definedName>
    <definedName name="TOM_ENOI">'[3]C. Input'!#REF!</definedName>
    <definedName name="TOM_ICTC" localSheetId="1">'[3]C. Input'!#REF!</definedName>
    <definedName name="TOM_ICTC" localSheetId="9">'[3]C. Input'!#REF!</definedName>
    <definedName name="TOM_ICTC" localSheetId="11">'[3]C. Input'!#REF!</definedName>
    <definedName name="TOM_ICTC" localSheetId="29">'[3]C. Input'!#REF!</definedName>
    <definedName name="TOM_ICTC">'[3]C. Input'!#REF!</definedName>
    <definedName name="TOTAL" localSheetId="1">#REF!</definedName>
    <definedName name="TOTAL" localSheetId="11">#REF!</definedName>
    <definedName name="TOTAL" localSheetId="28">#REF!</definedName>
    <definedName name="TOTAL" localSheetId="29">#REF!</definedName>
    <definedName name="TOTAL">#REF!</definedName>
    <definedName name="TP" localSheetId="28">'[10]MISO Cover'!$I$194</definedName>
    <definedName name="TP">'MISO Cover'!$I$194</definedName>
    <definedName name="TPLT" localSheetId="1">'[3]C. Input'!$F$161</definedName>
    <definedName name="TPLT" localSheetId="9">'[3]C. Input'!$F$161</definedName>
    <definedName name="TPLT" localSheetId="29">'[3]C. Input'!$F$161</definedName>
    <definedName name="TPLT">'[3]C. Input'!$F$161</definedName>
    <definedName name="TPLT_ITC" localSheetId="1">'[3]C. Input'!#REF!</definedName>
    <definedName name="TPLT_ITC" localSheetId="9">'[3]C. Input'!#REF!</definedName>
    <definedName name="TPLT_ITC" localSheetId="11">'[3]C. Input'!#REF!</definedName>
    <definedName name="TPLT_ITC" localSheetId="28">'[3]C. Input'!#REF!</definedName>
    <definedName name="TPLT_ITC" localSheetId="29">'[3]C. Input'!#REF!</definedName>
    <definedName name="TPLT_ITC">'[3]C. Input'!#REF!</definedName>
    <definedName name="TPLTXS" localSheetId="1">'[3]C. Input'!$F$164</definedName>
    <definedName name="TPLTXS" localSheetId="9">'[3]C. Input'!$F$164</definedName>
    <definedName name="TPLTXS" localSheetId="29">'[3]C. Input'!$F$164</definedName>
    <definedName name="TPLTXS">'[3]C. Input'!$F$164</definedName>
    <definedName name="TPR_TST" localSheetId="1">'[3]A.2 PTP'!$P$75</definedName>
    <definedName name="TPR_TST" localSheetId="9">'[3]A.2 PTP'!$P$75</definedName>
    <definedName name="TPR_TST" localSheetId="29">'[3]A.2 PTP'!$P$75</definedName>
    <definedName name="TPR_TST">'[3]A.2 PTP'!$P$75</definedName>
    <definedName name="TRB" localSheetId="1">'[3]A.2 PTP'!$P$165</definedName>
    <definedName name="TRB" localSheetId="9">'[3]A.2 PTP'!$P$165</definedName>
    <definedName name="TRB" localSheetId="29">'[3]A.2 PTP'!$P$165</definedName>
    <definedName name="TRB">'[3]A.2 PTP'!$P$165</definedName>
    <definedName name="TREV" localSheetId="1">'[3]C. Input'!$F$287</definedName>
    <definedName name="TREV" localSheetId="9">'[3]C. Input'!$F$287</definedName>
    <definedName name="TREV" localSheetId="29">'[3]C. Input'!$F$287</definedName>
    <definedName name="TREV">'[3]C. Input'!$F$287</definedName>
    <definedName name="True_up" localSheetId="1">'[4]Appendix A'!$H$6</definedName>
    <definedName name="True_up">'[4]Appendix A'!$H$6</definedName>
    <definedName name="TWELVE">#N/A</definedName>
    <definedName name="TWO">#N/A</definedName>
    <definedName name="TX" localSheetId="1">'[3]A.2 PTP'!$P$31</definedName>
    <definedName name="TX" localSheetId="9">'[3]A.2 PTP'!$P$31</definedName>
    <definedName name="TX" localSheetId="29">'[3]A.2 PTP'!$P$31</definedName>
    <definedName name="TX">'[3]A.2 PTP'!$P$31</definedName>
    <definedName name="TXO" localSheetId="1">'[3]C. Input'!$F$215</definedName>
    <definedName name="TXO" localSheetId="9">'[3]C. Input'!$F$215</definedName>
    <definedName name="TXO" localSheetId="29">'[3]C. Input'!$F$215</definedName>
    <definedName name="TXO">'[3]C. Input'!$F$215</definedName>
    <definedName name="TXP_TST" localSheetId="1">'[3]A.2 PTP'!$P$212</definedName>
    <definedName name="TXP_TST" localSheetId="9">'[3]A.2 PTP'!$P$212</definedName>
    <definedName name="TXP_TST" localSheetId="29">'[3]A.2 PTP'!$P$212</definedName>
    <definedName name="TXP_TST">'[3]A.2 PTP'!$P$212</definedName>
    <definedName name="TYE">#N/A</definedName>
    <definedName name="TYE_1">#N/A</definedName>
    <definedName name="TYPETextLen" localSheetId="1">#REF!</definedName>
    <definedName name="TYPETextLen" localSheetId="9">#REF!</definedName>
    <definedName name="TYPETextLen" localSheetId="11">#REF!</definedName>
    <definedName name="TYPETextLen" localSheetId="20">#REF!</definedName>
    <definedName name="TYPETextLen" localSheetId="25">#REF!</definedName>
    <definedName name="TYPETextLen" localSheetId="28">#REF!</definedName>
    <definedName name="TYPETextLen">#REF!</definedName>
    <definedName name="Underground_Storage_Activity" localSheetId="1">#REF!</definedName>
    <definedName name="Underground_Storage_Activity" localSheetId="9">#REF!</definedName>
    <definedName name="Underground_Storage_Activity" localSheetId="11">#REF!</definedName>
    <definedName name="Underground_Storage_Activity" localSheetId="20">#REF!</definedName>
    <definedName name="Underground_Storage_Activity" localSheetId="25">#REF!</definedName>
    <definedName name="Underground_Storage_Activity" localSheetId="28">#REF!</definedName>
    <definedName name="Underground_Storage_Activity">#REF!</definedName>
    <definedName name="URA" localSheetId="1">'[3]C. Input'!$F$337</definedName>
    <definedName name="URA" localSheetId="9">'[3]C. Input'!$F$337</definedName>
    <definedName name="URA" localSheetId="29">'[3]C. Input'!$F$337</definedName>
    <definedName name="URA">'[3]C. Input'!$F$337</definedName>
    <definedName name="Value" localSheetId="1" hidden="1">{"assumptions",#N/A,FALSE,"Scenario 1";"valuation",#N/A,FALSE,"Scenario 1"}</definedName>
    <definedName name="Value" localSheetId="9" hidden="1">{"assumptions",#N/A,FALSE,"Scenario 1";"valuation",#N/A,FALSE,"Scenario 1"}</definedName>
    <definedName name="Value" localSheetId="16" hidden="1">{"assumptions",#N/A,FALSE,"Scenario 1";"valuation",#N/A,FALSE,"Scenario 1"}</definedName>
    <definedName name="Value" localSheetId="28" hidden="1">{"assumptions",#N/A,FALSE,"Scenario 1";"valuation",#N/A,FALSE,"Scenario 1"}</definedName>
    <definedName name="Value" localSheetId="29" hidden="1">{"assumptions",#N/A,FALSE,"Scenario 1";"valuation",#N/A,FALSE,"Scenario 1"}</definedName>
    <definedName name="Value" hidden="1">{"assumptions",#N/A,FALSE,"Scenario 1";"valuation",#N/A,FALSE,"Scenario 1"}</definedName>
    <definedName name="VSPAE" localSheetId="1">'[3]C. Input'!#REF!</definedName>
    <definedName name="VSPAE" localSheetId="9">'[3]C. Input'!#REF!</definedName>
    <definedName name="VSPAE" localSheetId="11">'[3]C. Input'!#REF!</definedName>
    <definedName name="VSPAE" localSheetId="29">'[3]C. Input'!#REF!</definedName>
    <definedName name="VSPAE">'[3]C. Input'!#REF!</definedName>
    <definedName name="VSPRB" localSheetId="1">'[3]C. Input'!#REF!</definedName>
    <definedName name="VSPRB" localSheetId="9">'[3]C. Input'!#REF!</definedName>
    <definedName name="VSPRB" localSheetId="11">'[3]C. Input'!#REF!</definedName>
    <definedName name="VSPRB" localSheetId="29">'[3]C. Input'!#REF!</definedName>
    <definedName name="VSPRB">'[3]C. Input'!#REF!</definedName>
    <definedName name="WELL_HEAD_ESTIMATES" localSheetId="1">#REF!</definedName>
    <definedName name="WELL_HEAD_ESTIMATES" localSheetId="9">#REF!</definedName>
    <definedName name="WELL_HEAD_ESTIMATES" localSheetId="11">#REF!</definedName>
    <definedName name="WELL_HEAD_ESTIMATES" localSheetId="20">#REF!</definedName>
    <definedName name="WELL_HEAD_ESTIMATES" localSheetId="25">#REF!</definedName>
    <definedName name="WELL_HEAD_ESTIMATES" localSheetId="28">#REF!</definedName>
    <definedName name="WELL_HEAD_ESTIMATES">#REF!</definedName>
    <definedName name="WFTSR" localSheetId="1">'[3]A.2 PTP'!$P$282</definedName>
    <definedName name="WFTSR" localSheetId="9">'[3]A.2 PTP'!$P$282</definedName>
    <definedName name="WFTSR" localSheetId="29">'[3]A.2 PTP'!$P$282</definedName>
    <definedName name="WFTSR">'[3]A.2 PTP'!$P$282</definedName>
    <definedName name="WITHSTD" localSheetId="1">#REF!</definedName>
    <definedName name="WITHSTD" localSheetId="9">#REF!</definedName>
    <definedName name="WITHSTD" localSheetId="11">#REF!</definedName>
    <definedName name="WITHSTD" localSheetId="20">#REF!</definedName>
    <definedName name="WITHSTD" localSheetId="28">#REF!</definedName>
    <definedName name="WITHSTD">#REF!</definedName>
    <definedName name="wrn.All._.Pages." localSheetId="1" hidden="1">{#N/A,#N/A,FALSE,"Cover";#N/A,#N/A,FALSE,"Lead Sheet";#N/A,#N/A,FALSE,"T-Accounts";#N/A,#N/A,FALSE,"Ins &amp; Prem ActualEstimates"}</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1" hidden="1">{#N/A,#N/A,FALSE,"LOCAL.XLS"}</definedName>
    <definedName name="wrn.ARKANSAS." localSheetId="9" hidden="1">{#N/A,#N/A,FALSE,"LOCAL.XLS"}</definedName>
    <definedName name="wrn.ARKANSAS." localSheetId="16" hidden="1">{#N/A,#N/A,FALSE,"LOCAL.XLS"}</definedName>
    <definedName name="wrn.ARKANSAS." localSheetId="28" hidden="1">{#N/A,#N/A,FALSE,"LOCAL.XLS"}</definedName>
    <definedName name="wrn.ARKANSAS." localSheetId="29" hidden="1">{#N/A,#N/A,FALSE,"LOCAL.XLS"}</definedName>
    <definedName name="wrn.ARKANSAS." hidden="1">{#N/A,#N/A,FALSE,"LOCAL.XLS"}</definedName>
    <definedName name="wrn.CP._.Demand." localSheetId="1" hidden="1">{"Retail CP pg1",#N/A,FALSE,"FACTOR3";"Retail CP pg2",#N/A,FALSE,"FACTOR3";"Retail CP pg3",#N/A,FALSE,"FACTOR3"}</definedName>
    <definedName name="wrn.CP._.Demand." localSheetId="9" hidden="1">{"Retail CP pg1",#N/A,FALSE,"FACTOR3";"Retail CP pg2",#N/A,FALSE,"FACTOR3";"Retail CP pg3",#N/A,FALSE,"FACTOR3"}</definedName>
    <definedName name="wrn.CP._.Demand." localSheetId="16" hidden="1">{"Retail CP pg1",#N/A,FALSE,"FACTOR3";"Retail CP pg2",#N/A,FALSE,"FACTOR3";"Retail CP pg3",#N/A,FALSE,"FACTOR3"}</definedName>
    <definedName name="wrn.CP._.Demand." localSheetId="20" hidden="1">{"Retail CP pg1",#N/A,FALSE,"FACTOR3";"Retail CP pg2",#N/A,FALSE,"FACTOR3";"Retail CP pg3",#N/A,FALSE,"FACTOR3"}</definedName>
    <definedName name="wrn.CP._.Demand." localSheetId="25" hidden="1">{"Retail CP pg1",#N/A,FALSE,"FACTOR3";"Retail CP pg2",#N/A,FALSE,"FACTOR3";"Retail CP pg3",#N/A,FALSE,"FACTOR3"}</definedName>
    <definedName name="wrn.CP._.Demand." localSheetId="28" hidden="1">{"Retail CP pg1",#N/A,FALSE,"FACTOR3";"Retail CP pg2",#N/A,FALSE,"FACTOR3";"Retail CP pg3",#N/A,FALSE,"FACTOR3"}</definedName>
    <definedName name="wrn.CP._.Demand." hidden="1">{"Retail CP pg1",#N/A,FALSE,"FACTOR3";"Retail CP pg2",#N/A,FALSE,"FACTOR3";"Retail CP pg3",#N/A,FALSE,"FACTOR3"}</definedName>
    <definedName name="wrn.CP._.Demand2." localSheetId="1" hidden="1">{"Retail CP pg1",#N/A,FALSE,"FACTOR3";"Retail CP pg2",#N/A,FALSE,"FACTOR3";"Retail CP pg3",#N/A,FALSE,"FACTOR3"}</definedName>
    <definedName name="wrn.CP._.Demand2." localSheetId="9" hidden="1">{"Retail CP pg1",#N/A,FALSE,"FACTOR3";"Retail CP pg2",#N/A,FALSE,"FACTOR3";"Retail CP pg3",#N/A,FALSE,"FACTOR3"}</definedName>
    <definedName name="wrn.CP._.Demand2." localSheetId="16" hidden="1">{"Retail CP pg1",#N/A,FALSE,"FACTOR3";"Retail CP pg2",#N/A,FALSE,"FACTOR3";"Retail CP pg3",#N/A,FALSE,"FACTOR3"}</definedName>
    <definedName name="wrn.CP._.Demand2." localSheetId="20" hidden="1">{"Retail CP pg1",#N/A,FALSE,"FACTOR3";"Retail CP pg2",#N/A,FALSE,"FACTOR3";"Retail CP pg3",#N/A,FALSE,"FACTOR3"}</definedName>
    <definedName name="wrn.CP._.Demand2." localSheetId="25" hidden="1">{"Retail CP pg1",#N/A,FALSE,"FACTOR3";"Retail CP pg2",#N/A,FALSE,"FACTOR3";"Retail CP pg3",#N/A,FALSE,"FACTOR3"}</definedName>
    <definedName name="wrn.CP._.Demand2." localSheetId="28" hidden="1">{"Retail CP pg1",#N/A,FALSE,"FACTOR3";"Retail CP pg2",#N/A,FALSE,"FACTOR3";"Retail CP pg3",#N/A,FALSE,"FACTOR3"}</definedName>
    <definedName name="wrn.CP._.Demand2." hidden="1">{"Retail CP pg1",#N/A,FALSE,"FACTOR3";"Retail CP pg2",#N/A,FALSE,"FACTOR3";"Retail CP pg3",#N/A,FALSE,"FACTOR3"}</definedName>
    <definedName name="wrn.Factors._.Tab._.10." localSheetId="1" hidden="1">{"Factors Pages 1-2",#N/A,FALSE,"Factors";"Factors Page 3",#N/A,FALSE,"Factors";"Factors Page 4",#N/A,FALSE,"Factors";"Factors Page 5",#N/A,FALSE,"Factors";"Factors Pages 8-27",#N/A,FALSE,"Factors"}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1" hidden="1">{"assumptions",#N/A,FALSE,"Scenario 1";"valuation",#N/A,FALSE,"Scenario 1"}</definedName>
    <definedName name="wrn.IPO._.Valuation." localSheetId="9" hidden="1">{"assumptions",#N/A,FALSE,"Scenario 1";"valuation",#N/A,FALSE,"Scenario 1"}</definedName>
    <definedName name="wrn.IPO._.Valuation." localSheetId="16" hidden="1">{"assumptions",#N/A,FALSE,"Scenario 1";"valuation",#N/A,FALSE,"Scenario 1"}</definedName>
    <definedName name="wrn.IPO._.Valuation." localSheetId="28" hidden="1">{"assumptions",#N/A,FALSE,"Scenario 1";"valuation",#N/A,FALSE,"Scenario 1"}</definedName>
    <definedName name="wrn.IPO._.Valuation." localSheetId="29" hidden="1">{"assumptions",#N/A,FALSE,"Scenario 1";"valuation",#N/A,FALSE,"Scenario 1"}</definedName>
    <definedName name="wrn.IPO._.Valuation." hidden="1">{"assumptions",#N/A,FALSE,"Scenario 1";"valuation",#N/A,FALSE,"Scenario 1"}</definedName>
    <definedName name="wrn.LBO._.Summary." localSheetId="1" hidden="1">{"LBO Summary",#N/A,FALSE,"Summary"}</definedName>
    <definedName name="wrn.LBO._.Summary." localSheetId="9" hidden="1">{"LBO Summary",#N/A,FALSE,"Summary"}</definedName>
    <definedName name="wrn.LBO._.Summary." localSheetId="16" hidden="1">{"LBO Summary",#N/A,FALSE,"Summary"}</definedName>
    <definedName name="wrn.LBO._.Summary." localSheetId="28" hidden="1">{"LBO Summary",#N/A,FALSE,"Summary"}</definedName>
    <definedName name="wrn.LBO._.Summary." localSheetId="29" hidden="1">{"LBO Summary",#N/A,FALSE,"Summary"}</definedName>
    <definedName name="wrn.LBO._.Summary." hidden="1">{"LBO Summary",#N/A,FALSE,"Summary"}</definedName>
    <definedName name="wrn.LOUISIANA." localSheetId="1" hidden="1">{#N/A,#N/A,FALSE,"LOCAL.XLS"}</definedName>
    <definedName name="wrn.LOUISIANA." localSheetId="9" hidden="1">{#N/A,#N/A,FALSE,"LOCAL.XLS"}</definedName>
    <definedName name="wrn.LOUISIANA." localSheetId="16" hidden="1">{#N/A,#N/A,FALSE,"LOCAL.XLS"}</definedName>
    <definedName name="wrn.LOUISIANA." localSheetId="28" hidden="1">{#N/A,#N/A,FALSE,"LOCAL.XLS"}</definedName>
    <definedName name="wrn.LOUISIANA." localSheetId="29" hidden="1">{#N/A,#N/A,FALSE,"LOCAL.XLS"}</definedName>
    <definedName name="wrn.LOUISIANA." hidden="1">{#N/A,#N/A,FALSE,"LOCAL.XLS"}</definedName>
    <definedName name="wrn.OR._.Carrying._.Charge._.JV." localSheetId="1" hidden="1">{#N/A,#N/A,FALSE,"Loans";#N/A,#N/A,FALSE,"Program Costs";#N/A,#N/A,FALSE,"Measures";#N/A,#N/A,FALSE,"Net Lost Rev";#N/A,#N/A,FALSE,"Incentive"}</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1" hidden="1">{"LBO Summary",#N/A,FALSE,"Summary";"Income Statement",#N/A,FALSE,"Model";"Cash Flow",#N/A,FALSE,"Model";"Balance Sheet",#N/A,FALSE,"Model";"Working Capital",#N/A,FALSE,"Model";"Pro Forma Balance Sheets",#N/A,FALSE,"PFBS";"Debt Balances",#N/A,FALSE,"Model";"Fee Schedules",#N/A,FALSE,"Model"}</definedName>
    <definedName name="wrn.Print._.All._.Pages." localSheetId="9" hidden="1">{"LBO Summary",#N/A,FALSE,"Summary";"Income Statement",#N/A,FALSE,"Model";"Cash Flow",#N/A,FALSE,"Model";"Balance Sheet",#N/A,FALSE,"Model";"Working Capital",#N/A,FALSE,"Model";"Pro Forma Balance Sheets",#N/A,FALSE,"PFBS";"Debt Balances",#N/A,FALSE,"Model";"Fee Schedules",#N/A,FALSE,"Model"}</definedName>
    <definedName name="wrn.Print._.All._.Pages." localSheetId="16" hidden="1">{"LBO Summary",#N/A,FALSE,"Summary";"Income Statement",#N/A,FALSE,"Model";"Cash Flow",#N/A,FALSE,"Model";"Balance Sheet",#N/A,FALSE,"Model";"Working Capital",#N/A,FALSE,"Model";"Pro Forma Balance Sheets",#N/A,FALSE,"PFBS";"Debt Balances",#N/A,FALSE,"Model";"Fee Schedules",#N/A,FALSE,"Model"}</definedName>
    <definedName name="wrn.Print._.All._.Pages." localSheetId="28" hidden="1">{"LBO Summary",#N/A,FALSE,"Summary";"Income Statement",#N/A,FALSE,"Model";"Cash Flow",#N/A,FALSE,"Model";"Balance Sheet",#N/A,FALSE,"Model";"Working Capital",#N/A,FALSE,"Model";"Pro Forma Balance Sheets",#N/A,FALSE,"PFBS";"Debt Balances",#N/A,FALSE,"Model";"Fee Schedules",#N/A,FALSE,"Model"}</definedName>
    <definedName name="wrn.Print._.All._.Pages." localSheetId="29"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8"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9"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1" hidden="1">{"PRINT",#N/A,TRUE,"APPA";"PRINT",#N/A,TRUE,"APS";"PRINT",#N/A,TRUE,"BHPL";"PRINT",#N/A,TRUE,"BHPL2";"PRINT",#N/A,TRUE,"CDWR";"PRINT",#N/A,TRUE,"EWEB";"PRINT",#N/A,TRUE,"LADWP";"PRINT",#N/A,TRUE,"NEVBASE"}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1" hidden="1">{#N/A,#N/A,FALSE,"AP&amp;L"}</definedName>
    <definedName name="wrn.summary." localSheetId="9" hidden="1">{#N/A,#N/A,FALSE,"AP&amp;L"}</definedName>
    <definedName name="wrn.summary." localSheetId="16" hidden="1">{#N/A,#N/A,FALSE,"AP&amp;L"}</definedName>
    <definedName name="wrn.summary." localSheetId="28" hidden="1">{#N/A,#N/A,FALSE,"AP&amp;L"}</definedName>
    <definedName name="wrn.summary." localSheetId="29" hidden="1">{#N/A,#N/A,FALSE,"AP&amp;L"}</definedName>
    <definedName name="wrn.summary." hidden="1">{#N/A,#N/A,FALSE,"AP&amp;L"}</definedName>
    <definedName name="wrn.YearEnd." localSheetId="1" hidden="1">{"Factors Pages 1-2",#N/A,FALSE,"Variables";"Factors Page 3",#N/A,FALSE,"Variables";"Factors Page 4",#N/A,FALSE,"Variables";"Factors Page 5",#N/A,FALSE,"Variables";"YE Pages 7-26",#N/A,FALSE,"Variables"}</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 localSheetId="28">'[10]MISO Cover'!$I$202</definedName>
    <definedName name="WS">'MISO Cover'!$I$202</definedName>
    <definedName name="XLRG_GE" localSheetId="1">#REF!</definedName>
    <definedName name="XLRG_GE" localSheetId="9">#REF!</definedName>
    <definedName name="XLRG_GE" localSheetId="11">#REF!</definedName>
    <definedName name="XLRG_GE" localSheetId="20">#REF!</definedName>
    <definedName name="XLRG_GE" localSheetId="25">#REF!</definedName>
    <definedName name="XLRG_GE" localSheetId="28">#REF!</definedName>
    <definedName name="XLRG_GE">#REF!</definedName>
    <definedName name="XLRG_GJ" localSheetId="1">#REF!</definedName>
    <definedName name="XLRG_GJ" localSheetId="9">#REF!</definedName>
    <definedName name="XLRG_GJ" localSheetId="11">#REF!</definedName>
    <definedName name="XLRG_GJ" localSheetId="20">#REF!</definedName>
    <definedName name="XLRG_GJ" localSheetId="25">#REF!</definedName>
    <definedName name="XLRG_GJ" localSheetId="28">#REF!</definedName>
    <definedName name="XLRG_GJ">#REF!</definedName>
    <definedName name="Z_1155D18F_BFDD_426B_8E78_817CEB25FB23_.wvu.Cols" localSheetId="12" hidden="1">'WP06 ADIT'!#REF!</definedName>
    <definedName name="Z_1155D18F_BFDD_426B_8E78_817CEB25FB23_.wvu.PrintArea" localSheetId="12" hidden="1">'WP06 ADIT'!$B$1:$N$235</definedName>
    <definedName name="Z_16940A0E_2B20_4241_BF05_A4686E5A0274_.wvu.Cols" localSheetId="12" hidden="1">'WP06 ADIT'!#REF!</definedName>
    <definedName name="Z_16940A0E_2B20_4241_BF05_A4686E5A0274_.wvu.PrintArea" localSheetId="12" hidden="1">'WP06 ADIT'!$B$1:$N$235</definedName>
    <definedName name="Z_28948E05_8F34_4F1E_96FB_A80A6A844600_.wvu.Cols" localSheetId="12" hidden="1">'WP06 ADIT'!#REF!</definedName>
    <definedName name="Z_28948E05_8F34_4F1E_96FB_A80A6A844600_.wvu.PrintArea" localSheetId="12" hidden="1">'WP06 ADIT'!$B$1:$N$235</definedName>
    <definedName name="Z_3768C7C8_9953_11DA_B318_000FB55D51DC_.wvu.PrintArea" localSheetId="6" hidden="1">'WP02 Support'!$A$162:$M$166</definedName>
    <definedName name="Z_3768C7C8_9953_11DA_B318_000FB55D51DC_.wvu.PrintTitles" localSheetId="6" hidden="1">'WP02 Support'!#REF!</definedName>
    <definedName name="Z_3768C7C8_9953_11DA_B318_000FB55D51DC_.wvu.Rows" localSheetId="6" hidden="1">'WP02 Support'!#REF!</definedName>
    <definedName name="Z_3BDD6235_B127_4929_8311_BDAF7BB89818_.wvu.PrintArea" localSheetId="6" hidden="1">'WP02 Support'!$A$162:$M$166</definedName>
    <definedName name="Z_3BDD6235_B127_4929_8311_BDAF7BB89818_.wvu.PrintTitles" localSheetId="6" hidden="1">'WP02 Support'!#REF!</definedName>
    <definedName name="Z_3BDD6235_B127_4929_8311_BDAF7BB89818_.wvu.Rows" localSheetId="6" hidden="1">'WP02 Support'!#REF!</definedName>
    <definedName name="Z_44504B44_F20F_4B6F_B585_74D55BA74563_.wvu.Cols" localSheetId="12" hidden="1">'WP06 ADIT'!#REF!</definedName>
    <definedName name="Z_44504B44_F20F_4B6F_B585_74D55BA74563_.wvu.PrintArea" localSheetId="12" hidden="1">'WP06 ADIT'!$B$1:$N$235</definedName>
    <definedName name="Z_63011E91_4609_4523_98FE_FD252E915668_.wvu.Cols" localSheetId="12" hidden="1">'WP06 ADIT'!#REF!</definedName>
    <definedName name="Z_63011E91_4609_4523_98FE_FD252E915668_.wvu.PrintArea" localSheetId="4" hidden="1">'WP01 True-Up'!#REF!</definedName>
    <definedName name="Z_63011E91_4609_4523_98FE_FD252E915668_.wvu.PrintArea" localSheetId="11" hidden="1">'WP05 CapAds'!$A$2:$D$23</definedName>
    <definedName name="Z_63011E91_4609_4523_98FE_FD252E915668_.wvu.PrintArea" localSheetId="12" hidden="1">'WP06 ADIT'!$B$1:$N$235</definedName>
    <definedName name="Z_71B42B22_A376_44B5_B0C1_23FC1AA3DBA2_.wvu.Cols" localSheetId="12" hidden="1">'WP06 ADIT'!#REF!</definedName>
    <definedName name="Z_71B42B22_A376_44B5_B0C1_23FC1AA3DBA2_.wvu.PrintArea" localSheetId="12" hidden="1">'WP06 ADIT'!$B$1:$N$235</definedName>
    <definedName name="Z_B0241363_5C8A_48FC_89A6_56D55586BABE_.wvu.PrintArea" localSheetId="6" hidden="1">'WP02 Support'!$A$162:$M$166</definedName>
    <definedName name="Z_B0241363_5C8A_48FC_89A6_56D55586BABE_.wvu.PrintTitles" localSheetId="6" hidden="1">'WP02 Support'!#REF!</definedName>
    <definedName name="Z_B0241363_5C8A_48FC_89A6_56D55586BABE_.wvu.Rows" localSheetId="6" hidden="1">'WP02 Support'!#REF!</definedName>
    <definedName name="Z_B647CB7F_C846_4278_B6B1_1EF7F3C004F5_.wvu.Cols" localSheetId="12" hidden="1">'WP06 ADIT'!#REF!</definedName>
    <definedName name="Z_B647CB7F_C846_4278_B6B1_1EF7F3C004F5_.wvu.PrintArea" localSheetId="12" hidden="1">'WP06 ADIT'!$B$1:$N$235</definedName>
    <definedName name="Z_C0EA0F9F_7310_4201_82C9_7B8FC8DB9137_.wvu.PrintArea" localSheetId="6" hidden="1">'WP02 Support'!$A$162:$M$166</definedName>
    <definedName name="Z_C0EA0F9F_7310_4201_82C9_7B8FC8DB9137_.wvu.PrintTitles" localSheetId="6" hidden="1">'WP02 Support'!#REF!</definedName>
    <definedName name="Z_C0EA0F9F_7310_4201_82C9_7B8FC8DB9137_.wvu.Rows" localSheetId="6" hidden="1">'WP02 Support'!#REF!</definedName>
    <definedName name="Z_DC91DEF3_837B_4BB9_A81E_3B78C5914E6C_.wvu.Cols" localSheetId="12" hidden="1">'WP06 ADIT'!#REF!</definedName>
    <definedName name="Z_DC91DEF3_837B_4BB9_A81E_3B78C5914E6C_.wvu.PrintArea" localSheetId="12" hidden="1">'WP06 ADIT'!$B$1:$N$235</definedName>
    <definedName name="Z_FAAD9AAC_1337_43AB_BF1F_CCF9DFCF5B78_.wvu.Cols" localSheetId="12" hidden="1">'WP06 ADIT'!#REF!</definedName>
    <definedName name="Z_FAAD9AAC_1337_43AB_BF1F_CCF9DFCF5B78_.wvu.PrintArea" localSheetId="12" hidden="1">'WP06 ADIT'!$B$1:$N$235</definedName>
    <definedName name="Zone_Inputs" localSheetId="1">'[8]Attachment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 name="Zone_Inputs" localSheetId="9">'[8]Attachment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 name="Zone_Inputs" localSheetId="29">'[8]Attachment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 name="Zone_Inputs">'[8]Attachment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s>
  <calcPr calcId="145621" concurrentCalc="0"/>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F27" i="111" l="1"/>
  <c r="D27" i="111"/>
  <c r="B27" i="111"/>
  <c r="A8" i="111"/>
  <c r="A9" i="111"/>
  <c r="A10" i="111"/>
  <c r="A11" i="111"/>
  <c r="A12" i="111"/>
  <c r="A13" i="111"/>
  <c r="A14" i="111"/>
  <c r="A15" i="111"/>
  <c r="A16" i="111"/>
  <c r="A17" i="111"/>
  <c r="A18" i="111"/>
  <c r="A19" i="111"/>
  <c r="A20" i="111"/>
  <c r="A21" i="111"/>
  <c r="A22" i="111"/>
  <c r="A23" i="111"/>
  <c r="A24" i="111"/>
  <c r="A25" i="111"/>
  <c r="A26" i="111"/>
  <c r="A27" i="111"/>
  <c r="M11" i="110"/>
  <c r="L7" i="110"/>
  <c r="L8" i="110"/>
  <c r="L9" i="110"/>
  <c r="L12" i="110"/>
  <c r="L11" i="110"/>
  <c r="D29" i="105"/>
  <c r="E29" i="105"/>
  <c r="K11" i="110"/>
  <c r="K10" i="110"/>
  <c r="C11" i="110"/>
  <c r="C10" i="110"/>
  <c r="F7" i="110"/>
  <c r="K9" i="110"/>
  <c r="K8" i="110"/>
  <c r="K7" i="110"/>
  <c r="M9" i="110"/>
  <c r="C9" i="110"/>
  <c r="C8" i="110"/>
  <c r="C7" i="110"/>
  <c r="D12" i="110"/>
  <c r="E12" i="110"/>
  <c r="F12" i="110"/>
  <c r="G12" i="110"/>
  <c r="H12" i="110"/>
  <c r="I12" i="110"/>
  <c r="J12" i="110"/>
  <c r="K12" i="110"/>
  <c r="C12" i="110"/>
  <c r="A8" i="110"/>
  <c r="A9" i="110"/>
  <c r="A10" i="110"/>
  <c r="A11" i="110"/>
  <c r="A12" i="110"/>
  <c r="A31" i="105"/>
  <c r="A30" i="105"/>
  <c r="A9" i="105"/>
  <c r="A10" i="105"/>
  <c r="A11" i="105"/>
  <c r="A12" i="105"/>
  <c r="A13" i="105"/>
  <c r="A14" i="105"/>
  <c r="A15" i="105"/>
  <c r="A16" i="105"/>
  <c r="A17" i="105"/>
  <c r="A18" i="105"/>
  <c r="A19" i="105"/>
  <c r="A20" i="105"/>
  <c r="A21" i="105"/>
  <c r="A22" i="105"/>
  <c r="A23" i="105"/>
  <c r="A24" i="105"/>
  <c r="A25" i="105"/>
  <c r="A26" i="105"/>
  <c r="F28" i="105"/>
  <c r="A178" i="2"/>
  <c r="A177" i="2"/>
  <c r="B18" i="102"/>
  <c r="I97" i="77"/>
  <c r="K22" i="106"/>
  <c r="K21" i="106"/>
  <c r="K20" i="106"/>
  <c r="K19" i="106"/>
  <c r="K18" i="106"/>
  <c r="K17" i="106"/>
  <c r="K16" i="106"/>
  <c r="K15" i="106"/>
  <c r="K14" i="106"/>
  <c r="K13" i="106"/>
  <c r="K12" i="106"/>
  <c r="K11" i="106"/>
  <c r="K10" i="106"/>
  <c r="E165" i="75"/>
  <c r="E164" i="75"/>
  <c r="F165" i="75"/>
  <c r="F164" i="75"/>
  <c r="F163" i="75"/>
  <c r="F161" i="75"/>
  <c r="A27" i="66"/>
  <c r="A28" i="66"/>
  <c r="A29" i="66"/>
  <c r="A30" i="66"/>
  <c r="A31" i="66"/>
  <c r="A32" i="66"/>
  <c r="A25" i="66"/>
  <c r="A8" i="66"/>
  <c r="A9" i="66"/>
  <c r="A10" i="66"/>
  <c r="A11" i="66"/>
  <c r="A12" i="66"/>
  <c r="A13" i="66"/>
  <c r="A14" i="66"/>
  <c r="A15" i="66"/>
  <c r="A16" i="66"/>
  <c r="A17" i="66"/>
  <c r="A18" i="66"/>
  <c r="A19" i="66"/>
  <c r="A20" i="66"/>
  <c r="A21" i="66"/>
  <c r="A22" i="66"/>
  <c r="A26" i="66"/>
  <c r="A33" i="66"/>
  <c r="A34" i="66"/>
  <c r="A35" i="66"/>
  <c r="A36" i="66"/>
  <c r="A37" i="66"/>
  <c r="A38" i="66"/>
  <c r="A39" i="66"/>
  <c r="A40" i="66"/>
  <c r="A41" i="66"/>
  <c r="A42" i="66"/>
  <c r="A43" i="66"/>
  <c r="A44" i="66"/>
  <c r="A45" i="66"/>
  <c r="A46" i="66"/>
  <c r="A47" i="66"/>
  <c r="A48" i="66"/>
  <c r="A4" i="102"/>
  <c r="A1" i="102"/>
  <c r="E34" i="44"/>
  <c r="F34" i="44"/>
  <c r="G34" i="44"/>
  <c r="H34" i="44"/>
  <c r="I34" i="44"/>
  <c r="J34" i="44"/>
  <c r="K34" i="44"/>
  <c r="L34" i="44"/>
  <c r="M34" i="44"/>
  <c r="N34" i="44"/>
  <c r="O34" i="44"/>
  <c r="P34" i="44"/>
  <c r="D34" i="44"/>
  <c r="A55" i="51"/>
  <c r="A56" i="51"/>
  <c r="A57" i="51"/>
  <c r="A58" i="51"/>
  <c r="A59" i="51"/>
  <c r="A60" i="51"/>
  <c r="I108" i="77"/>
  <c r="A3" i="110"/>
  <c r="A1" i="110"/>
  <c r="E56" i="103"/>
  <c r="A56" i="103"/>
  <c r="A55" i="103"/>
  <c r="F54" i="103"/>
  <c r="E54" i="103"/>
  <c r="D54" i="103"/>
  <c r="B54" i="103"/>
  <c r="A54" i="103"/>
  <c r="F53" i="103"/>
  <c r="E53" i="103"/>
  <c r="D53" i="103"/>
  <c r="A53" i="103"/>
  <c r="F52" i="103"/>
  <c r="E52" i="103"/>
  <c r="D52" i="103"/>
  <c r="A52" i="103"/>
  <c r="F51" i="103"/>
  <c r="E51" i="103"/>
  <c r="D51" i="103"/>
  <c r="A51" i="103"/>
  <c r="F50" i="103"/>
  <c r="E50" i="103"/>
  <c r="D50" i="103"/>
  <c r="A50" i="103"/>
  <c r="F49" i="103"/>
  <c r="E49" i="103"/>
  <c r="D49" i="103"/>
  <c r="A49" i="103"/>
  <c r="F48" i="103"/>
  <c r="E48" i="103"/>
  <c r="D48" i="103"/>
  <c r="A48" i="103"/>
  <c r="F47" i="103"/>
  <c r="E47" i="103"/>
  <c r="D47" i="103"/>
  <c r="A47" i="103"/>
  <c r="F46" i="103"/>
  <c r="E46" i="103"/>
  <c r="D46" i="103"/>
  <c r="A46" i="103"/>
  <c r="F45" i="103"/>
  <c r="E45" i="103"/>
  <c r="D45" i="103"/>
  <c r="A45" i="103"/>
  <c r="F44" i="103"/>
  <c r="E44" i="103"/>
  <c r="D44" i="103"/>
  <c r="A44" i="103"/>
  <c r="A43" i="103"/>
  <c r="A42" i="103"/>
  <c r="F41" i="103"/>
  <c r="E41" i="103"/>
  <c r="D41" i="103"/>
  <c r="A41" i="103"/>
  <c r="F40" i="103"/>
  <c r="E40" i="103"/>
  <c r="D40" i="103"/>
  <c r="A40" i="103"/>
  <c r="F39" i="103"/>
  <c r="E39" i="103"/>
  <c r="D39" i="103"/>
  <c r="A39" i="103"/>
  <c r="F38" i="103"/>
  <c r="E38" i="103"/>
  <c r="D38" i="103"/>
  <c r="A38" i="103"/>
  <c r="A37" i="103"/>
  <c r="A36" i="103"/>
  <c r="A35" i="103"/>
  <c r="F34" i="103"/>
  <c r="E34" i="103"/>
  <c r="D34" i="103"/>
  <c r="A34" i="103"/>
  <c r="F33" i="103"/>
  <c r="A33" i="103"/>
  <c r="F32" i="103"/>
  <c r="A32" i="103"/>
  <c r="F31" i="103"/>
  <c r="A31" i="103"/>
  <c r="F30" i="103"/>
  <c r="A30" i="103"/>
  <c r="F29" i="103"/>
  <c r="A29" i="103"/>
  <c r="F28" i="103"/>
  <c r="A28" i="103"/>
  <c r="F27" i="103"/>
  <c r="A27" i="103"/>
  <c r="F26" i="103"/>
  <c r="A26" i="103"/>
  <c r="F25" i="103"/>
  <c r="A25" i="103"/>
  <c r="F24" i="103"/>
  <c r="A24" i="103"/>
  <c r="F23" i="103"/>
  <c r="A23" i="103"/>
  <c r="F22" i="103"/>
  <c r="A22" i="103"/>
  <c r="F21" i="103"/>
  <c r="A21" i="103"/>
  <c r="F20" i="103"/>
  <c r="A20" i="103"/>
  <c r="F19" i="103"/>
  <c r="A19" i="103"/>
  <c r="F18" i="103"/>
  <c r="A18" i="103"/>
  <c r="F17" i="103"/>
  <c r="A17" i="103"/>
  <c r="F16" i="103"/>
  <c r="A16" i="103"/>
  <c r="F15" i="103"/>
  <c r="A15" i="103"/>
  <c r="F14" i="103"/>
  <c r="A14" i="103"/>
  <c r="F13" i="103"/>
  <c r="A13" i="103"/>
  <c r="F12" i="103"/>
  <c r="A12" i="103"/>
  <c r="F11" i="103"/>
  <c r="A11" i="103"/>
  <c r="F10" i="103"/>
  <c r="A10" i="103"/>
  <c r="F9" i="103"/>
  <c r="A9" i="103"/>
  <c r="F8" i="103"/>
  <c r="A8" i="103"/>
  <c r="A3" i="103"/>
  <c r="A1" i="103"/>
  <c r="E25" i="99"/>
  <c r="A25" i="99"/>
  <c r="E22" i="99"/>
  <c r="D22" i="99"/>
  <c r="C22" i="99"/>
  <c r="B22" i="99"/>
  <c r="A22" i="99"/>
  <c r="E21" i="99"/>
  <c r="D21" i="99"/>
  <c r="C21" i="99"/>
  <c r="B21" i="99"/>
  <c r="A21" i="99"/>
  <c r="E20" i="99"/>
  <c r="D20" i="99"/>
  <c r="C20" i="99"/>
  <c r="B20" i="99"/>
  <c r="A20" i="99"/>
  <c r="E19" i="99"/>
  <c r="D19" i="99"/>
  <c r="C19" i="99"/>
  <c r="B19" i="99"/>
  <c r="A19" i="99"/>
  <c r="E18" i="99"/>
  <c r="D18" i="99"/>
  <c r="C18" i="99"/>
  <c r="B18" i="99"/>
  <c r="A18" i="99"/>
  <c r="E17" i="99"/>
  <c r="D17" i="99"/>
  <c r="C17" i="99"/>
  <c r="B17" i="99"/>
  <c r="A17" i="99"/>
  <c r="E16" i="99"/>
  <c r="D16" i="99"/>
  <c r="C16" i="99"/>
  <c r="B16" i="99"/>
  <c r="A16" i="99"/>
  <c r="E15" i="99"/>
  <c r="D15" i="99"/>
  <c r="C15" i="99"/>
  <c r="B15" i="99"/>
  <c r="A15" i="99"/>
  <c r="E14" i="99"/>
  <c r="D14" i="99"/>
  <c r="C14" i="99"/>
  <c r="B14" i="99"/>
  <c r="A14" i="99"/>
  <c r="E13" i="99"/>
  <c r="D13" i="99"/>
  <c r="C13" i="99"/>
  <c r="B13" i="99"/>
  <c r="A13" i="99"/>
  <c r="E12" i="99"/>
  <c r="D12" i="99"/>
  <c r="C12" i="99"/>
  <c r="B12" i="99"/>
  <c r="A12" i="99"/>
  <c r="E11" i="99"/>
  <c r="D11" i="99"/>
  <c r="C11" i="99"/>
  <c r="B11" i="99"/>
  <c r="A11" i="99"/>
  <c r="E10" i="99"/>
  <c r="D10" i="99"/>
  <c r="C10" i="99"/>
  <c r="B10" i="99"/>
  <c r="A10" i="99"/>
  <c r="E9" i="99"/>
  <c r="D9" i="99"/>
  <c r="C9" i="99"/>
  <c r="B9" i="99"/>
  <c r="A9" i="99"/>
  <c r="E8" i="99"/>
  <c r="D8" i="99"/>
  <c r="A8" i="99"/>
  <c r="A3" i="99"/>
  <c r="A1" i="99"/>
  <c r="D47" i="95"/>
  <c r="D48" i="95"/>
  <c r="D58" i="95"/>
  <c r="A58" i="95"/>
  <c r="A57" i="95"/>
  <c r="E8" i="95"/>
  <c r="E9" i="95"/>
  <c r="E12" i="95"/>
  <c r="E46" i="95"/>
  <c r="E10" i="95"/>
  <c r="E47" i="95"/>
  <c r="E11" i="95"/>
  <c r="E48" i="95"/>
  <c r="E13" i="95"/>
  <c r="E14" i="95"/>
  <c r="E15" i="95"/>
  <c r="E16" i="95"/>
  <c r="E49" i="95"/>
  <c r="E17" i="95"/>
  <c r="E18" i="95"/>
  <c r="E19" i="95"/>
  <c r="E20" i="95"/>
  <c r="E21" i="95"/>
  <c r="E50" i="95"/>
  <c r="E22" i="95"/>
  <c r="E23" i="95"/>
  <c r="E24" i="95"/>
  <c r="E25" i="95"/>
  <c r="E52" i="95"/>
  <c r="E26" i="95"/>
  <c r="E27" i="95"/>
  <c r="E53" i="95"/>
  <c r="E28" i="95"/>
  <c r="E29" i="95"/>
  <c r="E54" i="95"/>
  <c r="E30" i="95"/>
  <c r="E31" i="95"/>
  <c r="E32" i="95"/>
  <c r="E33" i="95"/>
  <c r="E34" i="95"/>
  <c r="E35" i="95"/>
  <c r="E55" i="95"/>
  <c r="E56" i="95"/>
  <c r="D56" i="95"/>
  <c r="C46" i="95"/>
  <c r="C47" i="95"/>
  <c r="C48" i="95"/>
  <c r="C49" i="95"/>
  <c r="C50" i="95"/>
  <c r="C52" i="95"/>
  <c r="C53" i="95"/>
  <c r="C54" i="95"/>
  <c r="C55" i="95"/>
  <c r="C56" i="95"/>
  <c r="B56" i="95"/>
  <c r="A56" i="95"/>
  <c r="D55" i="95"/>
  <c r="A55" i="95"/>
  <c r="D54" i="95"/>
  <c r="A54" i="95"/>
  <c r="D53" i="95"/>
  <c r="A53" i="95"/>
  <c r="D52" i="95"/>
  <c r="A52" i="95"/>
  <c r="A51" i="95"/>
  <c r="D50" i="95"/>
  <c r="A50" i="95"/>
  <c r="D49" i="95"/>
  <c r="A49" i="95"/>
  <c r="A48" i="95"/>
  <c r="A47" i="95"/>
  <c r="D46" i="95"/>
  <c r="A46" i="95"/>
  <c r="A45" i="95"/>
  <c r="A44" i="95"/>
  <c r="E39" i="95"/>
  <c r="E40" i="95"/>
  <c r="E41" i="95"/>
  <c r="E42" i="95"/>
  <c r="E43" i="95"/>
  <c r="D39" i="95"/>
  <c r="D40" i="95"/>
  <c r="D41" i="95"/>
  <c r="D42" i="95"/>
  <c r="D43" i="95"/>
  <c r="C39" i="95"/>
  <c r="C40" i="95"/>
  <c r="C41" i="95"/>
  <c r="C42" i="95"/>
  <c r="C43" i="95"/>
  <c r="A43" i="95"/>
  <c r="A42" i="95"/>
  <c r="A41" i="95"/>
  <c r="A40" i="95"/>
  <c r="A39" i="95"/>
  <c r="A38" i="95"/>
  <c r="A37" i="95"/>
  <c r="E36" i="95"/>
  <c r="D36" i="95"/>
  <c r="C36" i="95"/>
  <c r="A36" i="95"/>
  <c r="A35" i="95"/>
  <c r="A34" i="95"/>
  <c r="A33" i="95"/>
  <c r="A32" i="95"/>
  <c r="A31" i="95"/>
  <c r="A30" i="95"/>
  <c r="A29" i="95"/>
  <c r="A28" i="95"/>
  <c r="A27" i="95"/>
  <c r="A26" i="95"/>
  <c r="A25" i="95"/>
  <c r="A24" i="95"/>
  <c r="A23" i="95"/>
  <c r="A22" i="95"/>
  <c r="A21" i="95"/>
  <c r="A20" i="95"/>
  <c r="A19" i="95"/>
  <c r="A18" i="95"/>
  <c r="A17" i="95"/>
  <c r="A16" i="95"/>
  <c r="A15" i="95"/>
  <c r="A14" i="95"/>
  <c r="A13" i="95"/>
  <c r="A12" i="95"/>
  <c r="A11" i="95"/>
  <c r="A10" i="95"/>
  <c r="A9" i="95"/>
  <c r="A8" i="95"/>
  <c r="A3" i="95"/>
  <c r="A1" i="95"/>
  <c r="F9" i="87"/>
  <c r="F42" i="87"/>
  <c r="F10" i="87"/>
  <c r="F44" i="87"/>
  <c r="F11" i="87"/>
  <c r="F12" i="87"/>
  <c r="F13" i="87"/>
  <c r="F14" i="87"/>
  <c r="F15" i="87"/>
  <c r="F16" i="87"/>
  <c r="F45" i="87"/>
  <c r="F17" i="87"/>
  <c r="F18" i="87"/>
  <c r="F19" i="87"/>
  <c r="F20" i="87"/>
  <c r="F46" i="87"/>
  <c r="F21" i="87"/>
  <c r="F22" i="87"/>
  <c r="F23" i="87"/>
  <c r="F48" i="87"/>
  <c r="F24" i="87"/>
  <c r="F25" i="87"/>
  <c r="F50" i="87"/>
  <c r="F54" i="87"/>
  <c r="B54" i="87"/>
  <c r="A54" i="87"/>
  <c r="A53" i="87"/>
  <c r="G9" i="87"/>
  <c r="G42" i="87"/>
  <c r="G10" i="87"/>
  <c r="G44" i="87"/>
  <c r="G11" i="87"/>
  <c r="G12" i="87"/>
  <c r="G13" i="87"/>
  <c r="G14" i="87"/>
  <c r="G15" i="87"/>
  <c r="G16" i="87"/>
  <c r="G45" i="87"/>
  <c r="G17" i="87"/>
  <c r="G18" i="87"/>
  <c r="G19" i="87"/>
  <c r="G20" i="87"/>
  <c r="G46" i="87"/>
  <c r="G21" i="87"/>
  <c r="G22" i="87"/>
  <c r="G23" i="87"/>
  <c r="G48" i="87"/>
  <c r="G24" i="87"/>
  <c r="G25" i="87"/>
  <c r="G50" i="87"/>
  <c r="F26" i="87"/>
  <c r="G26" i="87"/>
  <c r="F27" i="87"/>
  <c r="G27" i="87"/>
  <c r="F28" i="87"/>
  <c r="G28" i="87"/>
  <c r="F29" i="87"/>
  <c r="G29" i="87"/>
  <c r="F30" i="87"/>
  <c r="G30" i="87"/>
  <c r="F31" i="87"/>
  <c r="G31" i="87"/>
  <c r="G51" i="87"/>
  <c r="G52" i="87"/>
  <c r="F51" i="87"/>
  <c r="F52" i="87"/>
  <c r="E42" i="87"/>
  <c r="E44" i="87"/>
  <c r="E45" i="87"/>
  <c r="E46" i="87"/>
  <c r="E48" i="87"/>
  <c r="E50" i="87"/>
  <c r="E51" i="87"/>
  <c r="E52" i="87"/>
  <c r="D52" i="87"/>
  <c r="C42" i="87"/>
  <c r="C44" i="87"/>
  <c r="C45" i="87"/>
  <c r="C46" i="87"/>
  <c r="C48" i="87"/>
  <c r="C50" i="87"/>
  <c r="C51" i="87"/>
  <c r="C52" i="87"/>
  <c r="B52" i="87"/>
  <c r="A52" i="87"/>
  <c r="D51" i="87"/>
  <c r="A51" i="87"/>
  <c r="D50" i="87"/>
  <c r="A50" i="87"/>
  <c r="A49" i="87"/>
  <c r="D48" i="87"/>
  <c r="A48" i="87"/>
  <c r="A47" i="87"/>
  <c r="D46" i="87"/>
  <c r="A46" i="87"/>
  <c r="D45" i="87"/>
  <c r="A45" i="87"/>
  <c r="D44" i="87"/>
  <c r="A44" i="87"/>
  <c r="A43" i="87"/>
  <c r="D42" i="87"/>
  <c r="A42" i="87"/>
  <c r="A41" i="87"/>
  <c r="A40" i="87"/>
  <c r="G38" i="87"/>
  <c r="G39" i="87"/>
  <c r="F38" i="87"/>
  <c r="F39" i="87"/>
  <c r="E38" i="87"/>
  <c r="E39" i="87"/>
  <c r="D39" i="87"/>
  <c r="C38" i="87"/>
  <c r="C39" i="87"/>
  <c r="B39" i="87"/>
  <c r="A39" i="87"/>
  <c r="D38" i="87"/>
  <c r="A38" i="87"/>
  <c r="G37" i="87"/>
  <c r="F37" i="87"/>
  <c r="E37" i="87"/>
  <c r="D37" i="87"/>
  <c r="C37" i="87"/>
  <c r="B37" i="87"/>
  <c r="A37" i="87"/>
  <c r="A36" i="87"/>
  <c r="A35" i="87"/>
  <c r="A34" i="87"/>
  <c r="A33" i="87"/>
  <c r="G32" i="87"/>
  <c r="F32" i="87"/>
  <c r="E32" i="87"/>
  <c r="D32" i="87"/>
  <c r="C32" i="87"/>
  <c r="B32" i="87"/>
  <c r="A32" i="87"/>
  <c r="A31" i="87"/>
  <c r="A30" i="87"/>
  <c r="A29" i="87"/>
  <c r="A28" i="87"/>
  <c r="A27" i="87"/>
  <c r="A26" i="87"/>
  <c r="A25" i="87"/>
  <c r="A24" i="87"/>
  <c r="A23" i="87"/>
  <c r="A22" i="87"/>
  <c r="A21" i="87"/>
  <c r="A20" i="87"/>
  <c r="A19" i="87"/>
  <c r="A18" i="87"/>
  <c r="A17" i="87"/>
  <c r="A16" i="87"/>
  <c r="A15" i="87"/>
  <c r="A14" i="87"/>
  <c r="A13" i="87"/>
  <c r="A12" i="87"/>
  <c r="A11" i="87"/>
  <c r="A10" i="87"/>
  <c r="A9" i="87"/>
  <c r="A4" i="87"/>
  <c r="A1" i="87"/>
  <c r="E51" i="56"/>
  <c r="E52" i="56"/>
  <c r="E53" i="56"/>
  <c r="E54" i="56"/>
  <c r="E55" i="56"/>
  <c r="E56" i="56"/>
  <c r="E57" i="56"/>
  <c r="E58" i="56"/>
  <c r="E59" i="56"/>
  <c r="E63" i="56"/>
  <c r="A63" i="56"/>
  <c r="A62" i="56"/>
  <c r="F8" i="56"/>
  <c r="F9" i="56"/>
  <c r="F51" i="56"/>
  <c r="F10" i="56"/>
  <c r="F52" i="56"/>
  <c r="F11" i="56"/>
  <c r="F53" i="56"/>
  <c r="F12" i="56"/>
  <c r="F13" i="56"/>
  <c r="F14" i="56"/>
  <c r="F15" i="56"/>
  <c r="F16" i="56"/>
  <c r="F17" i="56"/>
  <c r="F18" i="56"/>
  <c r="F19" i="56"/>
  <c r="F54" i="56"/>
  <c r="F20" i="56"/>
  <c r="F21" i="56"/>
  <c r="F22" i="56"/>
  <c r="F23" i="56"/>
  <c r="F24" i="56"/>
  <c r="F25" i="56"/>
  <c r="F55" i="56"/>
  <c r="F26" i="56"/>
  <c r="F56" i="56"/>
  <c r="F27" i="56"/>
  <c r="F57" i="56"/>
  <c r="F29" i="56"/>
  <c r="F58" i="56"/>
  <c r="F28" i="56"/>
  <c r="F59" i="56"/>
  <c r="F30" i="56"/>
  <c r="F31" i="56"/>
  <c r="F32" i="56"/>
  <c r="F33" i="56"/>
  <c r="F34" i="56"/>
  <c r="F35" i="56"/>
  <c r="F36" i="56"/>
  <c r="F37" i="56"/>
  <c r="F38" i="56"/>
  <c r="F39" i="56"/>
  <c r="F40" i="56"/>
  <c r="F60" i="56"/>
  <c r="F61" i="56"/>
  <c r="E60" i="56"/>
  <c r="E61" i="56"/>
  <c r="D51" i="56"/>
  <c r="D52" i="56"/>
  <c r="D53" i="56"/>
  <c r="D54" i="56"/>
  <c r="D55" i="56"/>
  <c r="D56" i="56"/>
  <c r="D57" i="56"/>
  <c r="D58" i="56"/>
  <c r="D59" i="56"/>
  <c r="D60" i="56"/>
  <c r="D61" i="56"/>
  <c r="B61" i="56"/>
  <c r="A61" i="56"/>
  <c r="A60" i="56"/>
  <c r="A59" i="56"/>
  <c r="A58" i="56"/>
  <c r="A57" i="56"/>
  <c r="A56" i="56"/>
  <c r="A55" i="56"/>
  <c r="A54" i="56"/>
  <c r="A53" i="56"/>
  <c r="A52" i="56"/>
  <c r="A51" i="56"/>
  <c r="A50" i="56"/>
  <c r="A49" i="56"/>
  <c r="F45" i="56"/>
  <c r="F46" i="56"/>
  <c r="F47" i="56"/>
  <c r="F48" i="56"/>
  <c r="E45" i="56"/>
  <c r="E46" i="56"/>
  <c r="E47" i="56"/>
  <c r="E48" i="56"/>
  <c r="D45" i="56"/>
  <c r="D46" i="56"/>
  <c r="D47" i="56"/>
  <c r="D48" i="56"/>
  <c r="A48" i="56"/>
  <c r="A47" i="56"/>
  <c r="A46" i="56"/>
  <c r="A45" i="56"/>
  <c r="A44" i="56"/>
  <c r="A43" i="56"/>
  <c r="A42" i="56"/>
  <c r="F41" i="56"/>
  <c r="E41" i="56"/>
  <c r="D41"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3" i="56"/>
  <c r="A1" i="56"/>
  <c r="E11" i="55"/>
  <c r="G11" i="55"/>
  <c r="H11" i="55"/>
  <c r="E12" i="55"/>
  <c r="G12" i="55"/>
  <c r="H12" i="55"/>
  <c r="E13" i="55"/>
  <c r="G13" i="55"/>
  <c r="H13" i="55"/>
  <c r="E14" i="55"/>
  <c r="G14" i="55"/>
  <c r="H14" i="55"/>
  <c r="H65" i="55"/>
  <c r="E15" i="55"/>
  <c r="G15" i="55"/>
  <c r="H15" i="55"/>
  <c r="H66" i="55"/>
  <c r="E16" i="55"/>
  <c r="G16" i="55"/>
  <c r="H16" i="55"/>
  <c r="H67" i="55"/>
  <c r="E17" i="55"/>
  <c r="G17" i="55"/>
  <c r="H17" i="55"/>
  <c r="E18" i="55"/>
  <c r="G18" i="55"/>
  <c r="H18" i="55"/>
  <c r="E19" i="55"/>
  <c r="G19" i="55"/>
  <c r="H19" i="55"/>
  <c r="E20" i="55"/>
  <c r="G20" i="55"/>
  <c r="H20" i="55"/>
  <c r="E21" i="55"/>
  <c r="G21" i="55"/>
  <c r="H21" i="55"/>
  <c r="E22" i="55"/>
  <c r="G22" i="55"/>
  <c r="H22" i="55"/>
  <c r="H68" i="55"/>
  <c r="E23" i="55"/>
  <c r="G23" i="55"/>
  <c r="H23" i="55"/>
  <c r="E24" i="55"/>
  <c r="G24" i="55"/>
  <c r="H24" i="55"/>
  <c r="E25" i="55"/>
  <c r="G25" i="55"/>
  <c r="H25" i="55"/>
  <c r="E26" i="55"/>
  <c r="G26" i="55"/>
  <c r="H26" i="55"/>
  <c r="E27" i="55"/>
  <c r="G27" i="55"/>
  <c r="H27" i="55"/>
  <c r="E28" i="55"/>
  <c r="G28" i="55"/>
  <c r="H28" i="55"/>
  <c r="E29" i="55"/>
  <c r="G29" i="55"/>
  <c r="H29" i="55"/>
  <c r="E30" i="55"/>
  <c r="G30" i="55"/>
  <c r="H30" i="55"/>
  <c r="E31" i="55"/>
  <c r="G31" i="55"/>
  <c r="H31" i="55"/>
  <c r="E32" i="55"/>
  <c r="G32" i="55"/>
  <c r="H32" i="55"/>
  <c r="E33" i="55"/>
  <c r="G33" i="55"/>
  <c r="H33" i="55"/>
  <c r="E34" i="55"/>
  <c r="G34" i="55"/>
  <c r="H34" i="55"/>
  <c r="E35" i="55"/>
  <c r="G35" i="55"/>
  <c r="H35" i="55"/>
  <c r="H69" i="55"/>
  <c r="E36" i="55"/>
  <c r="G36" i="55"/>
  <c r="H36" i="55"/>
  <c r="H70" i="55"/>
  <c r="E37" i="55"/>
  <c r="G37" i="55"/>
  <c r="H37" i="55"/>
  <c r="E38" i="55"/>
  <c r="G38" i="55"/>
  <c r="H38" i="55"/>
  <c r="H72" i="55"/>
  <c r="E39" i="55"/>
  <c r="G39" i="55"/>
  <c r="H39" i="55"/>
  <c r="E40" i="55"/>
  <c r="G40" i="55"/>
  <c r="H40" i="55"/>
  <c r="H73" i="55"/>
  <c r="H77" i="55"/>
  <c r="B77" i="55"/>
  <c r="A77" i="55"/>
  <c r="A76" i="55"/>
  <c r="K11" i="55"/>
  <c r="K12" i="55"/>
  <c r="K13" i="55"/>
  <c r="K14" i="55"/>
  <c r="K65" i="55"/>
  <c r="K15" i="55"/>
  <c r="K66" i="55"/>
  <c r="K16" i="55"/>
  <c r="K67" i="55"/>
  <c r="K17" i="55"/>
  <c r="K18" i="55"/>
  <c r="K19" i="55"/>
  <c r="K20" i="55"/>
  <c r="K21" i="55"/>
  <c r="K22" i="55"/>
  <c r="K68" i="55"/>
  <c r="K23" i="55"/>
  <c r="K24" i="55"/>
  <c r="K25" i="55"/>
  <c r="K26" i="55"/>
  <c r="K27" i="55"/>
  <c r="K28" i="55"/>
  <c r="K29" i="55"/>
  <c r="K30" i="55"/>
  <c r="K31" i="55"/>
  <c r="K32" i="55"/>
  <c r="K33" i="55"/>
  <c r="K34" i="55"/>
  <c r="K35" i="55"/>
  <c r="K69" i="55"/>
  <c r="K36" i="55"/>
  <c r="K70" i="55"/>
  <c r="K37" i="55"/>
  <c r="K38" i="55"/>
  <c r="K72" i="55"/>
  <c r="K39" i="55"/>
  <c r="K40" i="55"/>
  <c r="K73" i="55"/>
  <c r="E41" i="55"/>
  <c r="G41" i="55"/>
  <c r="K41" i="55"/>
  <c r="E42" i="55"/>
  <c r="G42" i="55"/>
  <c r="K42" i="55"/>
  <c r="E43" i="55"/>
  <c r="G43" i="55"/>
  <c r="K43" i="55"/>
  <c r="E44" i="55"/>
  <c r="G44" i="55"/>
  <c r="K44" i="55"/>
  <c r="E45" i="55"/>
  <c r="G45" i="55"/>
  <c r="K45" i="55"/>
  <c r="E46" i="55"/>
  <c r="G46" i="55"/>
  <c r="K46" i="55"/>
  <c r="E47" i="55"/>
  <c r="G47" i="55"/>
  <c r="K47" i="55"/>
  <c r="E48" i="55"/>
  <c r="G48" i="55"/>
  <c r="K48" i="55"/>
  <c r="E49" i="55"/>
  <c r="G49" i="55"/>
  <c r="K49" i="55"/>
  <c r="E50" i="55"/>
  <c r="G50" i="55"/>
  <c r="K50" i="55"/>
  <c r="E51" i="55"/>
  <c r="G51" i="55"/>
  <c r="K51" i="55"/>
  <c r="E52" i="55"/>
  <c r="G52" i="55"/>
  <c r="K52" i="55"/>
  <c r="E53" i="55"/>
  <c r="G53" i="55"/>
  <c r="K53" i="55"/>
  <c r="E54" i="55"/>
  <c r="G54" i="55"/>
  <c r="K54" i="55"/>
  <c r="K74" i="55"/>
  <c r="K75" i="55"/>
  <c r="J65" i="55"/>
  <c r="J66" i="55"/>
  <c r="J67" i="55"/>
  <c r="J68" i="55"/>
  <c r="J69" i="55"/>
  <c r="J70" i="55"/>
  <c r="J72" i="55"/>
  <c r="J73" i="55"/>
  <c r="J74" i="55"/>
  <c r="J75" i="55"/>
  <c r="I65" i="55"/>
  <c r="I66" i="55"/>
  <c r="I67" i="55"/>
  <c r="I68" i="55"/>
  <c r="I69" i="55"/>
  <c r="I70" i="55"/>
  <c r="I72" i="55"/>
  <c r="I73" i="55"/>
  <c r="I74" i="55"/>
  <c r="I75" i="55"/>
  <c r="H41" i="55"/>
  <c r="H42" i="55"/>
  <c r="H43" i="55"/>
  <c r="H44" i="55"/>
  <c r="H45" i="55"/>
  <c r="H46" i="55"/>
  <c r="H47" i="55"/>
  <c r="H48" i="55"/>
  <c r="H49" i="55"/>
  <c r="H50" i="55"/>
  <c r="H51" i="55"/>
  <c r="H52" i="55"/>
  <c r="H53" i="55"/>
  <c r="H54" i="55"/>
  <c r="H74" i="55"/>
  <c r="H75" i="55"/>
  <c r="G65" i="55"/>
  <c r="G66" i="55"/>
  <c r="G67" i="55"/>
  <c r="G68" i="55"/>
  <c r="G69" i="55"/>
  <c r="G70" i="55"/>
  <c r="G72" i="55"/>
  <c r="G73" i="55"/>
  <c r="G74" i="55"/>
  <c r="G75" i="55"/>
  <c r="F65" i="55"/>
  <c r="F66" i="55"/>
  <c r="F67" i="55"/>
  <c r="F68" i="55"/>
  <c r="F69" i="55"/>
  <c r="F70" i="55"/>
  <c r="F72" i="55"/>
  <c r="F73" i="55"/>
  <c r="F74" i="55"/>
  <c r="F75" i="55"/>
  <c r="E65" i="55"/>
  <c r="E66" i="55"/>
  <c r="E67" i="55"/>
  <c r="E68" i="55"/>
  <c r="E69" i="55"/>
  <c r="E70" i="55"/>
  <c r="E72" i="55"/>
  <c r="E73" i="55"/>
  <c r="E74" i="55"/>
  <c r="E75" i="55"/>
  <c r="D65" i="55"/>
  <c r="D66" i="55"/>
  <c r="D67" i="55"/>
  <c r="D68" i="55"/>
  <c r="D69" i="55"/>
  <c r="D70" i="55"/>
  <c r="D72" i="55"/>
  <c r="D73" i="55"/>
  <c r="D74" i="55"/>
  <c r="D75" i="55"/>
  <c r="C65" i="55"/>
  <c r="C66" i="55"/>
  <c r="C67" i="55"/>
  <c r="C68" i="55"/>
  <c r="C69" i="55"/>
  <c r="C70" i="55"/>
  <c r="C72" i="55"/>
  <c r="C73" i="55"/>
  <c r="C74" i="55"/>
  <c r="C75" i="55"/>
  <c r="B75" i="55"/>
  <c r="A75" i="55"/>
  <c r="A74" i="55"/>
  <c r="A73" i="55"/>
  <c r="A72" i="55"/>
  <c r="A71" i="55"/>
  <c r="A70" i="55"/>
  <c r="A69" i="55"/>
  <c r="A68" i="55"/>
  <c r="A67" i="55"/>
  <c r="A66" i="55"/>
  <c r="A65" i="55"/>
  <c r="A64" i="55"/>
  <c r="A63" i="55"/>
  <c r="K58" i="55"/>
  <c r="K59" i="55"/>
  <c r="K60" i="55"/>
  <c r="K61" i="55"/>
  <c r="K62" i="55"/>
  <c r="J58" i="55"/>
  <c r="J59" i="55"/>
  <c r="J60" i="55"/>
  <c r="J61" i="55"/>
  <c r="J62" i="55"/>
  <c r="I58" i="55"/>
  <c r="I59" i="55"/>
  <c r="I60" i="55"/>
  <c r="I61" i="55"/>
  <c r="I62" i="55"/>
  <c r="H58" i="55"/>
  <c r="H59" i="55"/>
  <c r="H60" i="55"/>
  <c r="H61" i="55"/>
  <c r="H62" i="55"/>
  <c r="G58" i="55"/>
  <c r="G59" i="55"/>
  <c r="G60" i="55"/>
  <c r="G61" i="55"/>
  <c r="G62" i="55"/>
  <c r="F58" i="55"/>
  <c r="F59" i="55"/>
  <c r="F60" i="55"/>
  <c r="F61" i="55"/>
  <c r="F62" i="55"/>
  <c r="E58" i="55"/>
  <c r="E59" i="55"/>
  <c r="E60" i="55"/>
  <c r="E61" i="55"/>
  <c r="E62" i="55"/>
  <c r="D58" i="55"/>
  <c r="D59" i="55"/>
  <c r="D60" i="55"/>
  <c r="D61" i="55"/>
  <c r="D62" i="55"/>
  <c r="C58" i="55"/>
  <c r="C59" i="55"/>
  <c r="C60" i="55"/>
  <c r="C61" i="55"/>
  <c r="C62" i="55"/>
  <c r="A62" i="55"/>
  <c r="A61" i="55"/>
  <c r="B60" i="55"/>
  <c r="A60" i="55"/>
  <c r="A59" i="55"/>
  <c r="A58" i="55"/>
  <c r="A57" i="55"/>
  <c r="A56" i="55"/>
  <c r="K55" i="55"/>
  <c r="J55" i="55"/>
  <c r="I55" i="55"/>
  <c r="H55" i="55"/>
  <c r="G55" i="55"/>
  <c r="F55" i="55"/>
  <c r="E55" i="55"/>
  <c r="D55" i="55"/>
  <c r="C55" i="55"/>
  <c r="B55" i="55"/>
  <c r="A55" i="55"/>
  <c r="A52" i="55"/>
  <c r="A51" i="55"/>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K7" i="55"/>
  <c r="H7" i="55"/>
  <c r="G7" i="55"/>
  <c r="E7" i="55"/>
  <c r="A3" i="55"/>
  <c r="A1" i="55"/>
  <c r="A3" i="107"/>
  <c r="A1" i="107"/>
  <c r="K24" i="106"/>
  <c r="F10" i="106"/>
  <c r="F11" i="106"/>
  <c r="F12" i="106"/>
  <c r="F13" i="106"/>
  <c r="F14" i="106"/>
  <c r="F15" i="106"/>
  <c r="F16" i="106"/>
  <c r="F17" i="106"/>
  <c r="F18" i="106"/>
  <c r="F19" i="106"/>
  <c r="F20" i="106"/>
  <c r="F21" i="106"/>
  <c r="F22" i="106"/>
  <c r="F24" i="106"/>
  <c r="A24" i="106"/>
  <c r="A23" i="106"/>
  <c r="A22" i="106"/>
  <c r="A21" i="106"/>
  <c r="A20" i="106"/>
  <c r="A19" i="106"/>
  <c r="A18" i="106"/>
  <c r="A17" i="106"/>
  <c r="A16" i="106"/>
  <c r="A15" i="106"/>
  <c r="A14" i="106"/>
  <c r="A13" i="106"/>
  <c r="A12" i="106"/>
  <c r="A11" i="106"/>
  <c r="A10" i="106"/>
  <c r="A9" i="106"/>
  <c r="A8" i="106"/>
  <c r="A3" i="106"/>
  <c r="A1" i="106"/>
  <c r="Q8" i="74"/>
  <c r="Q9" i="74"/>
  <c r="Q10" i="74"/>
  <c r="Q11" i="74"/>
  <c r="Q12" i="74"/>
  <c r="Q13" i="74"/>
  <c r="Q14" i="74"/>
  <c r="Q15" i="74"/>
  <c r="Q16" i="74"/>
  <c r="Q17" i="74"/>
  <c r="Q18" i="74"/>
  <c r="Q19" i="74"/>
  <c r="Q20" i="74"/>
  <c r="Q21" i="74"/>
  <c r="Q22" i="74"/>
  <c r="Q23" i="74"/>
  <c r="Q24" i="74"/>
  <c r="Q25" i="74"/>
  <c r="Q26" i="74"/>
  <c r="P26" i="74"/>
  <c r="O26" i="74"/>
  <c r="N26" i="74"/>
  <c r="M26" i="74"/>
  <c r="L26" i="74"/>
  <c r="K26" i="74"/>
  <c r="J26" i="74"/>
  <c r="I26" i="74"/>
  <c r="H26" i="74"/>
  <c r="G26" i="74"/>
  <c r="F26" i="74"/>
  <c r="E26" i="74"/>
  <c r="D26" i="74"/>
  <c r="C26" i="74"/>
  <c r="A26" i="74"/>
  <c r="A23" i="74"/>
  <c r="A22" i="74"/>
  <c r="A21" i="74"/>
  <c r="A20" i="74"/>
  <c r="A19" i="74"/>
  <c r="A18" i="74"/>
  <c r="A16" i="74"/>
  <c r="A15" i="74"/>
  <c r="A14" i="74"/>
  <c r="A13" i="74"/>
  <c r="A12" i="74"/>
  <c r="A11" i="74"/>
  <c r="A10" i="74"/>
  <c r="A9" i="74"/>
  <c r="A8" i="74"/>
  <c r="A7" i="74"/>
  <c r="A3" i="74"/>
  <c r="A1" i="74"/>
  <c r="B66" i="67"/>
  <c r="B63" i="67"/>
  <c r="B62" i="67"/>
  <c r="B61" i="67"/>
  <c r="B59" i="67"/>
  <c r="C30" i="67"/>
  <c r="C38" i="67"/>
  <c r="C45" i="67"/>
  <c r="C51" i="67"/>
  <c r="C55" i="67"/>
  <c r="D30" i="67"/>
  <c r="D38" i="67"/>
  <c r="D45" i="67"/>
  <c r="D51" i="67"/>
  <c r="D55" i="67"/>
  <c r="E30" i="67"/>
  <c r="E38" i="67"/>
  <c r="E45" i="67"/>
  <c r="E51" i="67"/>
  <c r="E55" i="67"/>
  <c r="F30" i="67"/>
  <c r="F38" i="67"/>
  <c r="F45" i="67"/>
  <c r="F51" i="67"/>
  <c r="F55" i="67"/>
  <c r="G30" i="67"/>
  <c r="G38" i="67"/>
  <c r="G45" i="67"/>
  <c r="G51" i="67"/>
  <c r="G55" i="67"/>
  <c r="H30" i="67"/>
  <c r="H38" i="67"/>
  <c r="H45" i="67"/>
  <c r="H51" i="67"/>
  <c r="H55" i="67"/>
  <c r="I30" i="67"/>
  <c r="I38" i="67"/>
  <c r="I45" i="67"/>
  <c r="I51" i="67"/>
  <c r="I55" i="67"/>
  <c r="J30" i="67"/>
  <c r="J38" i="67"/>
  <c r="J45" i="67"/>
  <c r="J51" i="67"/>
  <c r="J55" i="67"/>
  <c r="K30" i="67"/>
  <c r="K38" i="67"/>
  <c r="K45" i="67"/>
  <c r="K51" i="67"/>
  <c r="K55" i="67"/>
  <c r="L30" i="67"/>
  <c r="L38" i="67"/>
  <c r="L45" i="67"/>
  <c r="L51" i="67"/>
  <c r="L55" i="67"/>
  <c r="M30" i="67"/>
  <c r="M38" i="67"/>
  <c r="M45" i="67"/>
  <c r="M51" i="67"/>
  <c r="M55" i="67"/>
  <c r="N30" i="67"/>
  <c r="N38" i="67"/>
  <c r="N45" i="67"/>
  <c r="N51" i="67"/>
  <c r="N55" i="67"/>
  <c r="O55" i="67"/>
  <c r="A55" i="67"/>
  <c r="A54" i="67"/>
  <c r="O53" i="67"/>
  <c r="A53" i="67"/>
  <c r="B52" i="67"/>
  <c r="A52" i="67"/>
  <c r="O51" i="67"/>
  <c r="B51" i="67"/>
  <c r="A51" i="67"/>
  <c r="A50" i="67"/>
  <c r="A49" i="67"/>
  <c r="O48" i="67"/>
  <c r="A48" i="67"/>
  <c r="A47" i="67"/>
  <c r="A46" i="67"/>
  <c r="O41" i="67"/>
  <c r="O45" i="67"/>
  <c r="B45" i="67"/>
  <c r="A45" i="67"/>
  <c r="O44" i="67"/>
  <c r="O43" i="67"/>
  <c r="O42" i="67"/>
  <c r="A42" i="67"/>
  <c r="A41" i="67"/>
  <c r="A40" i="67"/>
  <c r="A39" i="67"/>
  <c r="O33" i="67"/>
  <c r="O34" i="67"/>
  <c r="O38" i="67"/>
  <c r="B38" i="67"/>
  <c r="A38" i="67"/>
  <c r="O37" i="67"/>
  <c r="O36" i="67"/>
  <c r="O35" i="67"/>
  <c r="A35" i="67"/>
  <c r="A34" i="67"/>
  <c r="B33" i="67"/>
  <c r="A33" i="67"/>
  <c r="B32" i="67"/>
  <c r="A32" i="67"/>
  <c r="A31" i="67"/>
  <c r="O15" i="67"/>
  <c r="O16" i="67"/>
  <c r="O17" i="67"/>
  <c r="O18" i="67"/>
  <c r="O19" i="67"/>
  <c r="O20" i="67"/>
  <c r="O21" i="67"/>
  <c r="O22" i="67"/>
  <c r="O23" i="67"/>
  <c r="O24" i="67"/>
  <c r="O25" i="67"/>
  <c r="O26" i="67"/>
  <c r="O27" i="67"/>
  <c r="O28" i="67"/>
  <c r="O29" i="67"/>
  <c r="O30" i="67"/>
  <c r="B30" i="67"/>
  <c r="A30" i="67"/>
  <c r="A27" i="67"/>
  <c r="A26" i="67"/>
  <c r="A25" i="67"/>
  <c r="A24" i="67"/>
  <c r="A23" i="67"/>
  <c r="A22" i="67"/>
  <c r="A21" i="67"/>
  <c r="A20" i="67"/>
  <c r="A19" i="67"/>
  <c r="A18" i="67"/>
  <c r="A17" i="67"/>
  <c r="A16" i="67"/>
  <c r="A15" i="67"/>
  <c r="A14" i="67"/>
  <c r="A13" i="67"/>
  <c r="A12" i="67"/>
  <c r="A11" i="67"/>
  <c r="A10" i="67"/>
  <c r="A9" i="67"/>
  <c r="A8" i="67"/>
  <c r="A3" i="67"/>
  <c r="A1" i="67"/>
  <c r="E48" i="66"/>
  <c r="B48" i="66"/>
  <c r="E32" i="66"/>
  <c r="B32" i="66"/>
  <c r="E22" i="66"/>
  <c r="B22" i="66"/>
  <c r="A3" i="66"/>
  <c r="A1" i="66"/>
  <c r="C36" i="101"/>
  <c r="A36" i="101"/>
  <c r="A34" i="101"/>
  <c r="A33" i="101"/>
  <c r="A32" i="101"/>
  <c r="A31" i="101"/>
  <c r="A30" i="101"/>
  <c r="A29" i="101"/>
  <c r="A28" i="101"/>
  <c r="A27" i="101"/>
  <c r="A26" i="101"/>
  <c r="A25" i="101"/>
  <c r="C24" i="101"/>
  <c r="A24" i="101"/>
  <c r="A22" i="101"/>
  <c r="A21" i="101"/>
  <c r="A20" i="101"/>
  <c r="A19" i="101"/>
  <c r="A18" i="101"/>
  <c r="A17" i="101"/>
  <c r="A16" i="101"/>
  <c r="A15" i="101"/>
  <c r="C14" i="101"/>
  <c r="A14" i="101"/>
  <c r="A12" i="101"/>
  <c r="A11" i="101"/>
  <c r="A10" i="101"/>
  <c r="A9" i="101"/>
  <c r="A8" i="101"/>
  <c r="A7" i="101"/>
  <c r="A3" i="101"/>
  <c r="A1" i="101"/>
  <c r="B70" i="51"/>
  <c r="G8" i="51"/>
  <c r="G9" i="51"/>
  <c r="G10" i="51"/>
  <c r="G15" i="51"/>
  <c r="G16" i="51"/>
  <c r="G17" i="51"/>
  <c r="G18" i="51"/>
  <c r="G19" i="51"/>
  <c r="G20" i="51"/>
  <c r="G21" i="51"/>
  <c r="G22" i="51"/>
  <c r="G23" i="51"/>
  <c r="G27" i="51"/>
  <c r="G28" i="51"/>
  <c r="G29" i="51"/>
  <c r="G33" i="51"/>
  <c r="G34" i="51"/>
  <c r="G35" i="51"/>
  <c r="G37" i="51"/>
  <c r="G42" i="51"/>
  <c r="G43" i="51"/>
  <c r="G44" i="51"/>
  <c r="G46" i="51"/>
  <c r="G47" i="51"/>
  <c r="G48" i="51"/>
  <c r="G50" i="51"/>
  <c r="G51" i="51"/>
  <c r="G54" i="51"/>
  <c r="G55" i="51"/>
  <c r="G56" i="51"/>
  <c r="G63" i="51"/>
  <c r="G64" i="51"/>
  <c r="F10" i="51"/>
  <c r="F36" i="51"/>
  <c r="F63" i="51"/>
  <c r="F64" i="51"/>
  <c r="E24" i="51"/>
  <c r="E26" i="51"/>
  <c r="E32" i="51"/>
  <c r="E39" i="51"/>
  <c r="E41" i="51"/>
  <c r="E45" i="51"/>
  <c r="E57" i="51"/>
  <c r="E63" i="51"/>
  <c r="E64" i="51"/>
  <c r="D10" i="51"/>
  <c r="D25" i="51"/>
  <c r="D30" i="51"/>
  <c r="D31" i="51"/>
  <c r="D38" i="51"/>
  <c r="D40" i="51"/>
  <c r="D49" i="51"/>
  <c r="D52" i="51"/>
  <c r="D53" i="51"/>
  <c r="D57" i="51"/>
  <c r="D63" i="51"/>
  <c r="D64" i="51"/>
  <c r="C8" i="51"/>
  <c r="C9" i="51"/>
  <c r="C10" i="51"/>
  <c r="C63" i="51"/>
  <c r="C64" i="51"/>
  <c r="B64" i="51"/>
  <c r="A64" i="51"/>
  <c r="B63" i="51"/>
  <c r="A63" i="51"/>
  <c r="G59" i="51"/>
  <c r="E59" i="51"/>
  <c r="G58" i="51"/>
  <c r="D58" i="51"/>
  <c r="G57" i="51"/>
  <c r="A54" i="51"/>
  <c r="A53" i="51"/>
  <c r="A52" i="51"/>
  <c r="A51" i="51"/>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I10" i="51"/>
  <c r="H10" i="51"/>
  <c r="A10" i="51"/>
  <c r="A9" i="51"/>
  <c r="A8" i="51"/>
  <c r="A3" i="51"/>
  <c r="A1" i="51"/>
  <c r="B29" i="85"/>
  <c r="B26" i="85"/>
  <c r="P8" i="85"/>
  <c r="P9" i="85"/>
  <c r="P10" i="85"/>
  <c r="P11" i="85"/>
  <c r="P12" i="85"/>
  <c r="P13" i="85"/>
  <c r="P14" i="85"/>
  <c r="P15" i="85"/>
  <c r="P16" i="85"/>
  <c r="C23" i="85"/>
  <c r="D23" i="85"/>
  <c r="E23" i="85"/>
  <c r="F23" i="85"/>
  <c r="G23" i="85"/>
  <c r="H23" i="85"/>
  <c r="I23" i="85"/>
  <c r="J23" i="85"/>
  <c r="K23" i="85"/>
  <c r="L23" i="85"/>
  <c r="M23" i="85"/>
  <c r="N23" i="85"/>
  <c r="O23" i="85"/>
  <c r="P23" i="85"/>
  <c r="P25" i="85"/>
  <c r="O16" i="85"/>
  <c r="O25" i="85"/>
  <c r="N16" i="85"/>
  <c r="N25" i="85"/>
  <c r="M16" i="85"/>
  <c r="M25" i="85"/>
  <c r="L16" i="85"/>
  <c r="L25" i="85"/>
  <c r="K16" i="85"/>
  <c r="K25" i="85"/>
  <c r="J16" i="85"/>
  <c r="J25" i="85"/>
  <c r="I16" i="85"/>
  <c r="I25" i="85"/>
  <c r="H16" i="85"/>
  <c r="H25" i="85"/>
  <c r="G16" i="85"/>
  <c r="G25" i="85"/>
  <c r="F16" i="85"/>
  <c r="F25" i="85"/>
  <c r="E16" i="85"/>
  <c r="E25" i="85"/>
  <c r="D16" i="85"/>
  <c r="D25" i="85"/>
  <c r="C16" i="85"/>
  <c r="C25" i="85"/>
  <c r="A25" i="85"/>
  <c r="A24" i="85"/>
  <c r="B23" i="85"/>
  <c r="A23" i="85"/>
  <c r="P22" i="85"/>
  <c r="P21" i="85"/>
  <c r="P20" i="85"/>
  <c r="A20" i="85"/>
  <c r="P19" i="85"/>
  <c r="A19" i="85"/>
  <c r="A18" i="85"/>
  <c r="A17" i="85"/>
  <c r="B16" i="85"/>
  <c r="A16" i="85"/>
  <c r="A13" i="85"/>
  <c r="A12" i="85"/>
  <c r="A11" i="85"/>
  <c r="A10" i="85"/>
  <c r="A9" i="85"/>
  <c r="A8" i="85"/>
  <c r="A3" i="85"/>
  <c r="A1" i="85"/>
  <c r="B88" i="86"/>
  <c r="G12" i="86"/>
  <c r="G13" i="86"/>
  <c r="G14" i="86"/>
  <c r="G15" i="86"/>
  <c r="G16" i="86"/>
  <c r="G17" i="86"/>
  <c r="G18" i="86"/>
  <c r="G19" i="86"/>
  <c r="G20" i="86"/>
  <c r="G21" i="86"/>
  <c r="G22" i="86"/>
  <c r="G23" i="86"/>
  <c r="G24" i="86"/>
  <c r="G25" i="86"/>
  <c r="G26" i="86"/>
  <c r="G27" i="86"/>
  <c r="G28" i="86"/>
  <c r="G29" i="86"/>
  <c r="G30" i="86"/>
  <c r="G31" i="86"/>
  <c r="G32" i="86"/>
  <c r="G33" i="86"/>
  <c r="G34" i="86"/>
  <c r="G35" i="86"/>
  <c r="G36" i="86"/>
  <c r="G37" i="86"/>
  <c r="G38" i="86"/>
  <c r="G39" i="86"/>
  <c r="G40" i="86"/>
  <c r="G41" i="86"/>
  <c r="G42" i="86"/>
  <c r="G43" i="86"/>
  <c r="G44" i="86"/>
  <c r="G45" i="86"/>
  <c r="G46" i="86"/>
  <c r="G47" i="86"/>
  <c r="G48" i="86"/>
  <c r="G49" i="86"/>
  <c r="G50" i="86"/>
  <c r="G51" i="86"/>
  <c r="G52" i="86"/>
  <c r="G53" i="86"/>
  <c r="G54" i="86"/>
  <c r="G55" i="86"/>
  <c r="G56" i="86"/>
  <c r="G57" i="86"/>
  <c r="G58" i="86"/>
  <c r="G59" i="86"/>
  <c r="G60" i="86"/>
  <c r="G61" i="86"/>
  <c r="G62" i="86"/>
  <c r="G63" i="86"/>
  <c r="G64" i="86"/>
  <c r="G65" i="86"/>
  <c r="G66" i="86"/>
  <c r="G67" i="86"/>
  <c r="G68" i="86"/>
  <c r="G69" i="86"/>
  <c r="G70" i="86"/>
  <c r="G71" i="86"/>
  <c r="G72" i="86"/>
  <c r="G73" i="86"/>
  <c r="G74" i="86"/>
  <c r="G75" i="86"/>
  <c r="G76" i="86"/>
  <c r="G77" i="86"/>
  <c r="G78" i="86"/>
  <c r="G79" i="86"/>
  <c r="G80" i="86"/>
  <c r="G81" i="86"/>
  <c r="G82" i="86"/>
  <c r="G83" i="86"/>
  <c r="G84" i="86"/>
  <c r="G85" i="86"/>
  <c r="F85" i="86"/>
  <c r="E85" i="86"/>
  <c r="A85"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G11" i="86"/>
  <c r="F11" i="86"/>
  <c r="E11" i="86"/>
  <c r="A11" i="86"/>
  <c r="A10" i="86"/>
  <c r="E9" i="86"/>
  <c r="F9" i="86"/>
  <c r="G9" i="86"/>
  <c r="A9" i="86"/>
  <c r="E8" i="86"/>
  <c r="F8" i="86"/>
  <c r="G8" i="86"/>
  <c r="C8" i="86"/>
  <c r="A8" i="86"/>
  <c r="E7" i="86"/>
  <c r="F7" i="86"/>
  <c r="G7" i="86"/>
  <c r="C7" i="86"/>
  <c r="A7" i="86"/>
  <c r="A3" i="86"/>
  <c r="A1" i="86"/>
  <c r="A3" i="109"/>
  <c r="A1" i="109"/>
  <c r="Q44" i="44"/>
  <c r="D39" i="44"/>
  <c r="D45" i="44"/>
  <c r="E39" i="44"/>
  <c r="E45" i="44"/>
  <c r="F39" i="44"/>
  <c r="F45" i="44"/>
  <c r="G39" i="44"/>
  <c r="G45" i="44"/>
  <c r="H39" i="44"/>
  <c r="H45" i="44"/>
  <c r="I39" i="44"/>
  <c r="I45" i="44"/>
  <c r="J39" i="44"/>
  <c r="J45" i="44"/>
  <c r="K39" i="44"/>
  <c r="K45" i="44"/>
  <c r="L39" i="44"/>
  <c r="L45" i="44"/>
  <c r="M39" i="44"/>
  <c r="M45" i="44"/>
  <c r="N39" i="44"/>
  <c r="N45" i="44"/>
  <c r="O39" i="44"/>
  <c r="O45" i="44"/>
  <c r="P39" i="44"/>
  <c r="P45" i="44"/>
  <c r="Q45" i="44"/>
  <c r="Q46" i="44"/>
  <c r="Q47" i="44"/>
  <c r="Q48" i="44"/>
  <c r="P48" i="44"/>
  <c r="O48" i="44"/>
  <c r="N48" i="44"/>
  <c r="M48" i="44"/>
  <c r="L48" i="44"/>
  <c r="K48" i="44"/>
  <c r="J48" i="44"/>
  <c r="I48" i="44"/>
  <c r="H48" i="44"/>
  <c r="G48" i="44"/>
  <c r="F48" i="44"/>
  <c r="E48" i="44"/>
  <c r="D48" i="44"/>
  <c r="C48" i="44"/>
  <c r="A48" i="44"/>
  <c r="A47" i="44"/>
  <c r="A46" i="44"/>
  <c r="C45" i="44"/>
  <c r="A45" i="44"/>
  <c r="A44" i="44"/>
  <c r="A43" i="44"/>
  <c r="A42" i="44"/>
  <c r="A41" i="44"/>
  <c r="A40" i="44"/>
  <c r="Q33" i="44"/>
  <c r="Q38" i="44"/>
  <c r="Q34" i="44"/>
  <c r="Q35" i="44"/>
  <c r="Q36" i="44"/>
  <c r="Q37" i="44"/>
  <c r="Q39" i="44"/>
  <c r="C39" i="44"/>
  <c r="A39" i="44"/>
  <c r="A38" i="44"/>
  <c r="A37" i="44"/>
  <c r="A36" i="44"/>
  <c r="A35" i="44"/>
  <c r="A34" i="44"/>
  <c r="A33" i="44"/>
  <c r="A32" i="44"/>
  <c r="A31" i="44"/>
  <c r="P30" i="44"/>
  <c r="C30" i="44"/>
  <c r="A30" i="44"/>
  <c r="A29" i="44"/>
  <c r="A28" i="44"/>
  <c r="A27" i="44"/>
  <c r="A26" i="44"/>
  <c r="A25" i="44"/>
  <c r="A24" i="44"/>
  <c r="A23" i="44"/>
  <c r="A22" i="44"/>
  <c r="A21" i="44"/>
  <c r="Q8" i="44"/>
  <c r="Q9" i="44"/>
  <c r="Q10" i="44"/>
  <c r="Q11" i="44"/>
  <c r="Q12" i="44"/>
  <c r="Q15" i="44"/>
  <c r="Q16" i="44"/>
  <c r="Q17" i="44"/>
  <c r="Q18" i="44"/>
  <c r="Q19" i="44"/>
  <c r="Q20" i="44"/>
  <c r="P12" i="44"/>
  <c r="P20" i="44"/>
  <c r="O12" i="44"/>
  <c r="O20" i="44"/>
  <c r="N12" i="44"/>
  <c r="N20" i="44"/>
  <c r="M12" i="44"/>
  <c r="M20" i="44"/>
  <c r="L12" i="44"/>
  <c r="L20" i="44"/>
  <c r="K12" i="44"/>
  <c r="K20" i="44"/>
  <c r="J12" i="44"/>
  <c r="J20" i="44"/>
  <c r="I12" i="44"/>
  <c r="I20" i="44"/>
  <c r="H12" i="44"/>
  <c r="H20" i="44"/>
  <c r="G12" i="44"/>
  <c r="G20" i="44"/>
  <c r="F12" i="44"/>
  <c r="F20" i="44"/>
  <c r="E12" i="44"/>
  <c r="E20" i="44"/>
  <c r="D12" i="44"/>
  <c r="D20" i="44"/>
  <c r="C20" i="44"/>
  <c r="A20" i="44"/>
  <c r="A19" i="44"/>
  <c r="A18" i="44"/>
  <c r="A17" i="44"/>
  <c r="A16" i="44"/>
  <c r="A15" i="44"/>
  <c r="A14" i="44"/>
  <c r="A13" i="44"/>
  <c r="C12" i="44"/>
  <c r="A12" i="44"/>
  <c r="A11" i="44"/>
  <c r="A10" i="44"/>
  <c r="A9" i="44"/>
  <c r="A8" i="44"/>
  <c r="A3" i="44"/>
  <c r="A1" i="44"/>
  <c r="A38" i="49"/>
  <c r="A37" i="49"/>
  <c r="G9" i="49"/>
  <c r="G10" i="49"/>
  <c r="G13" i="49"/>
  <c r="G25" i="49"/>
  <c r="G36" i="49"/>
  <c r="F11" i="49"/>
  <c r="F14" i="49"/>
  <c r="F20" i="49"/>
  <c r="F22" i="49"/>
  <c r="F26" i="49"/>
  <c r="F27" i="49"/>
  <c r="F28" i="49"/>
  <c r="F29" i="49"/>
  <c r="F31" i="49"/>
  <c r="F36" i="49"/>
  <c r="E36" i="49"/>
  <c r="D8" i="49"/>
  <c r="D12" i="49"/>
  <c r="D15" i="49"/>
  <c r="D16" i="49"/>
  <c r="D17" i="49"/>
  <c r="D18" i="49"/>
  <c r="D19" i="49"/>
  <c r="D21" i="49"/>
  <c r="D23" i="49"/>
  <c r="D24" i="49"/>
  <c r="D30" i="49"/>
  <c r="D32" i="49"/>
  <c r="D36" i="49"/>
  <c r="C36" i="49"/>
  <c r="B36" i="49"/>
  <c r="A36" i="49"/>
  <c r="A33" i="49"/>
  <c r="A32" i="49"/>
  <c r="A31" i="49"/>
  <c r="B30" i="49"/>
  <c r="A30" i="49"/>
  <c r="B29" i="49"/>
  <c r="A29" i="49"/>
  <c r="B28" i="49"/>
  <c r="A28" i="49"/>
  <c r="B27" i="49"/>
  <c r="A27" i="49"/>
  <c r="B26" i="49"/>
  <c r="A26" i="49"/>
  <c r="B25" i="49"/>
  <c r="A25" i="49"/>
  <c r="A24" i="49"/>
  <c r="A23" i="49"/>
  <c r="A22" i="49"/>
  <c r="A21" i="49"/>
  <c r="A20" i="49"/>
  <c r="A19" i="49"/>
  <c r="A18" i="49"/>
  <c r="A17" i="49"/>
  <c r="A16" i="49"/>
  <c r="A15" i="49"/>
  <c r="A14" i="49"/>
  <c r="A13" i="49"/>
  <c r="A12" i="49"/>
  <c r="A11" i="49"/>
  <c r="A10" i="49"/>
  <c r="A9" i="49"/>
  <c r="A8" i="49"/>
  <c r="A3" i="49"/>
  <c r="A1" i="49"/>
  <c r="B16" i="57"/>
  <c r="C11" i="57"/>
  <c r="A11" i="57"/>
  <c r="A10" i="57"/>
  <c r="A3" i="57"/>
  <c r="A1" i="57"/>
  <c r="C10" i="60"/>
  <c r="B10" i="60"/>
  <c r="A10" i="60"/>
  <c r="A7" i="60"/>
  <c r="A3" i="60"/>
  <c r="A1" i="60"/>
  <c r="E65" i="93"/>
  <c r="B65" i="93"/>
  <c r="A65" i="93"/>
  <c r="A64" i="93"/>
  <c r="A63" i="93"/>
  <c r="A62" i="93"/>
  <c r="D53" i="93"/>
  <c r="D61" i="93"/>
  <c r="B61" i="93"/>
  <c r="A61" i="93"/>
  <c r="A60" i="93"/>
  <c r="E16" i="93"/>
  <c r="E24" i="93"/>
  <c r="E53" i="93"/>
  <c r="E59" i="93"/>
  <c r="D59" i="93"/>
  <c r="C53" i="93"/>
  <c r="C59" i="93"/>
  <c r="B59" i="93"/>
  <c r="A59" i="93"/>
  <c r="E58" i="93"/>
  <c r="D58" i="93"/>
  <c r="C58" i="93"/>
  <c r="A58" i="93"/>
  <c r="A57" i="93"/>
  <c r="A56" i="93"/>
  <c r="A55" i="93"/>
  <c r="A54" i="93"/>
  <c r="A53" i="93"/>
  <c r="A52" i="93"/>
  <c r="A51" i="93"/>
  <c r="A50" i="93"/>
  <c r="A49" i="93"/>
  <c r="A48" i="93"/>
  <c r="A47" i="93"/>
  <c r="E45" i="93"/>
  <c r="E46" i="93"/>
  <c r="D45" i="93"/>
  <c r="D46" i="93"/>
  <c r="C45" i="93"/>
  <c r="C46" i="93"/>
  <c r="B46" i="93"/>
  <c r="A46" i="93"/>
  <c r="A45" i="93"/>
  <c r="E44" i="93"/>
  <c r="D44" i="93"/>
  <c r="C44" i="93"/>
  <c r="B44" i="93"/>
  <c r="A44" i="93"/>
  <c r="E43" i="93"/>
  <c r="D43" i="93"/>
  <c r="C43" i="93"/>
  <c r="A43" i="93"/>
  <c r="E42" i="93"/>
  <c r="D42" i="93"/>
  <c r="C42" i="93"/>
  <c r="A42" i="93"/>
  <c r="A41" i="93"/>
  <c r="A40" i="93"/>
  <c r="E39" i="93"/>
  <c r="D39" i="93"/>
  <c r="C39" i="93"/>
  <c r="B39" i="93"/>
  <c r="A39" i="93"/>
  <c r="E38" i="93"/>
  <c r="E37" i="93"/>
  <c r="E36" i="93"/>
  <c r="A36" i="93"/>
  <c r="E35" i="93"/>
  <c r="A35" i="93"/>
  <c r="E34" i="93"/>
  <c r="A34" i="93"/>
  <c r="E33" i="93"/>
  <c r="A33" i="93"/>
  <c r="E32" i="93"/>
  <c r="A32" i="93"/>
  <c r="E31" i="93"/>
  <c r="A31" i="93"/>
  <c r="E30" i="93"/>
  <c r="A30" i="93"/>
  <c r="E29" i="93"/>
  <c r="A29" i="93"/>
  <c r="E28" i="93"/>
  <c r="A28" i="93"/>
  <c r="E27" i="93"/>
  <c r="A27" i="93"/>
  <c r="E26" i="93"/>
  <c r="A26" i="93"/>
  <c r="E25" i="93"/>
  <c r="A25" i="93"/>
  <c r="A24" i="93"/>
  <c r="E23" i="93"/>
  <c r="A23" i="93"/>
  <c r="E22" i="93"/>
  <c r="A22" i="93"/>
  <c r="E21" i="93"/>
  <c r="A21" i="93"/>
  <c r="E20" i="93"/>
  <c r="A20" i="93"/>
  <c r="E19" i="93"/>
  <c r="A19" i="93"/>
  <c r="E18" i="93"/>
  <c r="A18" i="93"/>
  <c r="E17" i="93"/>
  <c r="A17" i="93"/>
  <c r="A16" i="93"/>
  <c r="E15" i="93"/>
  <c r="A15" i="93"/>
  <c r="E14" i="93"/>
  <c r="A14" i="93"/>
  <c r="E13" i="93"/>
  <c r="A13" i="93"/>
  <c r="E12" i="93"/>
  <c r="A12" i="93"/>
  <c r="E11" i="93"/>
  <c r="A11" i="93"/>
  <c r="E10" i="93"/>
  <c r="A10" i="93"/>
  <c r="E9" i="93"/>
  <c r="A9" i="93"/>
  <c r="E8" i="93"/>
  <c r="A8" i="93"/>
  <c r="A3" i="93"/>
  <c r="A1" i="93"/>
  <c r="P8" i="58"/>
  <c r="P9" i="58"/>
  <c r="P10" i="58"/>
  <c r="P11" i="58"/>
  <c r="P12" i="58"/>
  <c r="P13" i="58"/>
  <c r="P14" i="58"/>
  <c r="P15" i="58"/>
  <c r="O15" i="58"/>
  <c r="N15" i="58"/>
  <c r="M15" i="58"/>
  <c r="L15" i="58"/>
  <c r="K15" i="58"/>
  <c r="J15" i="58"/>
  <c r="I15" i="58"/>
  <c r="H15" i="58"/>
  <c r="G15" i="58"/>
  <c r="F15" i="58"/>
  <c r="E15" i="58"/>
  <c r="D15" i="58"/>
  <c r="C15" i="58"/>
  <c r="A15" i="58"/>
  <c r="A14" i="58"/>
  <c r="A13" i="58"/>
  <c r="A12" i="58"/>
  <c r="A11" i="58"/>
  <c r="A10" i="58"/>
  <c r="A9" i="58"/>
  <c r="A8" i="58"/>
  <c r="A3" i="58"/>
  <c r="A1" i="58"/>
  <c r="H38" i="73"/>
  <c r="Q14" i="73"/>
  <c r="D43" i="73"/>
  <c r="H43" i="73"/>
  <c r="Q19" i="73"/>
  <c r="D48" i="73"/>
  <c r="H48" i="73"/>
  <c r="Q21" i="73"/>
  <c r="D50" i="73"/>
  <c r="H50" i="73"/>
  <c r="Q23" i="73"/>
  <c r="D52" i="73"/>
  <c r="H52" i="73"/>
  <c r="Q25" i="73"/>
  <c r="D54" i="73"/>
  <c r="H54" i="73"/>
  <c r="Q28" i="73"/>
  <c r="D57" i="73"/>
  <c r="H57" i="73"/>
  <c r="H61" i="73"/>
  <c r="Q11" i="73"/>
  <c r="D40" i="73"/>
  <c r="G40" i="73"/>
  <c r="G61" i="73"/>
  <c r="F61" i="73"/>
  <c r="Q10" i="73"/>
  <c r="D39" i="73"/>
  <c r="E39" i="73"/>
  <c r="Q12" i="73"/>
  <c r="D41" i="73"/>
  <c r="E41" i="73"/>
  <c r="Q13" i="73"/>
  <c r="D42" i="73"/>
  <c r="E42" i="73"/>
  <c r="Q15" i="73"/>
  <c r="D44" i="73"/>
  <c r="E44" i="73"/>
  <c r="Q16" i="73"/>
  <c r="D45" i="73"/>
  <c r="E45" i="73"/>
  <c r="Q17" i="73"/>
  <c r="D46" i="73"/>
  <c r="E46" i="73"/>
  <c r="Q18" i="73"/>
  <c r="D47" i="73"/>
  <c r="E47" i="73"/>
  <c r="Q20" i="73"/>
  <c r="D49" i="73"/>
  <c r="E49" i="73"/>
  <c r="Q22" i="73"/>
  <c r="D51" i="73"/>
  <c r="E51" i="73"/>
  <c r="Q24" i="73"/>
  <c r="D53" i="73"/>
  <c r="E53" i="73"/>
  <c r="Q26" i="73"/>
  <c r="D55" i="73"/>
  <c r="E55" i="73"/>
  <c r="Q27" i="73"/>
  <c r="D56" i="73"/>
  <c r="E56" i="73"/>
  <c r="E61" i="73"/>
  <c r="Q29" i="73"/>
  <c r="D58" i="73"/>
  <c r="D59" i="73"/>
  <c r="Q30" i="73"/>
  <c r="D60" i="73"/>
  <c r="D61" i="73"/>
  <c r="C61" i="73"/>
  <c r="B61" i="73"/>
  <c r="A61" i="73"/>
  <c r="C60" i="73"/>
  <c r="C59" i="73"/>
  <c r="C58" i="73"/>
  <c r="A58" i="73"/>
  <c r="A57" i="73"/>
  <c r="A56" i="73"/>
  <c r="A55" i="73"/>
  <c r="A54" i="73"/>
  <c r="A53" i="73"/>
  <c r="A52" i="73"/>
  <c r="A51" i="73"/>
  <c r="A50" i="73"/>
  <c r="A49" i="73"/>
  <c r="A48" i="73"/>
  <c r="A47" i="73"/>
  <c r="A46" i="73"/>
  <c r="A45" i="73"/>
  <c r="A44" i="73"/>
  <c r="A43" i="73"/>
  <c r="A42" i="73"/>
  <c r="A41" i="73"/>
  <c r="A40" i="73"/>
  <c r="A39" i="73"/>
  <c r="A38" i="73"/>
  <c r="A37" i="73"/>
  <c r="C36" i="73"/>
  <c r="B36" i="73"/>
  <c r="A36" i="73"/>
  <c r="A35" i="73"/>
  <c r="A34" i="73"/>
  <c r="Q9" i="73"/>
  <c r="Q31" i="73"/>
  <c r="Q32" i="73"/>
  <c r="P32" i="73"/>
  <c r="O32" i="73"/>
  <c r="N32" i="73"/>
  <c r="M32" i="73"/>
  <c r="L32" i="73"/>
  <c r="K32" i="73"/>
  <c r="J32" i="73"/>
  <c r="I32" i="73"/>
  <c r="H32" i="73"/>
  <c r="G32" i="73"/>
  <c r="F32" i="73"/>
  <c r="E32" i="73"/>
  <c r="D32" i="73"/>
  <c r="C32" i="73"/>
  <c r="A32" i="73"/>
  <c r="A29" i="73"/>
  <c r="A28" i="73"/>
  <c r="A27" i="73"/>
  <c r="A26" i="73"/>
  <c r="A25" i="73"/>
  <c r="A24" i="73"/>
  <c r="A23" i="73"/>
  <c r="A22" i="73"/>
  <c r="A21" i="73"/>
  <c r="A20" i="73"/>
  <c r="A19" i="73"/>
  <c r="A18" i="73"/>
  <c r="A17" i="73"/>
  <c r="A16" i="73"/>
  <c r="A15" i="73"/>
  <c r="A14" i="73"/>
  <c r="A13" i="73"/>
  <c r="A12" i="73"/>
  <c r="A11" i="73"/>
  <c r="A10" i="73"/>
  <c r="A9" i="73"/>
  <c r="A8" i="73"/>
  <c r="A3" i="73"/>
  <c r="A1" i="73"/>
  <c r="Q10" i="91"/>
  <c r="A10" i="91"/>
  <c r="Q9" i="91"/>
  <c r="A9" i="91"/>
  <c r="A3" i="91"/>
  <c r="A1" i="91"/>
  <c r="A27" i="105"/>
  <c r="A28" i="105"/>
  <c r="A29" i="105"/>
  <c r="F31" i="105"/>
  <c r="E9" i="105"/>
  <c r="E10" i="105"/>
  <c r="E13" i="105"/>
  <c r="E14" i="105"/>
  <c r="E17" i="105"/>
  <c r="E18" i="105"/>
  <c r="F40" i="62"/>
  <c r="E21" i="105"/>
  <c r="E22" i="105"/>
  <c r="E25" i="105"/>
  <c r="E26" i="105"/>
  <c r="E28" i="105"/>
  <c r="E31" i="105"/>
  <c r="D9" i="105"/>
  <c r="D10" i="105"/>
  <c r="D13" i="105"/>
  <c r="D14" i="105"/>
  <c r="D17" i="105"/>
  <c r="D18" i="105"/>
  <c r="F28" i="62"/>
  <c r="D21" i="105"/>
  <c r="D22" i="105"/>
  <c r="D25" i="105"/>
  <c r="D26" i="105"/>
  <c r="D28" i="105"/>
  <c r="D31" i="105"/>
  <c r="F26" i="105"/>
  <c r="F25" i="105"/>
  <c r="F22" i="105"/>
  <c r="F21" i="105"/>
  <c r="L20" i="105"/>
  <c r="F18" i="105"/>
  <c r="F17" i="105"/>
  <c r="F14" i="105"/>
  <c r="F13" i="105"/>
  <c r="F10" i="105"/>
  <c r="A8" i="105"/>
  <c r="A3" i="105"/>
  <c r="A1" i="105"/>
  <c r="A179" i="2"/>
  <c r="A180" i="2"/>
  <c r="A181" i="2"/>
  <c r="A222" i="2"/>
  <c r="A223" i="2"/>
  <c r="A224" i="2"/>
  <c r="A225" i="2"/>
  <c r="A226" i="2"/>
  <c r="A227" i="2"/>
  <c r="A228" i="2"/>
  <c r="A229" i="2"/>
  <c r="A230" i="2"/>
  <c r="A231" i="2"/>
  <c r="A232" i="2"/>
  <c r="A233" i="2"/>
  <c r="A234" i="2"/>
  <c r="B231" i="2"/>
  <c r="B230" i="2"/>
  <c r="B229" i="2"/>
  <c r="B228" i="2"/>
  <c r="N225" i="2"/>
  <c r="M225" i="2"/>
  <c r="L192" i="2"/>
  <c r="L193" i="2"/>
  <c r="L208" i="2"/>
  <c r="L209" i="2"/>
  <c r="L223" i="2"/>
  <c r="L225" i="2"/>
  <c r="K184" i="2"/>
  <c r="K185" i="2"/>
  <c r="K196" i="2"/>
  <c r="K197" i="2"/>
  <c r="K223" i="2"/>
  <c r="K225" i="2"/>
  <c r="J182" i="2"/>
  <c r="J183" i="2"/>
  <c r="J186" i="2"/>
  <c r="J187" i="2"/>
  <c r="J188" i="2"/>
  <c r="J189" i="2"/>
  <c r="J190" i="2"/>
  <c r="J191" i="2"/>
  <c r="J194" i="2"/>
  <c r="J195" i="2"/>
  <c r="J198" i="2"/>
  <c r="J199" i="2"/>
  <c r="J200" i="2"/>
  <c r="J201" i="2"/>
  <c r="J202" i="2"/>
  <c r="J203" i="2"/>
  <c r="J204" i="2"/>
  <c r="J205" i="2"/>
  <c r="J206" i="2"/>
  <c r="J207" i="2"/>
  <c r="J210" i="2"/>
  <c r="J211" i="2"/>
  <c r="J212" i="2"/>
  <c r="J213" i="2"/>
  <c r="J214" i="2"/>
  <c r="J215" i="2"/>
  <c r="J216" i="2"/>
  <c r="J217" i="2"/>
  <c r="J218" i="2"/>
  <c r="J223" i="2"/>
  <c r="J224" i="2"/>
  <c r="J225" i="2"/>
  <c r="I225" i="2"/>
  <c r="H192" i="2"/>
  <c r="H193" i="2"/>
  <c r="H208" i="2"/>
  <c r="H209" i="2"/>
  <c r="H223" i="2"/>
  <c r="H225" i="2"/>
  <c r="G184" i="2"/>
  <c r="G185" i="2"/>
  <c r="G196" i="2"/>
  <c r="G197" i="2"/>
  <c r="G223" i="2"/>
  <c r="G225" i="2"/>
  <c r="F182" i="2"/>
  <c r="F183" i="2"/>
  <c r="F186" i="2"/>
  <c r="F187" i="2"/>
  <c r="F188" i="2"/>
  <c r="F189" i="2"/>
  <c r="F190" i="2"/>
  <c r="F191" i="2"/>
  <c r="F194" i="2"/>
  <c r="F195" i="2"/>
  <c r="F198" i="2"/>
  <c r="F199" i="2"/>
  <c r="F200" i="2"/>
  <c r="F201" i="2"/>
  <c r="F202" i="2"/>
  <c r="F203" i="2"/>
  <c r="F204" i="2"/>
  <c r="F205" i="2"/>
  <c r="F206" i="2"/>
  <c r="F207" i="2"/>
  <c r="F210" i="2"/>
  <c r="F211" i="2"/>
  <c r="F212" i="2"/>
  <c r="F213" i="2"/>
  <c r="F214" i="2"/>
  <c r="F215" i="2"/>
  <c r="F216" i="2"/>
  <c r="F217" i="2"/>
  <c r="F218" i="2"/>
  <c r="F223" i="2"/>
  <c r="F224" i="2"/>
  <c r="F225" i="2"/>
  <c r="E223" i="2"/>
  <c r="E224" i="2"/>
  <c r="E225" i="2"/>
  <c r="D223" i="2"/>
  <c r="D224" i="2"/>
  <c r="D225" i="2"/>
  <c r="M224" i="2"/>
  <c r="L224" i="2"/>
  <c r="K224" i="2"/>
  <c r="I224" i="2"/>
  <c r="H224" i="2"/>
  <c r="G224" i="2"/>
  <c r="N223" i="2"/>
  <c r="M223" i="2"/>
  <c r="I223" i="2"/>
  <c r="A22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J181" i="2"/>
  <c r="F181" i="2"/>
  <c r="N179" i="2"/>
  <c r="M126" i="2"/>
  <c r="M127" i="2"/>
  <c r="M136" i="2"/>
  <c r="M137" i="2"/>
  <c r="M150" i="2"/>
  <c r="M151" i="2"/>
  <c r="M176" i="2"/>
  <c r="M179" i="2"/>
  <c r="L110" i="2"/>
  <c r="L111" i="2"/>
  <c r="L112" i="2"/>
  <c r="L113" i="2"/>
  <c r="L118" i="2"/>
  <c r="L119" i="2"/>
  <c r="L120" i="2"/>
  <c r="L121" i="2"/>
  <c r="L128" i="2"/>
  <c r="L129" i="2"/>
  <c r="L132" i="2"/>
  <c r="L133" i="2"/>
  <c r="L140" i="2"/>
  <c r="L141" i="2"/>
  <c r="L142" i="2"/>
  <c r="L143" i="2"/>
  <c r="L158" i="2"/>
  <c r="L159" i="2"/>
  <c r="L162" i="2"/>
  <c r="L163" i="2"/>
  <c r="L170" i="2"/>
  <c r="L171" i="2"/>
  <c r="L176" i="2"/>
  <c r="E177" i="2"/>
  <c r="L177" i="2"/>
  <c r="L179" i="2"/>
  <c r="K168" i="2"/>
  <c r="K169" i="2"/>
  <c r="K176" i="2"/>
  <c r="K179" i="2"/>
  <c r="J114" i="2"/>
  <c r="J115" i="2"/>
  <c r="J116" i="2"/>
  <c r="J117" i="2"/>
  <c r="J122" i="2"/>
  <c r="J123" i="2"/>
  <c r="J124" i="2"/>
  <c r="J125" i="2"/>
  <c r="J130" i="2"/>
  <c r="J131" i="2"/>
  <c r="J134" i="2"/>
  <c r="J135" i="2"/>
  <c r="J138" i="2"/>
  <c r="J139" i="2"/>
  <c r="J144" i="2"/>
  <c r="J145" i="2"/>
  <c r="J146" i="2"/>
  <c r="J147" i="2"/>
  <c r="J148" i="2"/>
  <c r="J149" i="2"/>
  <c r="J152" i="2"/>
  <c r="J153" i="2"/>
  <c r="J154" i="2"/>
  <c r="J155" i="2"/>
  <c r="J156" i="2"/>
  <c r="J157" i="2"/>
  <c r="J160" i="2"/>
  <c r="J161" i="2"/>
  <c r="J164" i="2"/>
  <c r="J165" i="2"/>
  <c r="J166" i="2"/>
  <c r="J167" i="2"/>
  <c r="J176" i="2"/>
  <c r="J178" i="2"/>
  <c r="J179" i="2"/>
  <c r="I126" i="2"/>
  <c r="I127" i="2"/>
  <c r="I136" i="2"/>
  <c r="I137" i="2"/>
  <c r="I150" i="2"/>
  <c r="I151" i="2"/>
  <c r="I176" i="2"/>
  <c r="I179" i="2"/>
  <c r="H110" i="2"/>
  <c r="H111" i="2"/>
  <c r="H112" i="2"/>
  <c r="H113" i="2"/>
  <c r="H118" i="2"/>
  <c r="H119" i="2"/>
  <c r="H120" i="2"/>
  <c r="H121" i="2"/>
  <c r="H128" i="2"/>
  <c r="H129" i="2"/>
  <c r="H132" i="2"/>
  <c r="H133" i="2"/>
  <c r="H140" i="2"/>
  <c r="H141" i="2"/>
  <c r="H142" i="2"/>
  <c r="H143" i="2"/>
  <c r="H158" i="2"/>
  <c r="H159" i="2"/>
  <c r="H162" i="2"/>
  <c r="H163" i="2"/>
  <c r="H170" i="2"/>
  <c r="H171" i="2"/>
  <c r="H176" i="2"/>
  <c r="D177" i="2"/>
  <c r="H177" i="2"/>
  <c r="H179" i="2"/>
  <c r="G168" i="2"/>
  <c r="G169" i="2"/>
  <c r="G176" i="2"/>
  <c r="G179" i="2"/>
  <c r="F114" i="2"/>
  <c r="F115" i="2"/>
  <c r="F116" i="2"/>
  <c r="F117" i="2"/>
  <c r="F122" i="2"/>
  <c r="F123" i="2"/>
  <c r="F124" i="2"/>
  <c r="F125" i="2"/>
  <c r="F130" i="2"/>
  <c r="F131" i="2"/>
  <c r="F134" i="2"/>
  <c r="F135" i="2"/>
  <c r="F138" i="2"/>
  <c r="F139" i="2"/>
  <c r="F144" i="2"/>
  <c r="F145" i="2"/>
  <c r="F146" i="2"/>
  <c r="F147" i="2"/>
  <c r="F148" i="2"/>
  <c r="F149" i="2"/>
  <c r="F152" i="2"/>
  <c r="F153" i="2"/>
  <c r="F154" i="2"/>
  <c r="F155" i="2"/>
  <c r="F156" i="2"/>
  <c r="F157" i="2"/>
  <c r="F160" i="2"/>
  <c r="F161" i="2"/>
  <c r="F164" i="2"/>
  <c r="F165" i="2"/>
  <c r="F166" i="2"/>
  <c r="F167" i="2"/>
  <c r="F176" i="2"/>
  <c r="F178" i="2"/>
  <c r="F179" i="2"/>
  <c r="E176" i="2"/>
  <c r="E178" i="2"/>
  <c r="E179" i="2"/>
  <c r="D176" i="2"/>
  <c r="D178" i="2"/>
  <c r="D179" i="2"/>
  <c r="M178" i="2"/>
  <c r="L178" i="2"/>
  <c r="K178" i="2"/>
  <c r="I178" i="2"/>
  <c r="H178" i="2"/>
  <c r="G178" i="2"/>
  <c r="N176" i="2"/>
  <c r="A176" i="2"/>
  <c r="A175" i="2"/>
  <c r="A174"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J109" i="2"/>
  <c r="F109" i="2"/>
  <c r="A109" i="2"/>
  <c r="A108" i="2"/>
  <c r="N107" i="2"/>
  <c r="M30" i="2"/>
  <c r="M31" i="2"/>
  <c r="M34" i="2"/>
  <c r="M35" i="2"/>
  <c r="M48" i="2"/>
  <c r="M49" i="2"/>
  <c r="M50" i="2"/>
  <c r="M51" i="2"/>
  <c r="M76" i="2"/>
  <c r="M77" i="2"/>
  <c r="M82" i="2"/>
  <c r="M83" i="2"/>
  <c r="M91" i="2"/>
  <c r="M105" i="2"/>
  <c r="M107" i="2"/>
  <c r="L28" i="2"/>
  <c r="L29" i="2"/>
  <c r="L44" i="2"/>
  <c r="L45" i="2"/>
  <c r="L60" i="2"/>
  <c r="L61" i="2"/>
  <c r="L88" i="2"/>
  <c r="L89" i="2"/>
  <c r="L92" i="2"/>
  <c r="L93" i="2"/>
  <c r="L94" i="2"/>
  <c r="L95" i="2"/>
  <c r="L102" i="2"/>
  <c r="L103" i="2"/>
  <c r="L105" i="2"/>
  <c r="L107" i="2"/>
  <c r="K107" i="2"/>
  <c r="J18" i="2"/>
  <c r="J19" i="2"/>
  <c r="J20" i="2"/>
  <c r="J21" i="2"/>
  <c r="J22" i="2"/>
  <c r="J23" i="2"/>
  <c r="J24" i="2"/>
  <c r="J25" i="2"/>
  <c r="J26" i="2"/>
  <c r="J27" i="2"/>
  <c r="J32" i="2"/>
  <c r="J33" i="2"/>
  <c r="J36" i="2"/>
  <c r="J37" i="2"/>
  <c r="J38" i="2"/>
  <c r="J39" i="2"/>
  <c r="J40" i="2"/>
  <c r="J41" i="2"/>
  <c r="J42" i="2"/>
  <c r="J43" i="2"/>
  <c r="J46" i="2"/>
  <c r="J47" i="2"/>
  <c r="J52" i="2"/>
  <c r="J53" i="2"/>
  <c r="J54" i="2"/>
  <c r="J55" i="2"/>
  <c r="J56" i="2"/>
  <c r="J57" i="2"/>
  <c r="J58" i="2"/>
  <c r="J59" i="2"/>
  <c r="J62" i="2"/>
  <c r="J63" i="2"/>
  <c r="J64" i="2"/>
  <c r="J65" i="2"/>
  <c r="J66" i="2"/>
  <c r="J67" i="2"/>
  <c r="J68" i="2"/>
  <c r="J69" i="2"/>
  <c r="J70" i="2"/>
  <c r="J71" i="2"/>
  <c r="J72" i="2"/>
  <c r="J73" i="2"/>
  <c r="J74" i="2"/>
  <c r="J75" i="2"/>
  <c r="J78" i="2"/>
  <c r="J79" i="2"/>
  <c r="J80" i="2"/>
  <c r="J81" i="2"/>
  <c r="J84" i="2"/>
  <c r="J85" i="2"/>
  <c r="J86" i="2"/>
  <c r="J87" i="2"/>
  <c r="J90" i="2"/>
  <c r="J96" i="2"/>
  <c r="J97" i="2"/>
  <c r="J98" i="2"/>
  <c r="J99" i="2"/>
  <c r="J100" i="2"/>
  <c r="J101" i="2"/>
  <c r="J105" i="2"/>
  <c r="J106" i="2"/>
  <c r="J107" i="2"/>
  <c r="I30" i="2"/>
  <c r="I31" i="2"/>
  <c r="I34" i="2"/>
  <c r="I35" i="2"/>
  <c r="I48" i="2"/>
  <c r="I49" i="2"/>
  <c r="I50" i="2"/>
  <c r="I51" i="2"/>
  <c r="I76" i="2"/>
  <c r="I77" i="2"/>
  <c r="I82" i="2"/>
  <c r="I83" i="2"/>
  <c r="I91" i="2"/>
  <c r="I105" i="2"/>
  <c r="I107" i="2"/>
  <c r="H28" i="2"/>
  <c r="H29" i="2"/>
  <c r="H44" i="2"/>
  <c r="H45" i="2"/>
  <c r="H60" i="2"/>
  <c r="H61" i="2"/>
  <c r="H88" i="2"/>
  <c r="H89" i="2"/>
  <c r="H92" i="2"/>
  <c r="H93" i="2"/>
  <c r="H94" i="2"/>
  <c r="H95" i="2"/>
  <c r="H102" i="2"/>
  <c r="H105" i="2"/>
  <c r="H107" i="2"/>
  <c r="G107" i="2"/>
  <c r="F18" i="2"/>
  <c r="F19" i="2"/>
  <c r="F20" i="2"/>
  <c r="F21" i="2"/>
  <c r="F22" i="2"/>
  <c r="F23" i="2"/>
  <c r="F24" i="2"/>
  <c r="F25" i="2"/>
  <c r="F26" i="2"/>
  <c r="F27" i="2"/>
  <c r="F32" i="2"/>
  <c r="F33" i="2"/>
  <c r="F36" i="2"/>
  <c r="F37" i="2"/>
  <c r="F38" i="2"/>
  <c r="F39" i="2"/>
  <c r="F40" i="2"/>
  <c r="F41" i="2"/>
  <c r="F42" i="2"/>
  <c r="F43" i="2"/>
  <c r="F46" i="2"/>
  <c r="F47" i="2"/>
  <c r="F52" i="2"/>
  <c r="F53" i="2"/>
  <c r="F54" i="2"/>
  <c r="F55" i="2"/>
  <c r="F56" i="2"/>
  <c r="F57" i="2"/>
  <c r="F58" i="2"/>
  <c r="F59" i="2"/>
  <c r="F62" i="2"/>
  <c r="F63" i="2"/>
  <c r="F64" i="2"/>
  <c r="F65" i="2"/>
  <c r="F66" i="2"/>
  <c r="F67" i="2"/>
  <c r="F68" i="2"/>
  <c r="F69" i="2"/>
  <c r="F70" i="2"/>
  <c r="F71" i="2"/>
  <c r="F72" i="2"/>
  <c r="F73" i="2"/>
  <c r="F74" i="2"/>
  <c r="F75" i="2"/>
  <c r="F78" i="2"/>
  <c r="F79" i="2"/>
  <c r="F80" i="2"/>
  <c r="F81" i="2"/>
  <c r="F84" i="2"/>
  <c r="F85" i="2"/>
  <c r="F86" i="2"/>
  <c r="F87" i="2"/>
  <c r="F90" i="2"/>
  <c r="F96" i="2"/>
  <c r="F97" i="2"/>
  <c r="F98" i="2"/>
  <c r="F99" i="2"/>
  <c r="F100" i="2"/>
  <c r="F101" i="2"/>
  <c r="F105" i="2"/>
  <c r="F106" i="2"/>
  <c r="F107" i="2"/>
  <c r="E105" i="2"/>
  <c r="E106" i="2"/>
  <c r="E107" i="2"/>
  <c r="D105" i="2"/>
  <c r="D106" i="2"/>
  <c r="D107" i="2"/>
  <c r="A107" i="2"/>
  <c r="M106" i="2"/>
  <c r="L106" i="2"/>
  <c r="K106" i="2"/>
  <c r="I106" i="2"/>
  <c r="H106" i="2"/>
  <c r="G106" i="2"/>
  <c r="A106" i="2"/>
  <c r="N105" i="2"/>
  <c r="K105" i="2"/>
  <c r="G105" i="2"/>
  <c r="A105" i="2"/>
  <c r="A104" i="2"/>
  <c r="H103" i="2"/>
  <c r="A103"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J17" i="2"/>
  <c r="F17" i="2"/>
  <c r="A17" i="2"/>
  <c r="A16" i="2"/>
  <c r="A15" i="2"/>
  <c r="A14" i="2"/>
  <c r="N13" i="2"/>
  <c r="M9" i="2"/>
  <c r="M11" i="2"/>
  <c r="M13" i="2"/>
  <c r="L9" i="2"/>
  <c r="L11" i="2"/>
  <c r="L12" i="2"/>
  <c r="L13" i="2"/>
  <c r="K11" i="2"/>
  <c r="K12" i="2"/>
  <c r="K13" i="2"/>
  <c r="J9" i="2"/>
  <c r="J11" i="2"/>
  <c r="J12" i="2"/>
  <c r="J13" i="2"/>
  <c r="I9" i="2"/>
  <c r="I11" i="2"/>
  <c r="I13" i="2"/>
  <c r="H9" i="2"/>
  <c r="H11" i="2"/>
  <c r="H12" i="2"/>
  <c r="H13" i="2"/>
  <c r="G11" i="2"/>
  <c r="G12" i="2"/>
  <c r="G13" i="2"/>
  <c r="F9" i="2"/>
  <c r="F11" i="2"/>
  <c r="F12" i="2"/>
  <c r="F13" i="2"/>
  <c r="A13" i="2"/>
  <c r="N12" i="2"/>
  <c r="M12" i="2"/>
  <c r="I12" i="2"/>
  <c r="A12" i="2"/>
  <c r="N11" i="2"/>
  <c r="A11" i="2"/>
  <c r="A10" i="2"/>
  <c r="N9" i="2"/>
  <c r="K9" i="2"/>
  <c r="G9" i="2"/>
  <c r="A9" i="2"/>
  <c r="A8" i="2"/>
  <c r="A3" i="2"/>
  <c r="A1" i="2"/>
  <c r="D9" i="84"/>
  <c r="D10" i="84"/>
  <c r="D11" i="84"/>
  <c r="D12" i="84"/>
  <c r="D13" i="84"/>
  <c r="D14" i="84"/>
  <c r="D15" i="84"/>
  <c r="D16" i="84"/>
  <c r="D17" i="84"/>
  <c r="D18" i="84"/>
  <c r="D19" i="84"/>
  <c r="D20" i="84"/>
  <c r="D22" i="84"/>
  <c r="A22" i="84"/>
  <c r="C21" i="84"/>
  <c r="A21" i="84"/>
  <c r="A20" i="84"/>
  <c r="A19" i="84"/>
  <c r="A18" i="84"/>
  <c r="A17" i="84"/>
  <c r="A16" i="84"/>
  <c r="A15" i="84"/>
  <c r="A14" i="84"/>
  <c r="A13" i="84"/>
  <c r="A12" i="84"/>
  <c r="A11" i="84"/>
  <c r="A10" i="84"/>
  <c r="A9" i="84"/>
  <c r="A8" i="84"/>
  <c r="A3" i="84"/>
  <c r="A1" i="84"/>
  <c r="L28" i="62"/>
  <c r="L29" i="62"/>
  <c r="L30" i="62"/>
  <c r="L31" i="62"/>
  <c r="L32" i="62"/>
  <c r="L33" i="62"/>
  <c r="L34" i="62"/>
  <c r="L35" i="62"/>
  <c r="L36" i="62"/>
  <c r="L37" i="62"/>
  <c r="L38" i="62"/>
  <c r="L39" i="62"/>
  <c r="L40" i="62"/>
  <c r="L42" i="62"/>
  <c r="K42" i="62"/>
  <c r="J42" i="62"/>
  <c r="I42" i="62"/>
  <c r="H42" i="62"/>
  <c r="G42" i="62"/>
  <c r="F29" i="62"/>
  <c r="F30" i="62"/>
  <c r="F31" i="62"/>
  <c r="F32" i="62"/>
  <c r="F33" i="62"/>
  <c r="F34" i="62"/>
  <c r="F35" i="62"/>
  <c r="F36" i="62"/>
  <c r="F37" i="62"/>
  <c r="F38" i="62"/>
  <c r="F39" i="62"/>
  <c r="F42" i="62"/>
  <c r="E42" i="62"/>
  <c r="D42" i="62"/>
  <c r="C42" i="62"/>
  <c r="A42" i="62"/>
  <c r="A41" i="62"/>
  <c r="B40" i="62"/>
  <c r="A40" i="62"/>
  <c r="B39" i="62"/>
  <c r="A39" i="62"/>
  <c r="B38" i="62"/>
  <c r="A38" i="62"/>
  <c r="B37" i="62"/>
  <c r="A37" i="62"/>
  <c r="B36" i="62"/>
  <c r="A36" i="62"/>
  <c r="B35" i="62"/>
  <c r="A35" i="62"/>
  <c r="B34" i="62"/>
  <c r="A34" i="62"/>
  <c r="B33" i="62"/>
  <c r="A33" i="62"/>
  <c r="B32" i="62"/>
  <c r="A32" i="62"/>
  <c r="B31" i="62"/>
  <c r="A31" i="62"/>
  <c r="B30" i="62"/>
  <c r="A30" i="62"/>
  <c r="B29" i="62"/>
  <c r="A29" i="62"/>
  <c r="B28" i="62"/>
  <c r="A28" i="62"/>
  <c r="A27" i="62"/>
  <c r="A26" i="62"/>
  <c r="A25" i="62"/>
  <c r="A24" i="62"/>
  <c r="L9" i="62"/>
  <c r="L10" i="62"/>
  <c r="L11" i="62"/>
  <c r="L12" i="62"/>
  <c r="L13" i="62"/>
  <c r="L14" i="62"/>
  <c r="L15" i="62"/>
  <c r="L16" i="62"/>
  <c r="L17" i="62"/>
  <c r="L18" i="62"/>
  <c r="L19" i="62"/>
  <c r="L20" i="62"/>
  <c r="L21" i="62"/>
  <c r="L23" i="62"/>
  <c r="K23" i="62"/>
  <c r="J23" i="62"/>
  <c r="I23" i="62"/>
  <c r="H23" i="62"/>
  <c r="G23" i="62"/>
  <c r="F9" i="62"/>
  <c r="F10" i="62"/>
  <c r="F11" i="62"/>
  <c r="F12" i="62"/>
  <c r="F13" i="62"/>
  <c r="F14" i="62"/>
  <c r="F15" i="62"/>
  <c r="F16" i="62"/>
  <c r="F17" i="62"/>
  <c r="F18" i="62"/>
  <c r="F19" i="62"/>
  <c r="F20" i="62"/>
  <c r="F21" i="62"/>
  <c r="F23" i="62"/>
  <c r="E23" i="62"/>
  <c r="D23" i="62"/>
  <c r="C23" i="62"/>
  <c r="A23" i="62"/>
  <c r="A22" i="62"/>
  <c r="A21" i="62"/>
  <c r="A20" i="62"/>
  <c r="A19" i="62"/>
  <c r="A18" i="62"/>
  <c r="A17" i="62"/>
  <c r="A16" i="62"/>
  <c r="A15" i="62"/>
  <c r="A14" i="62"/>
  <c r="A13" i="62"/>
  <c r="A12" i="62"/>
  <c r="A11" i="62"/>
  <c r="A10" i="62"/>
  <c r="A9" i="62"/>
  <c r="A8" i="62"/>
  <c r="A7" i="62"/>
  <c r="A3" i="62"/>
  <c r="A1" i="62"/>
  <c r="D33" i="61"/>
  <c r="C31" i="61"/>
  <c r="C32" i="61"/>
  <c r="C33" i="61"/>
  <c r="B33" i="61"/>
  <c r="A33" i="61"/>
  <c r="D32" i="61"/>
  <c r="A32" i="61"/>
  <c r="D31" i="61"/>
  <c r="A31" i="61"/>
  <c r="A30" i="61"/>
  <c r="A29" i="61"/>
  <c r="A28" i="61"/>
  <c r="D27" i="61"/>
  <c r="C15" i="61"/>
  <c r="C27" i="61"/>
  <c r="A27" i="61"/>
  <c r="A24" i="61"/>
  <c r="A23" i="61"/>
  <c r="A22" i="61"/>
  <c r="A21" i="61"/>
  <c r="A20" i="61"/>
  <c r="A19" i="61"/>
  <c r="A18" i="61"/>
  <c r="A17" i="61"/>
  <c r="A16" i="61"/>
  <c r="D15" i="61"/>
  <c r="A15" i="61"/>
  <c r="A14" i="61"/>
  <c r="A13" i="61"/>
  <c r="A12" i="61"/>
  <c r="A11" i="61"/>
  <c r="D10" i="61"/>
  <c r="C10" i="61"/>
  <c r="A10" i="61"/>
  <c r="A9" i="61"/>
  <c r="A8" i="61"/>
  <c r="A3" i="61"/>
  <c r="A1" i="61"/>
  <c r="B174" i="77"/>
  <c r="I169" i="77"/>
  <c r="F165" i="77"/>
  <c r="F166" i="77"/>
  <c r="F167" i="77"/>
  <c r="F168" i="77"/>
  <c r="F169" i="77"/>
  <c r="D165" i="77"/>
  <c r="D166" i="77"/>
  <c r="D167" i="77"/>
  <c r="D168" i="77"/>
  <c r="D169" i="77"/>
  <c r="C169" i="77"/>
  <c r="A169" i="77"/>
  <c r="I168" i="77"/>
  <c r="A168" i="77"/>
  <c r="I167" i="77"/>
  <c r="A167" i="77"/>
  <c r="I166" i="77"/>
  <c r="A166" i="77"/>
  <c r="I165" i="77"/>
  <c r="A165" i="77"/>
  <c r="A164" i="77"/>
  <c r="A163" i="77"/>
  <c r="A162" i="77"/>
  <c r="A161" i="77"/>
  <c r="I160" i="77"/>
  <c r="D154" i="77"/>
  <c r="D155" i="77"/>
  <c r="D156" i="77"/>
  <c r="D160" i="77"/>
  <c r="A160" i="77"/>
  <c r="A159" i="77"/>
  <c r="A157" i="77"/>
  <c r="A156" i="77"/>
  <c r="I155" i="77"/>
  <c r="A155" i="77"/>
  <c r="I154" i="77"/>
  <c r="A154" i="77"/>
  <c r="I153" i="77"/>
  <c r="D153" i="77"/>
  <c r="A153" i="77"/>
  <c r="A152" i="77"/>
  <c r="A151" i="77"/>
  <c r="A150" i="77"/>
  <c r="A149" i="77"/>
  <c r="I148" i="77"/>
  <c r="D141" i="77"/>
  <c r="D142" i="77"/>
  <c r="D148" i="77"/>
  <c r="A148" i="77"/>
  <c r="A147" i="77"/>
  <c r="A145" i="77"/>
  <c r="I144" i="77"/>
  <c r="D144" i="77"/>
  <c r="A144" i="77"/>
  <c r="D143" i="77"/>
  <c r="A143" i="77"/>
  <c r="I142" i="77"/>
  <c r="A142" i="77"/>
  <c r="I141" i="77"/>
  <c r="A141" i="77"/>
  <c r="I140" i="77"/>
  <c r="D140" i="77"/>
  <c r="A140" i="77"/>
  <c r="A139" i="77"/>
  <c r="A138" i="77"/>
  <c r="A137" i="77"/>
  <c r="A136" i="77"/>
  <c r="A135" i="77"/>
  <c r="I134" i="77"/>
  <c r="D134" i="77"/>
  <c r="C134" i="77"/>
  <c r="A134" i="77"/>
  <c r="A133" i="77"/>
  <c r="A131" i="77"/>
  <c r="A130" i="77"/>
  <c r="A129" i="77"/>
  <c r="A128" i="77"/>
  <c r="A127" i="77"/>
  <c r="A126" i="77"/>
  <c r="I125" i="77"/>
  <c r="D125" i="77"/>
  <c r="C125" i="77"/>
  <c r="A125" i="77"/>
  <c r="A124" i="77"/>
  <c r="A122" i="77"/>
  <c r="A121" i="77"/>
  <c r="A120" i="77"/>
  <c r="A119" i="77"/>
  <c r="A118" i="77"/>
  <c r="A117" i="77"/>
  <c r="A116" i="77"/>
  <c r="A115" i="77"/>
  <c r="A114" i="77"/>
  <c r="A113" i="77"/>
  <c r="I112" i="77"/>
  <c r="D105" i="77"/>
  <c r="D106" i="77"/>
  <c r="D107" i="77"/>
  <c r="D112" i="77"/>
  <c r="A112" i="77"/>
  <c r="A111" i="77"/>
  <c r="A109" i="77"/>
  <c r="D108" i="77"/>
  <c r="A108" i="77"/>
  <c r="A107" i="77"/>
  <c r="I106" i="77"/>
  <c r="A106" i="77"/>
  <c r="I105" i="77"/>
  <c r="A105" i="77"/>
  <c r="I104" i="77"/>
  <c r="D104" i="77"/>
  <c r="A104" i="77"/>
  <c r="A103" i="77"/>
  <c r="A102" i="77"/>
  <c r="I101" i="77"/>
  <c r="D92" i="77"/>
  <c r="D93" i="77"/>
  <c r="D94" i="77"/>
  <c r="D95" i="77"/>
  <c r="D96" i="77"/>
  <c r="D101" i="77"/>
  <c r="A101" i="77"/>
  <c r="A100" i="77"/>
  <c r="A98" i="77"/>
  <c r="D97" i="77"/>
  <c r="A97" i="77"/>
  <c r="I96" i="77"/>
  <c r="A96" i="77"/>
  <c r="A95" i="77"/>
  <c r="I94" i="77"/>
  <c r="A94" i="77"/>
  <c r="I93" i="77"/>
  <c r="A93" i="77"/>
  <c r="I92" i="77"/>
  <c r="A92" i="77"/>
  <c r="A91" i="77"/>
  <c r="A90" i="77"/>
  <c r="A89" i="77"/>
  <c r="A88" i="77"/>
  <c r="I87" i="77"/>
  <c r="D56" i="77"/>
  <c r="H56" i="77"/>
  <c r="D57" i="77"/>
  <c r="H57" i="77"/>
  <c r="H61" i="77"/>
  <c r="D63" i="77"/>
  <c r="H63" i="77"/>
  <c r="H68" i="77"/>
  <c r="D81" i="77"/>
  <c r="H81" i="77"/>
  <c r="D82" i="77"/>
  <c r="H82" i="77"/>
  <c r="H86" i="77"/>
  <c r="H87" i="77"/>
  <c r="G87" i="77"/>
  <c r="F87" i="77"/>
  <c r="D44" i="77"/>
  <c r="E44" i="77"/>
  <c r="D45" i="77"/>
  <c r="E45" i="77"/>
  <c r="D46" i="77"/>
  <c r="E46" i="77"/>
  <c r="D47" i="77"/>
  <c r="E47" i="77"/>
  <c r="D48" i="77"/>
  <c r="E48" i="77"/>
  <c r="D49" i="77"/>
  <c r="E49" i="77"/>
  <c r="D50" i="77"/>
  <c r="E50" i="77"/>
  <c r="E54" i="77"/>
  <c r="D64" i="77"/>
  <c r="E64" i="77"/>
  <c r="E68" i="77"/>
  <c r="D70" i="77"/>
  <c r="E70" i="77"/>
  <c r="D71" i="77"/>
  <c r="E71" i="77"/>
  <c r="D72" i="77"/>
  <c r="E72" i="77"/>
  <c r="D73" i="77"/>
  <c r="E73" i="77"/>
  <c r="E77" i="77"/>
  <c r="D80" i="77"/>
  <c r="E80" i="77"/>
  <c r="E86" i="77"/>
  <c r="E87" i="77"/>
  <c r="D54" i="77"/>
  <c r="D61" i="77"/>
  <c r="D68" i="77"/>
  <c r="D77" i="77"/>
  <c r="D86" i="77"/>
  <c r="D87" i="77"/>
  <c r="A87" i="77"/>
  <c r="I86" i="77"/>
  <c r="G86" i="77"/>
  <c r="F86" i="77"/>
  <c r="C86" i="77"/>
  <c r="A86" i="77"/>
  <c r="A85" i="77"/>
  <c r="A83" i="77"/>
  <c r="I82" i="77"/>
  <c r="A82" i="77"/>
  <c r="I81" i="77"/>
  <c r="A81" i="77"/>
  <c r="I80" i="77"/>
  <c r="A80" i="77"/>
  <c r="A79" i="77"/>
  <c r="A78" i="77"/>
  <c r="I77" i="77"/>
  <c r="H77" i="77"/>
  <c r="G77" i="77"/>
  <c r="F77" i="77"/>
  <c r="C77" i="77"/>
  <c r="A77" i="77"/>
  <c r="A76" i="77"/>
  <c r="A74" i="77"/>
  <c r="I73" i="77"/>
  <c r="A73" i="77"/>
  <c r="I72" i="77"/>
  <c r="A72" i="77"/>
  <c r="I71" i="77"/>
  <c r="A71" i="77"/>
  <c r="I70" i="77"/>
  <c r="A70" i="77"/>
  <c r="A69" i="77"/>
  <c r="I68" i="77"/>
  <c r="G68" i="77"/>
  <c r="F68" i="77"/>
  <c r="C68" i="77"/>
  <c r="A68" i="77"/>
  <c r="A67" i="77"/>
  <c r="A65" i="77"/>
  <c r="I64" i="77"/>
  <c r="A64" i="77"/>
  <c r="I63" i="77"/>
  <c r="A63" i="77"/>
  <c r="A62" i="77"/>
  <c r="I61" i="77"/>
  <c r="G61" i="77"/>
  <c r="F61" i="77"/>
  <c r="E61" i="77"/>
  <c r="C61" i="77"/>
  <c r="A61" i="77"/>
  <c r="A60" i="77"/>
  <c r="A58" i="77"/>
  <c r="I57" i="77"/>
  <c r="A57" i="77"/>
  <c r="I56" i="77"/>
  <c r="A56" i="77"/>
  <c r="A55" i="77"/>
  <c r="I54" i="77"/>
  <c r="H54" i="77"/>
  <c r="G54" i="77"/>
  <c r="F54" i="77"/>
  <c r="C54" i="77"/>
  <c r="A54" i="77"/>
  <c r="A53" i="77"/>
  <c r="A51" i="77"/>
  <c r="I50" i="77"/>
  <c r="A50" i="77"/>
  <c r="I49" i="77"/>
  <c r="A49" i="77"/>
  <c r="I48" i="77"/>
  <c r="A48" i="77"/>
  <c r="I47" i="77"/>
  <c r="A47" i="77"/>
  <c r="I46" i="77"/>
  <c r="A46" i="77"/>
  <c r="I45" i="77"/>
  <c r="A45" i="77"/>
  <c r="I44" i="77"/>
  <c r="A44" i="77"/>
  <c r="A42" i="77"/>
  <c r="A41" i="77"/>
  <c r="A40" i="77"/>
  <c r="A39" i="77"/>
  <c r="I38" i="77"/>
  <c r="D32" i="77"/>
  <c r="D33" i="77"/>
  <c r="D38" i="77"/>
  <c r="C38" i="77"/>
  <c r="A38" i="77"/>
  <c r="A37" i="77"/>
  <c r="A35" i="77"/>
  <c r="A34" i="77"/>
  <c r="I33" i="77"/>
  <c r="A33" i="77"/>
  <c r="I32" i="77"/>
  <c r="A32" i="77"/>
  <c r="I31" i="77"/>
  <c r="D31" i="77"/>
  <c r="A31" i="77"/>
  <c r="A30" i="77"/>
  <c r="A29" i="77"/>
  <c r="I28" i="77"/>
  <c r="D21" i="77"/>
  <c r="D22" i="77"/>
  <c r="D23" i="77"/>
  <c r="D28" i="77"/>
  <c r="C28" i="77"/>
  <c r="A28" i="77"/>
  <c r="A27" i="77"/>
  <c r="A25" i="77"/>
  <c r="A24" i="77"/>
  <c r="I23" i="77"/>
  <c r="A23" i="77"/>
  <c r="I22" i="77"/>
  <c r="A22" i="77"/>
  <c r="I21" i="77"/>
  <c r="A21" i="77"/>
  <c r="A20" i="77"/>
  <c r="A19" i="77"/>
  <c r="I18" i="77"/>
  <c r="D11" i="77"/>
  <c r="D12" i="77"/>
  <c r="D13" i="77"/>
  <c r="D18" i="77"/>
  <c r="C18" i="77"/>
  <c r="A18" i="77"/>
  <c r="A17" i="77"/>
  <c r="A15" i="77"/>
  <c r="A14" i="77"/>
  <c r="I13" i="77"/>
  <c r="A13" i="77"/>
  <c r="I12" i="77"/>
  <c r="A12" i="77"/>
  <c r="I11" i="77"/>
  <c r="A11" i="77"/>
  <c r="A10" i="77"/>
  <c r="A9" i="77"/>
  <c r="A8" i="77"/>
  <c r="A3" i="77"/>
  <c r="A1" i="77"/>
  <c r="G55" i="108"/>
  <c r="G56" i="108"/>
  <c r="G57" i="108"/>
  <c r="G58" i="108"/>
  <c r="G59" i="108"/>
  <c r="G60" i="108"/>
  <c r="G69" i="108"/>
  <c r="A10" i="108"/>
  <c r="A11" i="108"/>
  <c r="A12" i="108"/>
  <c r="A13" i="108"/>
  <c r="A14" i="108"/>
  <c r="A15" i="108"/>
  <c r="A16" i="108"/>
  <c r="A17" i="108"/>
  <c r="A18" i="108"/>
  <c r="A19" i="108"/>
  <c r="A20" i="108"/>
  <c r="A21" i="108"/>
  <c r="A22" i="108"/>
  <c r="A23" i="108"/>
  <c r="A24" i="108"/>
  <c r="A25" i="108"/>
  <c r="A26" i="108"/>
  <c r="A27" i="108"/>
  <c r="A28" i="108"/>
  <c r="A29" i="108"/>
  <c r="A30" i="108"/>
  <c r="A31" i="108"/>
  <c r="A32" i="108"/>
  <c r="A33" i="108"/>
  <c r="A36" i="108"/>
  <c r="A66" i="108"/>
  <c r="A67" i="108"/>
  <c r="H68" i="108"/>
  <c r="G22" i="108"/>
  <c r="G25" i="108"/>
  <c r="G29" i="108"/>
  <c r="G37" i="108"/>
  <c r="H37" i="108"/>
  <c r="F37" i="108"/>
  <c r="G38" i="108"/>
  <c r="H38" i="108"/>
  <c r="F38" i="108"/>
  <c r="G39" i="108"/>
  <c r="H39" i="108"/>
  <c r="F39" i="108"/>
  <c r="I37" i="108"/>
  <c r="I38" i="108"/>
  <c r="I39" i="108"/>
  <c r="G40" i="108"/>
  <c r="H40" i="108"/>
  <c r="F40" i="108"/>
  <c r="G41" i="108"/>
  <c r="H41" i="108"/>
  <c r="F41" i="108"/>
  <c r="G42" i="108"/>
  <c r="H42" i="108"/>
  <c r="F42" i="108"/>
  <c r="I40" i="108"/>
  <c r="I41" i="108"/>
  <c r="I42" i="108"/>
  <c r="G43" i="108"/>
  <c r="H43" i="108"/>
  <c r="F43" i="108"/>
  <c r="G44" i="108"/>
  <c r="H44" i="108"/>
  <c r="F44" i="108"/>
  <c r="G45" i="108"/>
  <c r="H45" i="108"/>
  <c r="F45" i="108"/>
  <c r="I43" i="108"/>
  <c r="I44" i="108"/>
  <c r="I45" i="108"/>
  <c r="G46" i="108"/>
  <c r="H46" i="108"/>
  <c r="F46" i="108"/>
  <c r="G47" i="108"/>
  <c r="H47" i="108"/>
  <c r="E47" i="108"/>
  <c r="F47" i="108"/>
  <c r="G48" i="108"/>
  <c r="H48" i="108"/>
  <c r="E48" i="108"/>
  <c r="F48" i="108"/>
  <c r="I46" i="108"/>
  <c r="I47" i="108"/>
  <c r="I48" i="108"/>
  <c r="H49" i="108"/>
  <c r="E49" i="108"/>
  <c r="F49" i="108"/>
  <c r="H50" i="108"/>
  <c r="E50" i="108"/>
  <c r="F50" i="108"/>
  <c r="H51" i="108"/>
  <c r="E51" i="108"/>
  <c r="F51" i="108"/>
  <c r="I49" i="108"/>
  <c r="I50" i="108"/>
  <c r="I51" i="108"/>
  <c r="H52" i="108"/>
  <c r="E52" i="108"/>
  <c r="F52" i="108"/>
  <c r="H53" i="108"/>
  <c r="E53" i="108"/>
  <c r="F53" i="108"/>
  <c r="H54" i="108"/>
  <c r="E54" i="108"/>
  <c r="F54" i="108"/>
  <c r="I52" i="108"/>
  <c r="I53" i="108"/>
  <c r="I54" i="108"/>
  <c r="H55" i="108"/>
  <c r="E55" i="108"/>
  <c r="F55" i="108"/>
  <c r="H56" i="108"/>
  <c r="E56" i="108"/>
  <c r="F56" i="108"/>
  <c r="H57" i="108"/>
  <c r="E57" i="108"/>
  <c r="F57" i="108"/>
  <c r="I55" i="108"/>
  <c r="I56" i="108"/>
  <c r="I57" i="108"/>
  <c r="H58" i="108"/>
  <c r="E58" i="108"/>
  <c r="F58" i="108"/>
  <c r="H59" i="108"/>
  <c r="E59" i="108"/>
  <c r="F59" i="108"/>
  <c r="H60" i="108"/>
  <c r="E60" i="108"/>
  <c r="F60" i="108"/>
  <c r="I58" i="108"/>
  <c r="I59" i="108"/>
  <c r="I60" i="108"/>
  <c r="G61" i="108"/>
  <c r="H61" i="108"/>
  <c r="E61" i="108"/>
  <c r="F61" i="108"/>
  <c r="G62" i="108"/>
  <c r="H62" i="108"/>
  <c r="E62" i="108"/>
  <c r="F62" i="108"/>
  <c r="G63" i="108"/>
  <c r="H63" i="108"/>
  <c r="E63" i="108"/>
  <c r="F63" i="108"/>
  <c r="I61" i="108"/>
  <c r="I62" i="108"/>
  <c r="I63" i="108"/>
  <c r="G64" i="108"/>
  <c r="H64" i="108"/>
  <c r="E64" i="108"/>
  <c r="F64" i="108"/>
  <c r="E65" i="108"/>
  <c r="F65" i="108"/>
  <c r="F66" i="108"/>
  <c r="F67" i="108"/>
  <c r="F68" i="108"/>
  <c r="A68" i="108"/>
  <c r="H67" i="108"/>
  <c r="H66" i="108"/>
  <c r="I64" i="108"/>
  <c r="G65" i="108"/>
  <c r="I65" i="108"/>
  <c r="A37" i="108"/>
  <c r="A38" i="108"/>
  <c r="A39" i="108"/>
  <c r="A40" i="108"/>
  <c r="A41" i="108"/>
  <c r="A42" i="108"/>
  <c r="A43" i="108"/>
  <c r="A44" i="108"/>
  <c r="A45" i="108"/>
  <c r="A46" i="108"/>
  <c r="A47" i="108"/>
  <c r="A48" i="108"/>
  <c r="A49" i="108"/>
  <c r="A50" i="108"/>
  <c r="A51" i="108"/>
  <c r="A52" i="108"/>
  <c r="A53" i="108"/>
  <c r="A54" i="108"/>
  <c r="A55" i="108"/>
  <c r="A56" i="108"/>
  <c r="A57" i="108"/>
  <c r="A58" i="108"/>
  <c r="A59" i="108"/>
  <c r="A60" i="108"/>
  <c r="A61" i="108"/>
  <c r="A62" i="108"/>
  <c r="A63" i="108"/>
  <c r="A64" i="108"/>
  <c r="A65" i="108"/>
  <c r="H29" i="108"/>
  <c r="H25" i="108"/>
  <c r="H22" i="108"/>
  <c r="H68" i="78"/>
  <c r="G129" i="75"/>
  <c r="G130" i="75"/>
  <c r="G15" i="75"/>
  <c r="G16" i="75"/>
  <c r="G17" i="75"/>
  <c r="G19" i="75"/>
  <c r="G20" i="75"/>
  <c r="G21" i="75"/>
  <c r="G23" i="75"/>
  <c r="G11" i="75"/>
  <c r="G12" i="75"/>
  <c r="G13" i="75"/>
  <c r="G24" i="75"/>
  <c r="G142" i="75"/>
  <c r="G134" i="75"/>
  <c r="G138" i="75"/>
  <c r="G140" i="75"/>
  <c r="G141" i="75"/>
  <c r="G143" i="75"/>
  <c r="G146" i="75"/>
  <c r="G148" i="75"/>
  <c r="G27" i="75"/>
  <c r="G28" i="75"/>
  <c r="G29" i="75"/>
  <c r="G44" i="75"/>
  <c r="G45" i="75"/>
  <c r="G46" i="75"/>
  <c r="G47" i="75"/>
  <c r="G48" i="75"/>
  <c r="G40" i="75"/>
  <c r="G42" i="75"/>
  <c r="G50" i="75"/>
  <c r="G58" i="75"/>
  <c r="G55" i="75"/>
  <c r="G56" i="75"/>
  <c r="G57" i="75"/>
  <c r="G59" i="75"/>
  <c r="G53" i="75"/>
  <c r="G61" i="75"/>
  <c r="G63" i="75"/>
  <c r="G34" i="75"/>
  <c r="G35" i="75"/>
  <c r="G153" i="75"/>
  <c r="G150" i="75"/>
  <c r="G152" i="75"/>
  <c r="G154" i="75"/>
  <c r="G156" i="75"/>
  <c r="G248" i="75"/>
  <c r="G165" i="75"/>
  <c r="G164" i="75"/>
  <c r="G163" i="75"/>
  <c r="G166" i="75"/>
  <c r="G167" i="75"/>
  <c r="G168" i="75"/>
  <c r="G161" i="75"/>
  <c r="G170" i="75"/>
  <c r="G249" i="75"/>
  <c r="G176" i="75"/>
  <c r="G177" i="75"/>
  <c r="G178" i="75"/>
  <c r="G31" i="75"/>
  <c r="G32" i="75"/>
  <c r="G179" i="75"/>
  <c r="G180" i="75"/>
  <c r="G182" i="75"/>
  <c r="G183" i="75"/>
  <c r="G184" i="75"/>
  <c r="G185" i="75"/>
  <c r="G250" i="75"/>
  <c r="G191" i="75"/>
  <c r="G192" i="75"/>
  <c r="G193" i="75"/>
  <c r="G251" i="75"/>
  <c r="G68" i="75"/>
  <c r="G69" i="75"/>
  <c r="G70" i="75"/>
  <c r="G71" i="75"/>
  <c r="G72" i="75"/>
  <c r="G73" i="75"/>
  <c r="G74" i="75"/>
  <c r="G75" i="75"/>
  <c r="G82" i="75"/>
  <c r="G83" i="75"/>
  <c r="G84" i="75"/>
  <c r="G85" i="75"/>
  <c r="G86" i="75"/>
  <c r="G87" i="75"/>
  <c r="G98" i="75"/>
  <c r="G99" i="75"/>
  <c r="G100" i="75"/>
  <c r="G101" i="75"/>
  <c r="G102" i="75"/>
  <c r="G103" i="75"/>
  <c r="G104" i="75"/>
  <c r="G106" i="75"/>
  <c r="G90" i="75"/>
  <c r="G91" i="75"/>
  <c r="G92" i="75"/>
  <c r="G93" i="75"/>
  <c r="G94" i="75"/>
  <c r="G109" i="75"/>
  <c r="G111" i="75"/>
  <c r="G116" i="75"/>
  <c r="G118" i="75"/>
  <c r="G120" i="75"/>
  <c r="G197" i="75"/>
  <c r="G200" i="75"/>
  <c r="G202" i="75"/>
  <c r="G205" i="75"/>
  <c r="G206" i="75"/>
  <c r="G204" i="75"/>
  <c r="G198" i="75"/>
  <c r="G199" i="75"/>
  <c r="G208" i="75"/>
  <c r="G212" i="75"/>
  <c r="G201" i="75"/>
  <c r="G209" i="75"/>
  <c r="G213" i="75"/>
  <c r="G214" i="75"/>
  <c r="G215" i="75"/>
  <c r="G217" i="75"/>
  <c r="G252" i="75"/>
  <c r="G225" i="75"/>
  <c r="G226" i="75"/>
  <c r="G237" i="75"/>
  <c r="G230" i="75"/>
  <c r="G231" i="75"/>
  <c r="G232" i="75"/>
  <c r="G233" i="75"/>
  <c r="G234" i="75"/>
  <c r="G235" i="75"/>
  <c r="G239" i="75"/>
  <c r="G253" i="75"/>
  <c r="G257" i="75"/>
  <c r="G264" i="75"/>
  <c r="G260" i="75"/>
  <c r="G261" i="75"/>
  <c r="G262" i="75"/>
  <c r="G263" i="75"/>
  <c r="G265" i="75"/>
  <c r="G269" i="75"/>
  <c r="G270" i="75"/>
  <c r="G271" i="75"/>
  <c r="G272" i="75"/>
  <c r="G273" i="75"/>
  <c r="G276" i="75"/>
  <c r="G277" i="75"/>
  <c r="G278" i="75"/>
  <c r="G279" i="75"/>
  <c r="G280" i="75"/>
  <c r="G281" i="75"/>
  <c r="G282" i="75"/>
  <c r="G283" i="75"/>
  <c r="G284" i="75"/>
  <c r="G285" i="75"/>
  <c r="G286" i="75"/>
  <c r="G289" i="75"/>
  <c r="G27" i="78"/>
  <c r="G23" i="78"/>
  <c r="G24" i="78"/>
  <c r="G25" i="78"/>
  <c r="G29" i="78"/>
  <c r="G37" i="78"/>
  <c r="H37" i="78"/>
  <c r="F37" i="78"/>
  <c r="G38" i="78"/>
  <c r="H38" i="78"/>
  <c r="F38" i="78"/>
  <c r="G39" i="78"/>
  <c r="H39" i="78"/>
  <c r="F39" i="78"/>
  <c r="I37" i="78"/>
  <c r="I38" i="78"/>
  <c r="I39" i="78"/>
  <c r="G40" i="78"/>
  <c r="H40" i="78"/>
  <c r="F40" i="78"/>
  <c r="G41" i="78"/>
  <c r="H41" i="78"/>
  <c r="F41" i="78"/>
  <c r="G42" i="78"/>
  <c r="H42" i="78"/>
  <c r="F42" i="78"/>
  <c r="I40" i="78"/>
  <c r="I41" i="78"/>
  <c r="I42" i="78"/>
  <c r="G43" i="78"/>
  <c r="H43" i="78"/>
  <c r="F43" i="78"/>
  <c r="G44" i="78"/>
  <c r="H44" i="78"/>
  <c r="F44" i="78"/>
  <c r="G45" i="78"/>
  <c r="H45" i="78"/>
  <c r="F45" i="78"/>
  <c r="I43" i="78"/>
  <c r="I44" i="78"/>
  <c r="I45" i="78"/>
  <c r="G46" i="78"/>
  <c r="H46" i="78"/>
  <c r="F46" i="78"/>
  <c r="G47" i="78"/>
  <c r="H47" i="78"/>
  <c r="F47" i="78"/>
  <c r="G48" i="78"/>
  <c r="H48" i="78"/>
  <c r="F48" i="78"/>
  <c r="I46" i="78"/>
  <c r="I47" i="78"/>
  <c r="I48" i="78"/>
  <c r="H49" i="78"/>
  <c r="F49" i="78"/>
  <c r="H50" i="78"/>
  <c r="F50" i="78"/>
  <c r="H51" i="78"/>
  <c r="F51" i="78"/>
  <c r="I49" i="78"/>
  <c r="I50" i="78"/>
  <c r="I51" i="78"/>
  <c r="H52" i="78"/>
  <c r="F52" i="78"/>
  <c r="H53" i="78"/>
  <c r="F53" i="78"/>
  <c r="H54" i="78"/>
  <c r="F54" i="78"/>
  <c r="I52" i="78"/>
  <c r="I53" i="78"/>
  <c r="I54" i="78"/>
  <c r="G55" i="78"/>
  <c r="H55" i="78"/>
  <c r="F55" i="78"/>
  <c r="G56" i="78"/>
  <c r="H56" i="78"/>
  <c r="F56" i="78"/>
  <c r="G57" i="78"/>
  <c r="H57" i="78"/>
  <c r="F57" i="78"/>
  <c r="I55" i="78"/>
  <c r="I56" i="78"/>
  <c r="I57" i="78"/>
  <c r="G58" i="78"/>
  <c r="H58" i="78"/>
  <c r="F58" i="78"/>
  <c r="G59" i="78"/>
  <c r="H59" i="78"/>
  <c r="F59" i="78"/>
  <c r="G60" i="78"/>
  <c r="H60" i="78"/>
  <c r="F60" i="78"/>
  <c r="I58" i="78"/>
  <c r="I59" i="78"/>
  <c r="I60" i="78"/>
  <c r="G61" i="78"/>
  <c r="H61" i="78"/>
  <c r="F61" i="78"/>
  <c r="G62" i="78"/>
  <c r="H62" i="78"/>
  <c r="F62" i="78"/>
  <c r="G63" i="78"/>
  <c r="H63" i="78"/>
  <c r="F63" i="78"/>
  <c r="I61" i="78"/>
  <c r="I62" i="78"/>
  <c r="I63" i="78"/>
  <c r="G64" i="78"/>
  <c r="H64" i="78"/>
  <c r="F64" i="78"/>
  <c r="F66" i="78"/>
  <c r="F67" i="78"/>
  <c r="F68" i="78"/>
  <c r="A68" i="78"/>
  <c r="H67" i="78"/>
  <c r="A67" i="78"/>
  <c r="H66" i="78"/>
  <c r="A66" i="78"/>
  <c r="I64" i="78"/>
  <c r="G65" i="78"/>
  <c r="I65" i="78"/>
  <c r="F65" i="78"/>
  <c r="E65" i="78"/>
  <c r="A65" i="78"/>
  <c r="M64" i="78"/>
  <c r="E64" i="78"/>
  <c r="A64" i="78"/>
  <c r="E63" i="78"/>
  <c r="A63" i="78"/>
  <c r="M62" i="78"/>
  <c r="E62" i="78"/>
  <c r="A62" i="78"/>
  <c r="E61" i="78"/>
  <c r="A61" i="78"/>
  <c r="E60" i="78"/>
  <c r="A60" i="78"/>
  <c r="E59" i="78"/>
  <c r="A59" i="78"/>
  <c r="E58" i="78"/>
  <c r="A58" i="78"/>
  <c r="E57" i="78"/>
  <c r="A57" i="78"/>
  <c r="E56" i="78"/>
  <c r="A56" i="78"/>
  <c r="E55" i="78"/>
  <c r="A55" i="78"/>
  <c r="E54" i="78"/>
  <c r="A54" i="78"/>
  <c r="E53" i="78"/>
  <c r="A53" i="78"/>
  <c r="E52" i="78"/>
  <c r="A52" i="78"/>
  <c r="E51" i="78"/>
  <c r="A51" i="78"/>
  <c r="E50" i="78"/>
  <c r="A50" i="78"/>
  <c r="E49" i="78"/>
  <c r="A49" i="78"/>
  <c r="E48" i="78"/>
  <c r="A48" i="78"/>
  <c r="E47" i="78"/>
  <c r="A47" i="78"/>
  <c r="E46" i="78"/>
  <c r="A46" i="78"/>
  <c r="E45" i="78"/>
  <c r="A45" i="78"/>
  <c r="E44" i="78"/>
  <c r="A44" i="78"/>
  <c r="E43" i="78"/>
  <c r="A43" i="78"/>
  <c r="E42" i="78"/>
  <c r="A42" i="78"/>
  <c r="E41" i="78"/>
  <c r="A41" i="78"/>
  <c r="E40" i="78"/>
  <c r="A40" i="78"/>
  <c r="E39" i="78"/>
  <c r="A39" i="78"/>
  <c r="E38" i="78"/>
  <c r="A38" i="78"/>
  <c r="E37" i="78"/>
  <c r="A37" i="78"/>
  <c r="A36" i="78"/>
  <c r="A33" i="78"/>
  <c r="A32" i="78"/>
  <c r="A31" i="78"/>
  <c r="A30" i="78"/>
  <c r="H29" i="78"/>
  <c r="A29" i="78"/>
  <c r="A28" i="78"/>
  <c r="H27" i="78"/>
  <c r="A27" i="78"/>
  <c r="A26" i="78"/>
  <c r="H25" i="78"/>
  <c r="A25" i="78"/>
  <c r="A24" i="78"/>
  <c r="H23" i="78"/>
  <c r="A23" i="78"/>
  <c r="H22" i="78"/>
  <c r="G22" i="78"/>
  <c r="A22" i="78"/>
  <c r="A21" i="78"/>
  <c r="A20" i="78"/>
  <c r="A19" i="78"/>
  <c r="A18" i="78"/>
  <c r="A17" i="78"/>
  <c r="A16" i="78"/>
  <c r="A15" i="78"/>
  <c r="A14" i="78"/>
  <c r="A13" i="78"/>
  <c r="A12" i="78"/>
  <c r="A11" i="78"/>
  <c r="A10" i="78"/>
  <c r="A3" i="78"/>
  <c r="A1" i="78"/>
  <c r="D9" i="104"/>
  <c r="C9" i="104"/>
  <c r="D8" i="104"/>
  <c r="D7" i="104"/>
  <c r="A3" i="104"/>
  <c r="A1" i="104"/>
  <c r="H301" i="75"/>
  <c r="H129" i="75"/>
  <c r="H130" i="75"/>
  <c r="H15" i="75"/>
  <c r="H16" i="75"/>
  <c r="H17" i="75"/>
  <c r="H19" i="75"/>
  <c r="H20" i="75"/>
  <c r="H21" i="75"/>
  <c r="H23" i="75"/>
  <c r="H11" i="75"/>
  <c r="H12" i="75"/>
  <c r="H13" i="75"/>
  <c r="H24" i="75"/>
  <c r="H142" i="75"/>
  <c r="H134" i="75"/>
  <c r="H138" i="75"/>
  <c r="H140" i="75"/>
  <c r="H141" i="75"/>
  <c r="H143" i="75"/>
  <c r="H146" i="75"/>
  <c r="H148" i="75"/>
  <c r="H27" i="75"/>
  <c r="H28" i="75"/>
  <c r="H29" i="75"/>
  <c r="H44" i="75"/>
  <c r="H45" i="75"/>
  <c r="H46" i="75"/>
  <c r="H47" i="75"/>
  <c r="H48" i="75"/>
  <c r="H40" i="75"/>
  <c r="H41" i="75"/>
  <c r="H42" i="75"/>
  <c r="H50" i="75"/>
  <c r="H58" i="75"/>
  <c r="H55" i="75"/>
  <c r="H56" i="75"/>
  <c r="H57" i="75"/>
  <c r="H59" i="75"/>
  <c r="H53" i="75"/>
  <c r="H61" i="75"/>
  <c r="H63" i="75"/>
  <c r="H34" i="75"/>
  <c r="H35" i="75"/>
  <c r="H153" i="75"/>
  <c r="H150" i="75"/>
  <c r="H152" i="75"/>
  <c r="H154" i="75"/>
  <c r="H156" i="75"/>
  <c r="H248" i="75"/>
  <c r="H165" i="75"/>
  <c r="H164" i="75"/>
  <c r="H163" i="75"/>
  <c r="H166" i="75"/>
  <c r="H167" i="75"/>
  <c r="H168" i="75"/>
  <c r="H161" i="75"/>
  <c r="H170" i="75"/>
  <c r="H249" i="75"/>
  <c r="H176" i="75"/>
  <c r="H177" i="75"/>
  <c r="H178" i="75"/>
  <c r="H31" i="75"/>
  <c r="H32" i="75"/>
  <c r="H179" i="75"/>
  <c r="H180" i="75"/>
  <c r="H182" i="75"/>
  <c r="H183" i="75"/>
  <c r="H184" i="75"/>
  <c r="H185" i="75"/>
  <c r="H250" i="75"/>
  <c r="H191" i="75"/>
  <c r="H192" i="75"/>
  <c r="H193" i="75"/>
  <c r="H251" i="75"/>
  <c r="H68" i="75"/>
  <c r="H69" i="75"/>
  <c r="H70" i="75"/>
  <c r="H71" i="75"/>
  <c r="H72" i="75"/>
  <c r="H73" i="75"/>
  <c r="H74" i="75"/>
  <c r="H75" i="75"/>
  <c r="H82" i="75"/>
  <c r="H83" i="75"/>
  <c r="H84" i="75"/>
  <c r="H85" i="75"/>
  <c r="H86" i="75"/>
  <c r="H87" i="75"/>
  <c r="H98" i="75"/>
  <c r="H99" i="75"/>
  <c r="H100" i="75"/>
  <c r="H101" i="75"/>
  <c r="H102" i="75"/>
  <c r="H103" i="75"/>
  <c r="H104" i="75"/>
  <c r="H106" i="75"/>
  <c r="H90" i="75"/>
  <c r="H91" i="75"/>
  <c r="H92" i="75"/>
  <c r="H93" i="75"/>
  <c r="H94" i="75"/>
  <c r="H109" i="75"/>
  <c r="H111" i="75"/>
  <c r="H116" i="75"/>
  <c r="H118" i="75"/>
  <c r="H120" i="75"/>
  <c r="H197" i="75"/>
  <c r="H200" i="75"/>
  <c r="H202" i="75"/>
  <c r="H205" i="75"/>
  <c r="H206" i="75"/>
  <c r="H204" i="75"/>
  <c r="H198" i="75"/>
  <c r="H199" i="75"/>
  <c r="H208" i="75"/>
  <c r="H212" i="75"/>
  <c r="H201" i="75"/>
  <c r="H209" i="75"/>
  <c r="H213" i="75"/>
  <c r="H214" i="75"/>
  <c r="H215" i="75"/>
  <c r="H217" i="75"/>
  <c r="H252" i="75"/>
  <c r="H225" i="75"/>
  <c r="H226" i="75"/>
  <c r="H237" i="75"/>
  <c r="H230" i="75"/>
  <c r="H231" i="75"/>
  <c r="H232" i="75"/>
  <c r="H233" i="75"/>
  <c r="H234" i="75"/>
  <c r="H235" i="75"/>
  <c r="H239" i="75"/>
  <c r="H253" i="75"/>
  <c r="H257" i="75"/>
  <c r="H264" i="75"/>
  <c r="H260" i="75"/>
  <c r="H261" i="75"/>
  <c r="H262" i="75"/>
  <c r="H263" i="75"/>
  <c r="H265" i="75"/>
  <c r="H269" i="75"/>
  <c r="H270" i="75"/>
  <c r="H271" i="75"/>
  <c r="H272" i="75"/>
  <c r="H273" i="75"/>
  <c r="H276" i="75"/>
  <c r="H277" i="75"/>
  <c r="H278" i="75"/>
  <c r="H279" i="75"/>
  <c r="H280" i="75"/>
  <c r="H281" i="75"/>
  <c r="H282" i="75"/>
  <c r="H283" i="75"/>
  <c r="H284" i="75"/>
  <c r="H286" i="75"/>
  <c r="H289" i="75"/>
  <c r="H291" i="75"/>
  <c r="H293" i="75"/>
  <c r="H298" i="75"/>
  <c r="H302" i="75"/>
  <c r="H303" i="75"/>
  <c r="F303" i="75"/>
  <c r="A303" i="75"/>
  <c r="F302" i="75"/>
  <c r="A302" i="75"/>
  <c r="F301" i="75"/>
  <c r="E301" i="75"/>
  <c r="A301" i="75"/>
  <c r="F298" i="75"/>
  <c r="A298" i="75"/>
  <c r="E297" i="75"/>
  <c r="A297" i="75"/>
  <c r="E296" i="75"/>
  <c r="A296" i="75"/>
  <c r="A295" i="75"/>
  <c r="F293" i="75"/>
  <c r="A293" i="75"/>
  <c r="F291" i="75"/>
  <c r="A291" i="75"/>
  <c r="F289" i="75"/>
  <c r="A289" i="75"/>
  <c r="E287" i="75"/>
  <c r="A287" i="75"/>
  <c r="F286" i="75"/>
  <c r="C286" i="75"/>
  <c r="A286" i="75"/>
  <c r="H285" i="75"/>
  <c r="F285" i="75"/>
  <c r="E285" i="75"/>
  <c r="A285" i="75"/>
  <c r="F284" i="75"/>
  <c r="E284" i="75"/>
  <c r="A284" i="75"/>
  <c r="F283" i="75"/>
  <c r="C283" i="75"/>
  <c r="A283" i="75"/>
  <c r="F282" i="75"/>
  <c r="A282" i="75"/>
  <c r="F281" i="75"/>
  <c r="C281" i="75"/>
  <c r="A281" i="75"/>
  <c r="F280" i="75"/>
  <c r="C280" i="75"/>
  <c r="A280" i="75"/>
  <c r="F279" i="75"/>
  <c r="A279" i="75"/>
  <c r="F278" i="75"/>
  <c r="A278" i="75"/>
  <c r="F277" i="75"/>
  <c r="A277" i="75"/>
  <c r="F276" i="75"/>
  <c r="A276" i="75"/>
  <c r="F273" i="75"/>
  <c r="A273" i="75"/>
  <c r="F272" i="75"/>
  <c r="C272" i="75"/>
  <c r="A272" i="75"/>
  <c r="F271" i="75"/>
  <c r="C271" i="75"/>
  <c r="A271" i="75"/>
  <c r="F270" i="75"/>
  <c r="A270" i="75"/>
  <c r="F269" i="75"/>
  <c r="A269" i="75"/>
  <c r="F265" i="75"/>
  <c r="A265" i="75"/>
  <c r="F264" i="75"/>
  <c r="A264" i="75"/>
  <c r="F263" i="75"/>
  <c r="A263" i="75"/>
  <c r="F262" i="75"/>
  <c r="A262" i="75"/>
  <c r="F261" i="75"/>
  <c r="E261" i="75"/>
  <c r="A261" i="75"/>
  <c r="F260" i="75"/>
  <c r="C260" i="75"/>
  <c r="A260" i="75"/>
  <c r="F257" i="75"/>
  <c r="A257" i="75"/>
  <c r="E255" i="75"/>
  <c r="A255" i="75"/>
  <c r="E254" i="75"/>
  <c r="A254" i="75"/>
  <c r="F253" i="75"/>
  <c r="A253" i="75"/>
  <c r="F252" i="75"/>
  <c r="A252" i="75"/>
  <c r="F251" i="75"/>
  <c r="A251" i="75"/>
  <c r="F250" i="75"/>
  <c r="A250" i="75"/>
  <c r="F249" i="75"/>
  <c r="A249" i="75"/>
  <c r="F248" i="75"/>
  <c r="A248" i="75"/>
  <c r="H246" i="75"/>
  <c r="G246" i="75"/>
  <c r="F246" i="75"/>
  <c r="A246" i="75"/>
  <c r="H245" i="75"/>
  <c r="G245" i="75"/>
  <c r="F245" i="75"/>
  <c r="A245" i="75"/>
  <c r="H244" i="75"/>
  <c r="G244" i="75"/>
  <c r="F244" i="75"/>
  <c r="C244" i="75"/>
  <c r="A244" i="75"/>
  <c r="F239" i="75"/>
  <c r="A239" i="75"/>
  <c r="F237" i="75"/>
  <c r="A237" i="75"/>
  <c r="F235" i="75"/>
  <c r="A235" i="75"/>
  <c r="F234" i="75"/>
  <c r="A234" i="75"/>
  <c r="F233" i="75"/>
  <c r="A233" i="75"/>
  <c r="F232" i="75"/>
  <c r="A232" i="75"/>
  <c r="F231" i="75"/>
  <c r="A231" i="75"/>
  <c r="F230" i="75"/>
  <c r="A230" i="75"/>
  <c r="E229" i="75"/>
  <c r="A229" i="75"/>
  <c r="E228" i="75"/>
  <c r="A226" i="75"/>
  <c r="A225" i="75"/>
  <c r="E224" i="75"/>
  <c r="A224" i="75"/>
  <c r="E223" i="75"/>
  <c r="A223" i="75"/>
  <c r="E222" i="75"/>
  <c r="A222" i="75"/>
  <c r="F217" i="75"/>
  <c r="A217" i="75"/>
  <c r="F215" i="75"/>
  <c r="A215" i="75"/>
  <c r="F214" i="75"/>
  <c r="A214" i="75"/>
  <c r="F213" i="75"/>
  <c r="A213" i="75"/>
  <c r="F212" i="75"/>
  <c r="A212" i="75"/>
  <c r="H210" i="75"/>
  <c r="G210" i="75"/>
  <c r="E210" i="75"/>
  <c r="A210" i="75"/>
  <c r="F209" i="75"/>
  <c r="A209" i="75"/>
  <c r="F208" i="75"/>
  <c r="A208" i="75"/>
  <c r="F206" i="75"/>
  <c r="A206" i="75"/>
  <c r="F205" i="75"/>
  <c r="A205" i="75"/>
  <c r="F204" i="75"/>
  <c r="A204" i="75"/>
  <c r="F202" i="75"/>
  <c r="E202" i="75"/>
  <c r="A202" i="75"/>
  <c r="F201" i="75"/>
  <c r="A201" i="75"/>
  <c r="F200" i="75"/>
  <c r="E200" i="75"/>
  <c r="A200" i="75"/>
  <c r="F199" i="75"/>
  <c r="E199" i="75"/>
  <c r="A199" i="75"/>
  <c r="F198" i="75"/>
  <c r="E198" i="75"/>
  <c r="A198" i="75"/>
  <c r="F197" i="75"/>
  <c r="E197" i="75"/>
  <c r="A197" i="75"/>
  <c r="F193" i="75"/>
  <c r="E193" i="75"/>
  <c r="A193" i="75"/>
  <c r="F192" i="75"/>
  <c r="C192" i="75"/>
  <c r="A192" i="75"/>
  <c r="F191" i="75"/>
  <c r="A191" i="75"/>
  <c r="A190" i="75"/>
  <c r="A189" i="75"/>
  <c r="F185" i="75"/>
  <c r="A185" i="75"/>
  <c r="F184" i="75"/>
  <c r="C184" i="75"/>
  <c r="A184" i="75"/>
  <c r="F183" i="75"/>
  <c r="A183" i="75"/>
  <c r="F182" i="75"/>
  <c r="A182" i="75"/>
  <c r="A181" i="75"/>
  <c r="F180" i="75"/>
  <c r="C180" i="75"/>
  <c r="A180" i="75"/>
  <c r="F179" i="75"/>
  <c r="C179" i="75"/>
  <c r="A179" i="75"/>
  <c r="F178" i="75"/>
  <c r="A178" i="75"/>
  <c r="F177" i="75"/>
  <c r="E177" i="75"/>
  <c r="A177" i="75"/>
  <c r="F176" i="75"/>
  <c r="A176" i="75"/>
  <c r="A175" i="75"/>
  <c r="H174" i="75"/>
  <c r="G174" i="75"/>
  <c r="F174" i="75"/>
  <c r="A174" i="75"/>
  <c r="F170" i="75"/>
  <c r="A170" i="75"/>
  <c r="A169" i="75"/>
  <c r="F168" i="75"/>
  <c r="A168" i="75"/>
  <c r="F167" i="75"/>
  <c r="A167" i="75"/>
  <c r="F166" i="75"/>
  <c r="A166" i="75"/>
  <c r="A165" i="75"/>
  <c r="A164" i="75"/>
  <c r="E163" i="75"/>
  <c r="A163" i="75"/>
  <c r="A162" i="75"/>
  <c r="E161" i="75"/>
  <c r="A161" i="75"/>
  <c r="F156" i="75"/>
  <c r="A156" i="75"/>
  <c r="A155" i="75"/>
  <c r="F154" i="75"/>
  <c r="A154" i="75"/>
  <c r="F153" i="75"/>
  <c r="A153" i="75"/>
  <c r="F152" i="75"/>
  <c r="A152" i="75"/>
  <c r="E151" i="75"/>
  <c r="A151" i="75"/>
  <c r="F150" i="75"/>
  <c r="E150" i="75"/>
  <c r="A150" i="75"/>
  <c r="A149" i="75"/>
  <c r="F148" i="75"/>
  <c r="A148" i="75"/>
  <c r="E147" i="75"/>
  <c r="A147" i="75"/>
  <c r="F146" i="75"/>
  <c r="E146" i="75"/>
  <c r="A146" i="75"/>
  <c r="F143" i="75"/>
  <c r="C143" i="75"/>
  <c r="A143" i="75"/>
  <c r="F142" i="75"/>
  <c r="A142" i="75"/>
  <c r="F141" i="75"/>
  <c r="A141" i="75"/>
  <c r="F140" i="75"/>
  <c r="E140" i="75"/>
  <c r="A140" i="75"/>
  <c r="A139" i="75"/>
  <c r="F138" i="75"/>
  <c r="E138" i="75"/>
  <c r="A138" i="75"/>
  <c r="A137" i="75"/>
  <c r="E136" i="75"/>
  <c r="A136" i="75"/>
  <c r="A135" i="75"/>
  <c r="F134" i="75"/>
  <c r="E134" i="75"/>
  <c r="A134" i="75"/>
  <c r="E133" i="75"/>
  <c r="A133" i="75"/>
  <c r="F130" i="75"/>
  <c r="A130" i="75"/>
  <c r="F129" i="75"/>
  <c r="E129" i="75"/>
  <c r="A129" i="75"/>
  <c r="A128" i="75"/>
  <c r="A127" i="75"/>
  <c r="E126" i="75"/>
  <c r="A126" i="75"/>
  <c r="E125" i="75"/>
  <c r="A125" i="75"/>
  <c r="F120" i="75"/>
  <c r="A120" i="75"/>
  <c r="F118" i="75"/>
  <c r="A118" i="75"/>
  <c r="F116" i="75"/>
  <c r="A116" i="75"/>
  <c r="E115" i="75"/>
  <c r="A115" i="75"/>
  <c r="E114" i="75"/>
  <c r="A114" i="75"/>
  <c r="F111" i="75"/>
  <c r="A111" i="75"/>
  <c r="E110" i="75"/>
  <c r="A110" i="75"/>
  <c r="F109" i="75"/>
  <c r="A109" i="75"/>
  <c r="F106" i="75"/>
  <c r="E106" i="75"/>
  <c r="A106" i="75"/>
  <c r="F104" i="75"/>
  <c r="E104" i="75"/>
  <c r="A104" i="75"/>
  <c r="F103" i="75"/>
  <c r="C103" i="75"/>
  <c r="A103" i="75"/>
  <c r="F102" i="75"/>
  <c r="A102" i="75"/>
  <c r="F101" i="75"/>
  <c r="E101" i="75"/>
  <c r="A101" i="75"/>
  <c r="F100" i="75"/>
  <c r="C100" i="75"/>
  <c r="A100" i="75"/>
  <c r="F99" i="75"/>
  <c r="A99" i="75"/>
  <c r="F98" i="75"/>
  <c r="E98" i="75"/>
  <c r="A98" i="75"/>
  <c r="H97" i="75"/>
  <c r="G97" i="75"/>
  <c r="F97" i="75"/>
  <c r="E97" i="75"/>
  <c r="A97" i="75"/>
  <c r="F94" i="75"/>
  <c r="A94" i="75"/>
  <c r="F93" i="75"/>
  <c r="A93" i="75"/>
  <c r="F92" i="75"/>
  <c r="A92" i="75"/>
  <c r="F91" i="75"/>
  <c r="E91" i="75"/>
  <c r="A91" i="75"/>
  <c r="F90" i="75"/>
  <c r="E90" i="75"/>
  <c r="A90" i="75"/>
  <c r="F87" i="75"/>
  <c r="E87" i="75"/>
  <c r="A87" i="75"/>
  <c r="F86" i="75"/>
  <c r="C86" i="75"/>
  <c r="A86" i="75"/>
  <c r="F85" i="75"/>
  <c r="A85" i="75"/>
  <c r="F84" i="75"/>
  <c r="E84" i="75"/>
  <c r="A84" i="75"/>
  <c r="F83" i="75"/>
  <c r="C83" i="75"/>
  <c r="A83" i="75"/>
  <c r="F82" i="75"/>
  <c r="A82" i="75"/>
  <c r="H81" i="75"/>
  <c r="G81" i="75"/>
  <c r="F81" i="75"/>
  <c r="E81" i="75"/>
  <c r="A81" i="75"/>
  <c r="H80" i="75"/>
  <c r="G80" i="75"/>
  <c r="F80" i="75"/>
  <c r="E80" i="75"/>
  <c r="A80" i="75"/>
  <c r="E77" i="75"/>
  <c r="A77" i="75"/>
  <c r="F75" i="75"/>
  <c r="A75" i="75"/>
  <c r="F74" i="75"/>
  <c r="C74" i="75"/>
  <c r="A74" i="75"/>
  <c r="F73" i="75"/>
  <c r="A73" i="75"/>
  <c r="F72" i="75"/>
  <c r="E72" i="75"/>
  <c r="A72" i="75"/>
  <c r="F71" i="75"/>
  <c r="C71" i="75"/>
  <c r="A71" i="75"/>
  <c r="F70" i="75"/>
  <c r="C70" i="75"/>
  <c r="A70" i="75"/>
  <c r="F69" i="75"/>
  <c r="E69" i="75"/>
  <c r="A69" i="75"/>
  <c r="F68" i="75"/>
  <c r="E68" i="75"/>
  <c r="A68" i="75"/>
  <c r="E67" i="75"/>
  <c r="F63" i="75"/>
  <c r="A63" i="75"/>
  <c r="F61" i="75"/>
  <c r="A61" i="75"/>
  <c r="F59" i="75"/>
  <c r="A59" i="75"/>
  <c r="F58" i="75"/>
  <c r="C58" i="75"/>
  <c r="A58" i="75"/>
  <c r="F57" i="75"/>
  <c r="A57" i="75"/>
  <c r="F56" i="75"/>
  <c r="E56" i="75"/>
  <c r="A56" i="75"/>
  <c r="F55" i="75"/>
  <c r="E55" i="75"/>
  <c r="A55" i="75"/>
  <c r="F53" i="75"/>
  <c r="E53" i="75"/>
  <c r="A53" i="75"/>
  <c r="F50" i="75"/>
  <c r="A50" i="75"/>
  <c r="F48" i="75"/>
  <c r="A48" i="75"/>
  <c r="F47" i="75"/>
  <c r="A47" i="75"/>
  <c r="F46" i="75"/>
  <c r="A46" i="75"/>
  <c r="F45" i="75"/>
  <c r="E45" i="75"/>
  <c r="A45" i="75"/>
  <c r="F44" i="75"/>
  <c r="E44" i="75"/>
  <c r="A44" i="75"/>
  <c r="F42" i="75"/>
  <c r="A42" i="75"/>
  <c r="F41" i="75"/>
  <c r="E41" i="75"/>
  <c r="A41" i="75"/>
  <c r="F40" i="75"/>
  <c r="E40" i="75"/>
  <c r="A40" i="75"/>
  <c r="B39" i="75"/>
  <c r="F35" i="75"/>
  <c r="A35" i="75"/>
  <c r="F34" i="75"/>
  <c r="E34" i="75"/>
  <c r="C34" i="75"/>
  <c r="A34" i="75"/>
  <c r="F32" i="75"/>
  <c r="A32" i="75"/>
  <c r="F31" i="75"/>
  <c r="C31" i="75"/>
  <c r="A31" i="75"/>
  <c r="F29" i="75"/>
  <c r="A29" i="75"/>
  <c r="F28" i="75"/>
  <c r="E28" i="75"/>
  <c r="A28" i="75"/>
  <c r="F27" i="75"/>
  <c r="E27" i="75"/>
  <c r="A27" i="75"/>
  <c r="F24" i="75"/>
  <c r="A24" i="75"/>
  <c r="F23" i="75"/>
  <c r="A23" i="75"/>
  <c r="F21" i="75"/>
  <c r="A21" i="75"/>
  <c r="F20" i="75"/>
  <c r="E20" i="75"/>
  <c r="A20" i="75"/>
  <c r="F19" i="75"/>
  <c r="A19" i="75"/>
  <c r="F17" i="75"/>
  <c r="A17" i="75"/>
  <c r="F16" i="75"/>
  <c r="E16" i="75"/>
  <c r="A16" i="75"/>
  <c r="F15" i="75"/>
  <c r="A15" i="75"/>
  <c r="F13" i="75"/>
  <c r="A13" i="75"/>
  <c r="F12" i="75"/>
  <c r="E12" i="75"/>
  <c r="A12" i="75"/>
  <c r="F11" i="75"/>
  <c r="E8" i="75"/>
  <c r="A3" i="75"/>
  <c r="A1" i="75"/>
  <c r="D236" i="88"/>
  <c r="C236" i="88"/>
  <c r="A236" i="88"/>
  <c r="D235" i="88"/>
  <c r="C235" i="88"/>
  <c r="A235" i="88"/>
  <c r="D234" i="88"/>
  <c r="C234" i="88"/>
  <c r="A234" i="88"/>
  <c r="I227" i="88"/>
  <c r="I228" i="88"/>
  <c r="I229" i="88"/>
  <c r="I230" i="88"/>
  <c r="I231" i="88"/>
  <c r="C231" i="88"/>
  <c r="A231" i="88"/>
  <c r="C230" i="88"/>
  <c r="C229" i="88"/>
  <c r="C228" i="88"/>
  <c r="A228" i="88"/>
  <c r="C227" i="88"/>
  <c r="A227" i="88"/>
  <c r="I224" i="88"/>
  <c r="C224" i="88"/>
  <c r="A224" i="88"/>
  <c r="I222" i="88"/>
  <c r="C222" i="88"/>
  <c r="A222" i="88"/>
  <c r="A221" i="88"/>
  <c r="A220" i="88"/>
  <c r="D212" i="88"/>
  <c r="D213" i="88"/>
  <c r="D214" i="88"/>
  <c r="D215" i="88"/>
  <c r="F212" i="88"/>
  <c r="G212" i="88"/>
  <c r="I212" i="88"/>
  <c r="F213" i="88"/>
  <c r="G213" i="88"/>
  <c r="I213" i="88"/>
  <c r="F214" i="88"/>
  <c r="I214" i="88"/>
  <c r="I215" i="88"/>
  <c r="C215" i="88"/>
  <c r="A215" i="88"/>
  <c r="G214" i="88"/>
  <c r="C214" i="88"/>
  <c r="A214" i="88"/>
  <c r="C213" i="88"/>
  <c r="A213" i="88"/>
  <c r="C212" i="88"/>
  <c r="D208" i="88"/>
  <c r="C208" i="88"/>
  <c r="A208" i="88"/>
  <c r="A207" i="88"/>
  <c r="A206" i="88"/>
  <c r="A205" i="88"/>
  <c r="D198" i="88"/>
  <c r="I189" i="88"/>
  <c r="I190" i="88"/>
  <c r="I192" i="88"/>
  <c r="I194" i="88"/>
  <c r="F198" i="88"/>
  <c r="G198" i="88"/>
  <c r="G202" i="88"/>
  <c r="I202" i="88"/>
  <c r="D199" i="88"/>
  <c r="F199" i="88"/>
  <c r="G199" i="88"/>
  <c r="D202" i="88"/>
  <c r="C202" i="88"/>
  <c r="A202" i="88"/>
  <c r="L199" i="88"/>
  <c r="L200" i="88"/>
  <c r="L201" i="88"/>
  <c r="A201" i="88"/>
  <c r="A200" i="88"/>
  <c r="C199" i="88"/>
  <c r="A199" i="88"/>
  <c r="C198" i="88"/>
  <c r="C194" i="88"/>
  <c r="A194" i="88"/>
  <c r="C192" i="88"/>
  <c r="A192" i="88"/>
  <c r="A191" i="88"/>
  <c r="C190" i="88"/>
  <c r="A190" i="88"/>
  <c r="C189" i="88"/>
  <c r="C183" i="88"/>
  <c r="C182" i="88"/>
  <c r="K180" i="88"/>
  <c r="C179" i="88"/>
  <c r="K177" i="88"/>
  <c r="L174" i="88"/>
  <c r="G125" i="88"/>
  <c r="I125" i="88"/>
  <c r="D125" i="88"/>
  <c r="G126" i="88"/>
  <c r="I126" i="88"/>
  <c r="D126" i="88"/>
  <c r="G127" i="88"/>
  <c r="D127" i="88"/>
  <c r="I127" i="88"/>
  <c r="D128" i="88"/>
  <c r="D129" i="88"/>
  <c r="G129" i="88"/>
  <c r="I129" i="88"/>
  <c r="D130" i="88"/>
  <c r="D131" i="88"/>
  <c r="G131" i="88"/>
  <c r="I131" i="88"/>
  <c r="D132" i="88"/>
  <c r="D134" i="88"/>
  <c r="G134" i="88"/>
  <c r="I134" i="88"/>
  <c r="D135" i="88"/>
  <c r="G135" i="88"/>
  <c r="I135" i="88"/>
  <c r="G140" i="88"/>
  <c r="I140" i="88"/>
  <c r="I143" i="88"/>
  <c r="L143" i="88"/>
  <c r="D140" i="88"/>
  <c r="G141" i="88"/>
  <c r="D141" i="88"/>
  <c r="I141" i="88"/>
  <c r="G146" i="88"/>
  <c r="D146" i="88"/>
  <c r="I146" i="88"/>
  <c r="I153" i="88"/>
  <c r="L153" i="88"/>
  <c r="D156" i="88"/>
  <c r="G156" i="88"/>
  <c r="I156" i="88"/>
  <c r="D165" i="88"/>
  <c r="G165" i="88"/>
  <c r="I165" i="88"/>
  <c r="M165" i="88"/>
  <c r="L165" i="88"/>
  <c r="D170" i="88"/>
  <c r="I170" i="88"/>
  <c r="D173" i="88"/>
  <c r="I173" i="88"/>
  <c r="D137" i="88"/>
  <c r="D143" i="88"/>
  <c r="D153" i="88"/>
  <c r="D162" i="88"/>
  <c r="D167" i="88"/>
  <c r="D174" i="88"/>
  <c r="C174" i="88"/>
  <c r="A174" i="88"/>
  <c r="C173" i="88"/>
  <c r="C170" i="88"/>
  <c r="A169" i="88"/>
  <c r="M125" i="88"/>
  <c r="M126" i="88"/>
  <c r="M127" i="88"/>
  <c r="L70" i="88"/>
  <c r="L79" i="88"/>
  <c r="L128" i="88"/>
  <c r="M128" i="88"/>
  <c r="M129" i="88"/>
  <c r="L130" i="88"/>
  <c r="M130" i="88"/>
  <c r="M131" i="88"/>
  <c r="L132" i="88"/>
  <c r="M132" i="88"/>
  <c r="M134" i="88"/>
  <c r="M137" i="88"/>
  <c r="M141" i="88"/>
  <c r="M140" i="88"/>
  <c r="M143" i="88"/>
  <c r="M146" i="88"/>
  <c r="M153" i="88"/>
  <c r="M156" i="88"/>
  <c r="M167" i="88"/>
  <c r="N167" i="88"/>
  <c r="O167" i="88"/>
  <c r="C167" i="88"/>
  <c r="A167" i="88"/>
  <c r="N165" i="88"/>
  <c r="O165" i="88"/>
  <c r="C165" i="88"/>
  <c r="C162" i="88"/>
  <c r="A162" i="88"/>
  <c r="A161" i="88"/>
  <c r="A160" i="88"/>
  <c r="A159" i="88"/>
  <c r="A158" i="88"/>
  <c r="A157" i="88"/>
  <c r="N156" i="88"/>
  <c r="C156" i="88"/>
  <c r="A156" i="88"/>
  <c r="C155" i="88"/>
  <c r="N153" i="88"/>
  <c r="O153" i="88"/>
  <c r="C153" i="88"/>
  <c r="A153" i="88"/>
  <c r="M152" i="88"/>
  <c r="A152" i="88"/>
  <c r="M151" i="88"/>
  <c r="A151" i="88"/>
  <c r="M150" i="88"/>
  <c r="A150" i="88"/>
  <c r="M149" i="88"/>
  <c r="A149" i="88"/>
  <c r="M148" i="88"/>
  <c r="A148" i="88"/>
  <c r="M147" i="88"/>
  <c r="A147" i="88"/>
  <c r="C146" i="88"/>
  <c r="A146" i="88"/>
  <c r="N143" i="88"/>
  <c r="O143" i="88"/>
  <c r="C143" i="88"/>
  <c r="A143" i="88"/>
  <c r="M142" i="88"/>
  <c r="A142" i="88"/>
  <c r="F141" i="88"/>
  <c r="C141" i="88"/>
  <c r="A141" i="88"/>
  <c r="C140" i="88"/>
  <c r="A140" i="88"/>
  <c r="N137" i="88"/>
  <c r="O137" i="88"/>
  <c r="C137" i="88"/>
  <c r="A137" i="88"/>
  <c r="M136" i="88"/>
  <c r="A136" i="88"/>
  <c r="C135" i="88"/>
  <c r="C134" i="88"/>
  <c r="M133" i="88"/>
  <c r="A133" i="88"/>
  <c r="F132" i="88"/>
  <c r="C132" i="88"/>
  <c r="F131" i="88"/>
  <c r="C131" i="88"/>
  <c r="C130" i="88"/>
  <c r="A130" i="88"/>
  <c r="F129" i="88"/>
  <c r="C129" i="88"/>
  <c r="A129" i="88"/>
  <c r="C128" i="88"/>
  <c r="A128" i="88"/>
  <c r="N127" i="88"/>
  <c r="O127" i="88"/>
  <c r="F127" i="88"/>
  <c r="C127" i="88"/>
  <c r="A127" i="88"/>
  <c r="F126" i="88"/>
  <c r="C126" i="88"/>
  <c r="C125" i="88"/>
  <c r="C120" i="88"/>
  <c r="C119" i="88"/>
  <c r="K117" i="88"/>
  <c r="C116" i="88"/>
  <c r="K114" i="88"/>
  <c r="N112" i="88"/>
  <c r="D67" i="88"/>
  <c r="M67" i="88"/>
  <c r="D76" i="88"/>
  <c r="M76" i="88"/>
  <c r="M85" i="88"/>
  <c r="D68" i="88"/>
  <c r="M68" i="88"/>
  <c r="M86" i="88"/>
  <c r="D70" i="88"/>
  <c r="M70" i="88"/>
  <c r="D79" i="88"/>
  <c r="M79" i="88"/>
  <c r="M88" i="88"/>
  <c r="M90" i="88"/>
  <c r="D95" i="88"/>
  <c r="D99" i="88"/>
  <c r="D102" i="88"/>
  <c r="M102" i="88"/>
  <c r="D104" i="88"/>
  <c r="M104" i="88"/>
  <c r="D108" i="88"/>
  <c r="M108" i="88"/>
  <c r="D109" i="88"/>
  <c r="M109" i="88"/>
  <c r="M110" i="88"/>
  <c r="M112" i="88"/>
  <c r="G108" i="88"/>
  <c r="I108" i="88"/>
  <c r="I110" i="88"/>
  <c r="G109" i="88"/>
  <c r="I109" i="88"/>
  <c r="G104" i="88"/>
  <c r="I104" i="88"/>
  <c r="G95" i="88"/>
  <c r="I95" i="88"/>
  <c r="I102" i="88"/>
  <c r="G99" i="88"/>
  <c r="I99" i="88"/>
  <c r="G67" i="88"/>
  <c r="I67" i="88"/>
  <c r="G76" i="88"/>
  <c r="I76" i="88"/>
  <c r="G68" i="88"/>
  <c r="I68" i="88"/>
  <c r="I86" i="88"/>
  <c r="D110" i="88"/>
  <c r="D66" i="88"/>
  <c r="D75" i="88"/>
  <c r="D84" i="88"/>
  <c r="D85" i="88"/>
  <c r="D86" i="88"/>
  <c r="D69" i="88"/>
  <c r="D78" i="88"/>
  <c r="D87" i="88"/>
  <c r="D88" i="88"/>
  <c r="D90" i="88"/>
  <c r="D112" i="88"/>
  <c r="C112" i="88"/>
  <c r="A112" i="88"/>
  <c r="C110" i="88"/>
  <c r="A110" i="88"/>
  <c r="C109" i="88"/>
  <c r="A109" i="88"/>
  <c r="C108" i="88"/>
  <c r="A108" i="88"/>
  <c r="M107" i="88"/>
  <c r="A107" i="88"/>
  <c r="C104" i="88"/>
  <c r="A104" i="88"/>
  <c r="C102" i="88"/>
  <c r="A102" i="88"/>
  <c r="A101" i="88"/>
  <c r="A100" i="88"/>
  <c r="M99" i="88"/>
  <c r="C99" i="88"/>
  <c r="A99" i="88"/>
  <c r="A98" i="88"/>
  <c r="A97" i="88"/>
  <c r="M95" i="88"/>
  <c r="C95" i="88"/>
  <c r="A95" i="88"/>
  <c r="C90" i="88"/>
  <c r="A90" i="88"/>
  <c r="A89" i="88"/>
  <c r="C88" i="88"/>
  <c r="A88" i="88"/>
  <c r="C87" i="88"/>
  <c r="A87" i="88"/>
  <c r="C86" i="88"/>
  <c r="A86" i="88"/>
  <c r="N85" i="88"/>
  <c r="C85" i="88"/>
  <c r="A85" i="88"/>
  <c r="C84" i="88"/>
  <c r="A84" i="88"/>
  <c r="M81" i="88"/>
  <c r="D81" i="88"/>
  <c r="C81" i="88"/>
  <c r="A81" i="88"/>
  <c r="A80" i="88"/>
  <c r="C79" i="88"/>
  <c r="A79" i="88"/>
  <c r="G78" i="88"/>
  <c r="C78" i="88"/>
  <c r="A78" i="88"/>
  <c r="A77" i="88"/>
  <c r="N76" i="88"/>
  <c r="C76" i="88"/>
  <c r="A76" i="88"/>
  <c r="C75" i="88"/>
  <c r="A75" i="88"/>
  <c r="M72" i="88"/>
  <c r="D72" i="88"/>
  <c r="C72" i="88"/>
  <c r="A72" i="88"/>
  <c r="A71" i="88"/>
  <c r="C70" i="88"/>
  <c r="A70" i="88"/>
  <c r="C69" i="88"/>
  <c r="A69" i="88"/>
  <c r="C68" i="88"/>
  <c r="A68" i="88"/>
  <c r="N67" i="88"/>
  <c r="C67" i="88"/>
  <c r="A67" i="88"/>
  <c r="C66" i="88"/>
  <c r="C60" i="88"/>
  <c r="C59" i="88"/>
  <c r="K57" i="88"/>
  <c r="C56" i="88"/>
  <c r="K54" i="88"/>
  <c r="I52" i="88"/>
  <c r="A52" i="88"/>
  <c r="I51" i="88"/>
  <c r="A51" i="88"/>
  <c r="I32" i="88"/>
  <c r="I39" i="88"/>
  <c r="D15" i="88"/>
  <c r="I15" i="88"/>
  <c r="D16" i="88"/>
  <c r="I16" i="88"/>
  <c r="I19" i="88"/>
  <c r="D21" i="88"/>
  <c r="I21" i="88"/>
  <c r="C48" i="88"/>
  <c r="A48" i="88"/>
  <c r="C47" i="88"/>
  <c r="A47" i="88"/>
  <c r="C46" i="88"/>
  <c r="A46" i="88"/>
  <c r="C42" i="88"/>
  <c r="A42" i="88"/>
  <c r="C41" i="88"/>
  <c r="A41" i="88"/>
  <c r="C39" i="88"/>
  <c r="B39" i="88"/>
  <c r="A39" i="88"/>
  <c r="A38" i="88"/>
  <c r="A37" i="88"/>
  <c r="A36" i="88"/>
  <c r="A35" i="88"/>
  <c r="A34" i="88"/>
  <c r="A33" i="88"/>
  <c r="C32" i="88"/>
  <c r="A32" i="88"/>
  <c r="M28" i="88"/>
  <c r="C28" i="88"/>
  <c r="I26" i="88"/>
  <c r="C26" i="88"/>
  <c r="I25" i="88"/>
  <c r="C25" i="88"/>
  <c r="M23" i="88"/>
  <c r="C23" i="88"/>
  <c r="M21" i="88"/>
  <c r="N21" i="88"/>
  <c r="C21" i="88"/>
  <c r="A21" i="88"/>
  <c r="C19" i="88"/>
  <c r="A19" i="88"/>
  <c r="A18" i="88"/>
  <c r="A17" i="88"/>
  <c r="C16" i="88"/>
  <c r="B16" i="88"/>
  <c r="A16" i="88"/>
  <c r="C15" i="88"/>
  <c r="B15" i="88"/>
  <c r="A15" i="88"/>
  <c r="C12" i="88"/>
  <c r="L10" i="88"/>
  <c r="C7" i="88"/>
  <c r="G128" i="88"/>
  <c r="I128" i="88"/>
  <c r="G132" i="88"/>
  <c r="I132" i="88"/>
  <c r="G79" i="88"/>
  <c r="I79" i="88"/>
  <c r="I81" i="88"/>
  <c r="G130" i="88"/>
  <c r="I130" i="88"/>
  <c r="I137" i="88"/>
  <c r="G70" i="88"/>
  <c r="I70" i="88"/>
  <c r="I162" i="88"/>
  <c r="L156" i="88"/>
  <c r="I85" i="88"/>
  <c r="I72" i="88"/>
  <c r="I167" i="88"/>
  <c r="I174" i="88"/>
  <c r="L137" i="88"/>
  <c r="I88" i="88"/>
  <c r="I90" i="88"/>
  <c r="I112" i="88"/>
  <c r="M174" i="88"/>
  <c r="I12" i="88"/>
  <c r="I23" i="88"/>
  <c r="I28" i="88"/>
  <c r="N23" i="88"/>
  <c r="D41" i="88"/>
  <c r="N28" i="88"/>
  <c r="I46" i="88"/>
  <c r="I48" i="88"/>
  <c r="D48" i="88"/>
  <c r="D47" i="88"/>
  <c r="D46" i="88"/>
  <c r="I47" i="88"/>
  <c r="D42" i="88"/>
</calcChain>
</file>

<file path=xl/sharedStrings.xml><?xml version="1.0" encoding="utf-8"?>
<sst xmlns="http://schemas.openxmlformats.org/spreadsheetml/2006/main" count="3568" uniqueCount="1875">
  <si>
    <t>Other.</t>
  </si>
  <si>
    <t>Liberalized tax depreciation.</t>
  </si>
  <si>
    <t>Plant basis difference.</t>
  </si>
  <si>
    <t>Intangible and General plant</t>
  </si>
  <si>
    <t>Securitized Plant Related.</t>
  </si>
  <si>
    <t>Production cost related.</t>
  </si>
  <si>
    <t>Mark to market of purchase power contracts.</t>
  </si>
  <si>
    <t>Miscellaneous including Account 186</t>
  </si>
  <si>
    <t>Transmission related costs deducted as repairs for tax and capitalized for books.</t>
  </si>
  <si>
    <t>Account 182357 - Regulatory Asset - 30Yr Retail</t>
  </si>
  <si>
    <t>Prepaid costs in FERC account 165 that were deducted for tax.</t>
  </si>
  <si>
    <t xml:space="preserve">Total </t>
  </si>
  <si>
    <t>Taxes Other Than Income</t>
  </si>
  <si>
    <t>FICA</t>
  </si>
  <si>
    <t>Fed Unemployment</t>
  </si>
  <si>
    <t>State Unemployment</t>
  </si>
  <si>
    <t>Gross Receipts &amp; Sales Tax</t>
  </si>
  <si>
    <t>Use Tax</t>
  </si>
  <si>
    <t>Gross Receipts Privilege Tax</t>
  </si>
  <si>
    <t>State Excise Tax</t>
  </si>
  <si>
    <t>Federal Excise Tax</t>
  </si>
  <si>
    <t>Capital Stock Franchise</t>
  </si>
  <si>
    <t>Regulatory commission</t>
  </si>
  <si>
    <t>Railcar</t>
  </si>
  <si>
    <t>Non Income Taxes</t>
  </si>
  <si>
    <t>Distribution</t>
  </si>
  <si>
    <t xml:space="preserve">Composite Income Taxes                                                                                                       </t>
  </si>
  <si>
    <t>Annual Point-to-Point Transmission Rate</t>
  </si>
  <si>
    <t>Net Adjusted Revenue Requirement</t>
  </si>
  <si>
    <t>T = 1-{[(1-SIT) * (1-FIT)]/(1-SIT * FIT * p)}</t>
  </si>
  <si>
    <t>Year</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</si>
  <si>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</si>
  <si>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</si>
  <si>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</si>
  <si>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</si>
  <si>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</si>
  <si>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</si>
  <si>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</si>
  <si>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</si>
  <si>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</si>
  <si>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</si>
  <si>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</si>
  <si>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</si>
  <si>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</si>
  <si>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</si>
  <si>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</si>
  <si>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</si>
  <si>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</si>
  <si>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</si>
  <si>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</si>
  <si>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</si>
  <si>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</si>
  <si>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</si>
  <si>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</si>
  <si>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</si>
  <si>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</si>
  <si>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</si>
  <si>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</si>
  <si>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</si>
  <si>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</si>
  <si>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</si>
  <si>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</si>
  <si>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</si>
  <si>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</si>
  <si>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</si>
  <si>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</si>
  <si>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</si>
  <si>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</si>
  <si>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</si>
  <si>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</si>
  <si>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</si>
  <si>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</si>
  <si>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</si>
  <si>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</si>
  <si>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</si>
  <si>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</si>
  <si>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</si>
  <si>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</si>
  <si>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</si>
  <si>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</si>
  <si>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</si>
  <si>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</si>
  <si>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</si>
  <si>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</si>
  <si>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</si>
  <si>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</si>
  <si>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</si>
  <si>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</si>
  <si>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</si>
  <si>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</si>
  <si>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</si>
  <si>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</si>
  <si>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</si>
  <si>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</si>
  <si>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</si>
  <si>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</si>
  <si>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</si>
  <si>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</si>
  <si>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</si>
  <si>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</si>
  <si>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</si>
  <si>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</si>
  <si>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</si>
  <si>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</si>
  <si>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</si>
  <si>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</si>
  <si>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</si>
  <si>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</si>
  <si>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</si>
  <si>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</si>
  <si>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</si>
  <si>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</si>
  <si>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</si>
  <si>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</si>
  <si>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</si>
  <si>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</si>
  <si>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</si>
  <si>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</si>
  <si>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</si>
  <si>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</si>
  <si>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</si>
  <si>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</si>
  <si>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</si>
  <si>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</si>
  <si>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</si>
  <si>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</si>
  <si>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</si>
  <si>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</si>
  <si>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</si>
  <si>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</si>
  <si>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</si>
  <si>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</si>
  <si>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Electric portion only</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</si>
  <si>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</si>
  <si>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</si>
  <si>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</si>
  <si>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</si>
  <si>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</si>
  <si>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</si>
  <si>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</si>
  <si>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</si>
  <si>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</si>
  <si>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</si>
  <si>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</si>
  <si>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</si>
  <si>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</si>
  <si>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</si>
  <si>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</si>
  <si>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Cash working capital allowance is 0.00% of O&amp;M</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</si>
  <si>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</si>
  <si>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</si>
  <si>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</si>
  <si>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</si>
  <si>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</si>
  <si>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</si>
  <si>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</si>
  <si>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</si>
  <si>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</si>
  <si>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</si>
  <si>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</si>
  <si>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</si>
  <si>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</si>
  <si>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</si>
  <si>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</si>
  <si>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</si>
  <si>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</si>
  <si>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</si>
  <si>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</si>
  <si>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</si>
  <si>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</si>
  <si>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</si>
  <si>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</si>
  <si>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</si>
  <si>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 xml:space="preserve">Includes all Regulatory Commission Expenses </t>
  </si>
  <si>
    <t>H</t>
  </si>
  <si>
    <t>Entergy Arkansas, Inc.</t>
  </si>
  <si>
    <t>(1)</t>
  </si>
  <si>
    <t>Generation</t>
  </si>
  <si>
    <t>General Plant</t>
  </si>
  <si>
    <t>Attachment O</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</si>
  <si>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</si>
  <si>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</si>
  <si>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</si>
  <si>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</si>
  <si>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</si>
  <si>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</si>
  <si>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</si>
  <si>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</si>
  <si>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</si>
  <si>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</si>
  <si>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</si>
  <si>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</si>
  <si>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</si>
  <si>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</si>
  <si>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</si>
  <si>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</si>
  <si>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</si>
  <si>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</si>
  <si>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</si>
  <si>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</si>
  <si>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Nuclear plant related.</t>
  </si>
  <si>
    <t>Reserve for Property insurance - a book accrual.</t>
  </si>
  <si>
    <t>Property O&amp;M repair costs for book required to be depreciated for tax.</t>
  </si>
  <si>
    <t>Reserve for Injuries and Damages - a book accrual.</t>
  </si>
  <si>
    <t>Customer deposit recorded in account 253</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</si>
  <si>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</si>
  <si>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</si>
  <si>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</si>
  <si>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</si>
  <si>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</si>
  <si>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</si>
  <si>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</si>
  <si>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</si>
  <si>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Deferred directors compensation.</t>
  </si>
  <si>
    <t>FERC account 229 - Accum provision for rate refund not deducted for tax.</t>
  </si>
  <si>
    <t>EAI Retail AFUDC disallowance.</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</si>
  <si>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</si>
  <si>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</si>
  <si>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</si>
  <si>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</si>
  <si>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</si>
  <si>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</si>
  <si>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</si>
  <si>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</si>
  <si>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</si>
  <si>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</si>
  <si>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</si>
  <si>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</si>
  <si>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</si>
  <si>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Accrued interest on tax deficiencies - FIN48 accrued interest.</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</si>
  <si>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</si>
  <si>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</si>
  <si>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</si>
  <si>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</si>
  <si>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</si>
  <si>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</si>
  <si>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</si>
  <si>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</si>
  <si>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</si>
  <si>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</si>
  <si>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</si>
  <si>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</si>
  <si>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</si>
  <si>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</si>
  <si>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</si>
  <si>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</si>
  <si>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</si>
  <si>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</si>
  <si>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</si>
  <si>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</si>
  <si>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</si>
  <si>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</si>
  <si>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</si>
  <si>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</si>
  <si>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</si>
  <si>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</si>
  <si>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</si>
  <si>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</si>
  <si>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</si>
  <si>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</si>
  <si>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</si>
  <si>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</si>
  <si>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</si>
  <si>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</si>
  <si>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</si>
  <si>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</si>
  <si>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</si>
  <si>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</si>
  <si>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</si>
  <si>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</si>
  <si>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</si>
  <si>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</si>
  <si>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</si>
  <si>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</si>
  <si>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</si>
  <si>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</si>
  <si>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</si>
  <si>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</si>
  <si>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</si>
  <si>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</si>
  <si>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</si>
  <si>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302-Franchises and Consents (30 year life)</t>
  </si>
  <si>
    <t>302-Franchises and Consents (50 year life)</t>
  </si>
  <si>
    <t>303-Miscellaneous Intangible Plant (5 year life)</t>
  </si>
  <si>
    <t>303-Miscellaneous Intangible Plant (10 year life)</t>
  </si>
  <si>
    <t>ESI - Administrative &amp; General</t>
  </si>
  <si>
    <t>FERC Form 1  Page # or Reference</t>
  </si>
  <si>
    <t>Employee tax credit carry forwards.</t>
  </si>
  <si>
    <t>Federal ADIT on state tax accruals is related to net operating loss carry forward.</t>
  </si>
  <si>
    <t>Tax deduction when reacquired, book amortizes to expense.</t>
  </si>
  <si>
    <t>Ln</t>
  </si>
  <si>
    <t>Debt Capitalization</t>
  </si>
  <si>
    <t>Preferred Capitalization</t>
  </si>
  <si>
    <t>Common Capitalization</t>
  </si>
  <si>
    <t>FERC Annual Interest Rate</t>
  </si>
  <si>
    <t>X</t>
  </si>
  <si>
    <t>Y</t>
  </si>
  <si>
    <t>Z</t>
  </si>
  <si>
    <t>AA</t>
  </si>
  <si>
    <t>W</t>
  </si>
  <si>
    <t>Average of the 12 CP (kW)</t>
  </si>
  <si>
    <t>Less Attachment GG Adj.</t>
  </si>
  <si>
    <t>Less Attachment MM Adj.</t>
  </si>
  <si>
    <t>Hot Spring Power Block 1 - Prod. Other - EAI 1800</t>
  </si>
  <si>
    <t>Ouachita Plant Common - Prod. Other - 1500</t>
  </si>
  <si>
    <t>Ouachita Plant Unit 1 - Prod. Other - EAI - 1501</t>
  </si>
  <si>
    <t>Ouachita Plant Unit 2 - Prod. Other - EAI - 1502</t>
  </si>
  <si>
    <t>Ouachita Plant Unit 3 - Prod. Other - EGSL - 1503</t>
  </si>
  <si>
    <t>Asset Location</t>
  </si>
  <si>
    <t>Ouachita 500KV Switch Yard-EAI-LA - 2019</t>
  </si>
  <si>
    <t>930.2 - Misc. General Expense</t>
  </si>
  <si>
    <t>931 - Rents</t>
  </si>
  <si>
    <t>VSP (Severance)</t>
  </si>
  <si>
    <t>Account 1823HC - HCM Deferral</t>
  </si>
  <si>
    <t>MISO cost deferral account 1823MD.</t>
  </si>
  <si>
    <t>Ice Storm Related.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</si>
  <si>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</si>
  <si>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</si>
  <si>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</si>
  <si>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</si>
  <si>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</si>
  <si>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</si>
  <si>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</si>
  <si>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</si>
  <si>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</si>
  <si>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</si>
  <si>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</si>
  <si>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</si>
  <si>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</si>
  <si>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</si>
  <si>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Depreciation Expense</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</si>
  <si>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</si>
  <si>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</si>
  <si>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</si>
  <si>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</si>
  <si>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</si>
  <si>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</si>
  <si>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</si>
  <si>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</si>
  <si>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</si>
  <si>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</si>
  <si>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</si>
  <si>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</si>
  <si>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</si>
  <si>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</si>
  <si>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</si>
  <si>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</si>
  <si>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</si>
  <si>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</si>
  <si>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</si>
  <si>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</si>
  <si>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</si>
  <si>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</si>
  <si>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</si>
  <si>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</si>
  <si>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</si>
  <si>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</si>
  <si>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</si>
  <si>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</si>
  <si>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</si>
  <si>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</si>
  <si>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</si>
  <si>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</si>
  <si>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</si>
  <si>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</si>
  <si>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</si>
  <si>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</si>
  <si>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</si>
  <si>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</si>
  <si>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</si>
  <si>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</si>
  <si>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</si>
  <si>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</si>
  <si>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</si>
  <si>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</si>
  <si>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</si>
  <si>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</si>
  <si>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</si>
  <si>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</si>
  <si>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</si>
  <si>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</si>
  <si>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</si>
  <si>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</si>
  <si>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</si>
  <si>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</si>
  <si>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</si>
  <si>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</si>
  <si>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</si>
  <si>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</si>
  <si>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</si>
  <si>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</si>
  <si>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</si>
  <si>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</si>
  <si>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</si>
  <si>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</si>
  <si>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</si>
  <si>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</si>
  <si>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</si>
  <si>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</si>
  <si>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</si>
  <si>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</si>
  <si>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</si>
  <si>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</si>
  <si>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</si>
  <si>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</si>
  <si>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</si>
  <si>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</si>
  <si>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</si>
  <si>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</si>
  <si>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</si>
  <si>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</si>
  <si>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</si>
  <si>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</si>
  <si>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</si>
  <si>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</si>
  <si>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</si>
  <si>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</si>
  <si>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</si>
  <si>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</si>
  <si>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</si>
  <si>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</si>
  <si>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</si>
  <si>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</si>
  <si>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</si>
  <si>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</si>
  <si>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</si>
  <si>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</si>
  <si>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</si>
  <si>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</si>
  <si>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Attachment O-EAI</t>
  </si>
  <si>
    <t>Included Transmission</t>
  </si>
  <si>
    <t>Excluded Transmission</t>
  </si>
  <si>
    <t>Production</t>
  </si>
  <si>
    <t>Intangible</t>
  </si>
  <si>
    <t>13-Mo Avg</t>
  </si>
  <si>
    <t xml:space="preserve">I </t>
  </si>
  <si>
    <t>Adjustments To Rate Base</t>
  </si>
  <si>
    <t>Alt Min tax credit carry forwards caused by a preference on tax depreciation.</t>
  </si>
  <si>
    <t>Fed NOL carry forward is related to all tax deductions including bonus tax deprec.</t>
  </si>
  <si>
    <t>State NOL carry forward is related to all tax deductions including bonus tax deprec.</t>
  </si>
  <si>
    <t>Subtotal ADIT</t>
  </si>
  <si>
    <t>Gas, Prod Or Other Related</t>
  </si>
  <si>
    <t>Transmission Only Related</t>
  </si>
  <si>
    <t>Projected: End of Year</t>
  </si>
  <si>
    <t>N/A</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</si>
  <si>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</si>
  <si>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</si>
  <si>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</si>
  <si>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</si>
  <si>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</si>
  <si>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</si>
  <si>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</si>
  <si>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</si>
  <si>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</si>
  <si>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</si>
  <si>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</si>
  <si>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</si>
  <si>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</si>
  <si>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</si>
  <si>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Transmission Pricing Zone</t>
  </si>
  <si>
    <t>EATO</t>
  </si>
  <si>
    <t>Avg 12 CP</t>
  </si>
  <si>
    <t>Peak Day</t>
  </si>
  <si>
    <t>Peak Hr</t>
  </si>
  <si>
    <t>Network Customers</t>
  </si>
  <si>
    <t>Long Term Firm PTP</t>
  </si>
  <si>
    <t>OpCo Native Load</t>
  </si>
  <si>
    <t>EAMP</t>
  </si>
  <si>
    <t>TPZ load</t>
  </si>
  <si>
    <t xml:space="preserve"> I</t>
  </si>
  <si>
    <t xml:space="preserve"> J</t>
  </si>
  <si>
    <t xml:space="preserve"> K</t>
  </si>
  <si>
    <t xml:space="preserve"> L</t>
  </si>
  <si>
    <t xml:space="preserve"> M</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</si>
  <si>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</si>
  <si>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</si>
  <si>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</si>
  <si>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</si>
  <si>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</si>
  <si>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</si>
  <si>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</si>
  <si>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</si>
  <si>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</si>
  <si>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</si>
  <si>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</si>
  <si>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</si>
  <si>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</si>
  <si>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</si>
  <si>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</si>
  <si>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</si>
  <si>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</si>
  <si>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</si>
  <si>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228102 - EAI 2009 Ice Storm Non-Retail</t>
  </si>
  <si>
    <t>228151 - Insurance Proceeds-O&amp;M</t>
  </si>
  <si>
    <t>2281LB - Storm Damage Reserve Lock Box</t>
  </si>
  <si>
    <t>Accumulated Provision for Property Insurance</t>
  </si>
  <si>
    <t>Accumulated Provision for Pensions and Benefits</t>
  </si>
  <si>
    <t>Accumulated Miscellaneous Operating Provisions</t>
  </si>
  <si>
    <t>Income Tax Adjustments</t>
  </si>
  <si>
    <t>Total General &amp; Intangible Accumulated Depreciation</t>
  </si>
  <si>
    <t>Transmission O&amp;M (EOY)</t>
  </si>
  <si>
    <t>Allocated General Expenses (EOY)</t>
  </si>
  <si>
    <t>Adjusted A&amp;G</t>
  </si>
  <si>
    <t>Depreciation Expense (EOY)</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</si>
  <si>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</si>
  <si>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</si>
  <si>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</si>
  <si>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</si>
  <si>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</si>
  <si>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</si>
  <si>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</si>
  <si>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</si>
  <si>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</si>
  <si>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</si>
  <si>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</si>
  <si>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</si>
  <si>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</si>
  <si>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</si>
  <si>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Irrigation Load Control Amortization</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</si>
  <si>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</si>
  <si>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</si>
  <si>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</si>
  <si>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</si>
  <si>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</si>
  <si>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</si>
  <si>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</si>
  <si>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</si>
  <si>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</si>
  <si>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</si>
  <si>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</si>
  <si>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</si>
  <si>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</si>
  <si>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</si>
  <si>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</si>
  <si>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</si>
  <si>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</si>
  <si>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</si>
  <si>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</si>
  <si>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</si>
  <si>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</si>
  <si>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</si>
  <si>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</si>
  <si>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</si>
  <si>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</si>
  <si>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</si>
  <si>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</si>
  <si>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</si>
  <si>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</si>
  <si>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</si>
  <si>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</si>
  <si>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</si>
  <si>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</si>
  <si>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</si>
  <si>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</si>
  <si>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</si>
  <si>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</si>
  <si>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</si>
  <si>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</si>
  <si>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</si>
  <si>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</si>
  <si>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</si>
  <si>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</si>
  <si>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</si>
  <si>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</si>
  <si>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p.200.21c</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</si>
  <si>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</si>
  <si>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</si>
  <si>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</si>
  <si>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</si>
  <si>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</si>
  <si>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FF</t>
  </si>
  <si>
    <t>GG</t>
  </si>
  <si>
    <t>HH</t>
  </si>
  <si>
    <t>II</t>
  </si>
  <si>
    <t>JJ</t>
  </si>
  <si>
    <t>KK</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</si>
  <si>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</si>
  <si>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</si>
  <si>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</si>
  <si>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</si>
  <si>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</si>
  <si>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</si>
  <si>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</si>
  <si>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</si>
  <si>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</si>
  <si>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</si>
  <si>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</si>
  <si>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</si>
  <si>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</si>
  <si>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</si>
  <si>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</si>
  <si>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</si>
  <si>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</si>
  <si>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p.214.47.d</t>
  </si>
  <si>
    <t>Less FASB 109 Above (Footnote p.234)</t>
  </si>
  <si>
    <t>Less FASB 109 p.276 &amp; 277 Footnote</t>
  </si>
  <si>
    <t>Total ADIT 283 Less FASB 109</t>
  </si>
  <si>
    <t>Related</t>
  </si>
  <si>
    <t>Account 561</t>
  </si>
  <si>
    <t>p. 351.h</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</si>
  <si>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</si>
  <si>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</si>
  <si>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</si>
  <si>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</si>
  <si>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</si>
  <si>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</si>
  <si>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</si>
  <si>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</si>
  <si>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</si>
  <si>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</si>
  <si>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</si>
  <si>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</si>
  <si>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</si>
  <si>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</si>
  <si>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</si>
  <si>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</si>
  <si>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p.400.1.b</t>
  </si>
  <si>
    <t>p.400.2.b</t>
  </si>
  <si>
    <t>p.400.3.b</t>
  </si>
  <si>
    <t>p.400.5.b</t>
  </si>
  <si>
    <t>p.400.6.b</t>
  </si>
  <si>
    <t>p.400.7.b</t>
  </si>
  <si>
    <t>p.400.9.b</t>
  </si>
  <si>
    <t>p.400.10.b</t>
  </si>
  <si>
    <t>p.400.11.b</t>
  </si>
  <si>
    <t>p.400.13.b</t>
  </si>
  <si>
    <t>p.400.14.b</t>
  </si>
  <si>
    <t>p.400.15.b</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</si>
  <si>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</si>
  <si>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</si>
  <si>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</si>
  <si>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</si>
  <si>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</si>
  <si>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</si>
  <si>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</si>
  <si>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</si>
  <si>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</si>
  <si>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</si>
  <si>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</si>
  <si>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</si>
  <si>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</si>
  <si>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</si>
  <si>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</si>
  <si>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</si>
  <si>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</si>
  <si>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</si>
  <si>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</si>
  <si>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</si>
  <si>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</si>
  <si>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</si>
  <si>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</si>
  <si>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</si>
  <si>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</si>
  <si>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</si>
  <si>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</si>
  <si>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</si>
  <si>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</si>
  <si>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</si>
  <si>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</si>
  <si>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</si>
  <si>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</si>
  <si>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</si>
  <si>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</si>
  <si>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</si>
  <si>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</si>
  <si>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</si>
  <si>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</si>
  <si>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</si>
  <si>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</si>
  <si>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</si>
  <si>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</si>
  <si>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</si>
  <si>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</si>
  <si>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</si>
  <si>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</si>
  <si>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</si>
  <si>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</si>
  <si>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</si>
  <si>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</si>
  <si>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</si>
  <si>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</si>
  <si>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</si>
  <si>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</si>
  <si>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</si>
  <si>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</si>
  <si>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</si>
  <si>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</si>
  <si>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</si>
  <si>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</si>
  <si>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</si>
  <si>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</si>
  <si>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</si>
  <si>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</si>
  <si>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</si>
  <si>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</si>
  <si>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</si>
  <si>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</si>
  <si>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</si>
  <si>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</si>
  <si>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</si>
  <si>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</si>
  <si>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</si>
  <si>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</si>
  <si>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</si>
  <si>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</si>
  <si>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</si>
  <si>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</si>
  <si>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</si>
  <si>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</si>
  <si>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</si>
  <si>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</si>
  <si>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</si>
  <si>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</si>
  <si>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</si>
  <si>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</si>
  <si>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</si>
  <si>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</si>
  <si>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</si>
  <si>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</si>
  <si>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</si>
  <si>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</si>
  <si>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</si>
  <si>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WP02 - Cost Support</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</si>
  <si>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</si>
  <si>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</si>
  <si>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</si>
  <si>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</si>
  <si>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</si>
  <si>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</si>
  <si>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</si>
  <si>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</si>
  <si>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</si>
  <si>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</si>
  <si>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</si>
  <si>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</si>
  <si>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</si>
  <si>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</si>
  <si>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</si>
  <si>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</si>
  <si>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</si>
  <si>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</si>
  <si>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</si>
  <si>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</si>
  <si>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</si>
  <si>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</si>
  <si>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</si>
  <si>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</si>
  <si>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</si>
  <si>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</si>
  <si>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</si>
  <si>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</si>
  <si>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</si>
  <si>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</si>
  <si>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</si>
  <si>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</si>
  <si>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</si>
  <si>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</si>
  <si>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</si>
  <si>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</si>
  <si>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</si>
  <si>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</si>
  <si>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</si>
  <si>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</si>
  <si>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</si>
  <si>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</si>
  <si>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</si>
  <si>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</si>
  <si>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</si>
  <si>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</si>
  <si>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</si>
  <si>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</si>
  <si>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</si>
  <si>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</si>
  <si>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</si>
  <si>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</si>
  <si>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</si>
  <si>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</si>
  <si>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</si>
  <si>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</si>
  <si>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</si>
  <si>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</si>
  <si>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</si>
  <si>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</si>
  <si>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</si>
  <si>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</si>
  <si>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</si>
  <si>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</si>
  <si>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</si>
  <si>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</si>
  <si>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</si>
  <si>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</si>
  <si>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</si>
  <si>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</si>
  <si>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</si>
  <si>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</si>
  <si>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</si>
  <si>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</si>
  <si>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</si>
  <si>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</si>
  <si>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</si>
  <si>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</si>
  <si>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</si>
  <si>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</si>
  <si>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</si>
  <si>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</si>
  <si>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</si>
  <si>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</si>
  <si>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</si>
  <si>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</si>
  <si>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</si>
  <si>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</si>
  <si>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</si>
  <si>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</si>
  <si>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</si>
  <si>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</si>
  <si>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</si>
  <si>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</si>
  <si>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</si>
  <si>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</si>
  <si>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</si>
  <si>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</si>
  <si>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</si>
  <si>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</si>
  <si>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</si>
  <si>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</si>
  <si>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</si>
  <si>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</si>
  <si>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</si>
  <si>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</si>
  <si>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</si>
  <si>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</si>
  <si>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</si>
  <si>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</si>
  <si>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</si>
  <si>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</si>
  <si>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</si>
  <si>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</si>
  <si>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</si>
  <si>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</si>
  <si>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</si>
  <si>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p. 351.3.h</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</si>
  <si>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</si>
  <si>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</si>
  <si>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</si>
  <si>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</si>
  <si>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</si>
  <si>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Deferral (3)</t>
  </si>
  <si>
    <t>Amortization (3)</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</si>
  <si>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</si>
  <si>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</si>
  <si>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</si>
  <si>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</si>
  <si>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</si>
  <si>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</si>
  <si>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</si>
  <si>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</si>
  <si>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</si>
  <si>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</si>
  <si>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</si>
  <si>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</si>
  <si>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</si>
  <si>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</si>
  <si>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</si>
  <si>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</si>
  <si>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</si>
  <si>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</si>
  <si>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</si>
  <si>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</si>
  <si>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</si>
  <si>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</si>
  <si>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</si>
  <si>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</si>
  <si>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</si>
  <si>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Sum of (FF1 300.b.21 + 300.b.22) for total above.</t>
  </si>
  <si>
    <t>Fiber Optics Equalization Revenue and Fiber Optics expense in Account 921010 are allocated on the Wages &amp; Salary Allocator.</t>
  </si>
  <si>
    <t xml:space="preserve">(4) </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</si>
  <si>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</si>
  <si>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</si>
  <si>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</si>
  <si>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</si>
  <si>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</si>
  <si>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</si>
  <si>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</si>
  <si>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</si>
  <si>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This is a retail-only deferral reflected on the Company's books and in FERC Form 1.  For FERC purposes, deferral amounts and amortization amounts are reversed in the year in which they occurred.</t>
  </si>
  <si>
    <t xml:space="preserve">MISO retail implementation costs were deferred in Docket 10-011-U Order 76. </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</si>
  <si>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</si>
  <si>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</si>
  <si>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</si>
  <si>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</si>
  <si>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</si>
  <si>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</si>
  <si>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</si>
  <si>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</si>
  <si>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r>
      <t xml:space="preserve">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 </t>
    </r>
    <r>
      <rPr>
        <strike/>
        <sz val="12"/>
        <rFont val="Arial"/>
        <family val="2"/>
      </rPr>
      <t>on</t>
    </r>
    <r>
      <rPr>
        <sz val="12"/>
        <rFont val="Arial"/>
        <family val="2"/>
      </rPr>
      <t xml:space="preserve"> facilities constructed or purchased by Entergy on or after March 15, 2000 (FERC Order 2003: Docket RM02-1-000, Issued July 24, 2003, page 154).</t>
    </r>
  </si>
  <si>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</si>
  <si>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</si>
  <si>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</si>
  <si>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</si>
  <si>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Year 1 (3)</t>
  </si>
  <si>
    <t>Year 2 (3)</t>
  </si>
  <si>
    <t>Non - Payroll</t>
  </si>
  <si>
    <t>All Incremental; No Payroll</t>
  </si>
  <si>
    <t>HCM Retail-Only Deferral Adjustment</t>
  </si>
  <si>
    <t xml:space="preserve">D </t>
  </si>
  <si>
    <t>C + D</t>
  </si>
  <si>
    <t>B + E</t>
  </si>
  <si>
    <t>See MISO May 31, 2013 filing in FERC Docket ER13-945 for Grandfathered status.</t>
  </si>
  <si>
    <t>Payroll Loading</t>
  </si>
  <si>
    <t>Entergy Services, Inc. 408155 Franchise Tax-Misc  (Ln 4)</t>
  </si>
  <si>
    <t>A positive result when subtracted in Appendix A or MISO Cover will lower O&amp;M.  A negative result will increase O&amp;M.</t>
  </si>
  <si>
    <t>Source Acct 253190 Employment Litigation Liab</t>
  </si>
  <si>
    <t xml:space="preserve">General plant related </t>
  </si>
  <si>
    <t>Units of Property Deduction - transmission</t>
  </si>
  <si>
    <t>Related to nuclear decommissioning</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</si>
  <si>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</si>
  <si>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</si>
  <si>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</si>
  <si>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</si>
  <si>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</si>
  <si>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</si>
  <si>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</si>
  <si>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</si>
  <si>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</si>
  <si>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</si>
  <si>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</si>
  <si>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</si>
  <si>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</si>
  <si>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</si>
  <si>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</si>
  <si>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Transmission O&amp;M Excluding Account 561 (Accounts 560 through 574)</t>
  </si>
  <si>
    <t>Production O&amp;M (Accounts 500 - 557)</t>
  </si>
  <si>
    <t>WP AJ4 - EAI Ouachita Transmission Upgrade Expense (1) (2)</t>
  </si>
  <si>
    <t>Ouachita Transmission Upgrade</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</si>
  <si>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</si>
  <si>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</si>
  <si>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</si>
  <si>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</si>
  <si>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</si>
  <si>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</si>
  <si>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</si>
  <si>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</si>
  <si>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</si>
  <si>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</si>
  <si>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</si>
  <si>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</si>
  <si>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</si>
  <si>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</si>
  <si>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</si>
  <si>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</si>
  <si>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</si>
  <si>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</si>
  <si>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</si>
  <si>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</si>
  <si>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Payroll O&amp;M Excluding A&amp;G  Sum (Ln 12 Thru Ln 20)</t>
  </si>
  <si>
    <t xml:space="preserve">Positive values above result in decreases to expense.  Similarly, negative amounts are increases to expense. </t>
  </si>
  <si>
    <t>Transmission Net</t>
  </si>
  <si>
    <t>(Over) / Under Collections Balance (3)</t>
  </si>
  <si>
    <t>Other Revenue Requirement Adjustment(s) (4)</t>
  </si>
  <si>
    <t>…</t>
  </si>
  <si>
    <t>….</t>
  </si>
  <si>
    <t>4.XX</t>
  </si>
  <si>
    <t>2.XX</t>
  </si>
  <si>
    <t>7.XX</t>
  </si>
  <si>
    <t>1.XX</t>
  </si>
  <si>
    <t>6.XX</t>
  </si>
  <si>
    <t>8.XX</t>
  </si>
  <si>
    <t>11.XX</t>
  </si>
  <si>
    <t>14.XX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</si>
  <si>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</si>
  <si>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</si>
  <si>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</si>
  <si>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</si>
  <si>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</si>
  <si>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</si>
  <si>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</si>
  <si>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t>Adjustments (7)</t>
  </si>
  <si>
    <t>WP AJ1 - RTO/MISO Start-up Costs (1) (4) (5)</t>
  </si>
  <si>
    <t>p. 335.11.b</t>
  </si>
  <si>
    <t>Amoritzation of MISO Costs</t>
  </si>
  <si>
    <t>Capital Avenue Development Company</t>
  </si>
  <si>
    <t>SPO 2013 RFP</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</si>
  <si>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</si>
  <si>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</si>
  <si>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</si>
  <si>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</si>
  <si>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</si>
  <si>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</si>
  <si>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</si>
  <si>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WP AJ3 - Human Capital Management Retail Deferral &amp; Amortization (1) (2) (3)</t>
  </si>
  <si>
    <t>FF1 p321 Sum Lines 85 to 92 Column B</t>
  </si>
  <si>
    <t>Plus Account 565 - Transmission Equalization Payments to Associated Companies</t>
  </si>
  <si>
    <t xml:space="preserve"> FF1 p332.h</t>
  </si>
  <si>
    <t>ADIT net of FASB 109 Allocated to Transmission</t>
  </si>
  <si>
    <t xml:space="preserve">p.207.58g </t>
  </si>
  <si>
    <t>The HCM deferral was approved by the APSC in Docket No. 12-028U, Order 21 and is amortized through 2017.  The deferral only includes incremental, non-payroll costs.  Employment taxes were incurred based on severance costs.</t>
  </si>
  <si>
    <t>F City S 161Kv Sub - TSA - EAI - 3220</t>
  </si>
  <si>
    <t>APL - 3220</t>
  </si>
  <si>
    <t>Moses-Parkin (F City N Tap) 16 - TAR - EAI - 6327</t>
  </si>
  <si>
    <t>Hamlet 161Kv Sub - TSA - EAI - 3231</t>
  </si>
  <si>
    <t>APL - 3231</t>
  </si>
  <si>
    <t>Conway West-Hamlet 161Kv Ln - TAR - EAI - 6306</t>
  </si>
  <si>
    <t>Benton N 115Kv Sub - TSA - EAI - 3614</t>
  </si>
  <si>
    <t>APL - 3614</t>
  </si>
  <si>
    <t>Crstt N-Crstt Paper Mill 115Kv - TAR - EAI - 6627</t>
  </si>
  <si>
    <t>APL - 3632</t>
  </si>
  <si>
    <t>Maumelle East 115/13.8Kv Sub - TSA - EAI - 3657</t>
  </si>
  <si>
    <t>APL - 3657</t>
  </si>
  <si>
    <t>N L R Levy-Cnwy W 115Kv Ln - TAR - EAI - 6665</t>
  </si>
  <si>
    <t>Hot Springs Royal 115Kv Sub - TSA - EAI - 3675</t>
  </si>
  <si>
    <t>APL - 3675</t>
  </si>
  <si>
    <t>Mt Pine S-Hot Spgs Milton 115K - TAR - EAI - 6663</t>
  </si>
  <si>
    <t>Hot Spgs N 115Kv Sub - TSA - EAI - 3679</t>
  </si>
  <si>
    <t>APL - 3679</t>
  </si>
  <si>
    <t>Crossett Paper Mill 115Kv Sub - TSA - EAI - 3632</t>
  </si>
  <si>
    <t>Dermott 115Kv Sub (Tr-Ds) - TSA - EAI - 3636</t>
  </si>
  <si>
    <t>APL - 3636</t>
  </si>
  <si>
    <t>Wdwrd-Lk Vill Bagby(Dermott Ta - TAR - EAI - 6686</t>
  </si>
  <si>
    <t>Alcoa 115/13.8Kv Sub - TSA - EAI - 3205</t>
  </si>
  <si>
    <t>APL - 3205</t>
  </si>
  <si>
    <t>L R South-Carpenter (Alcoa Tap - TAR - EAI - 6705</t>
  </si>
  <si>
    <t>Osceola Indl 161Kv Sub - TSA - EAI - 3257</t>
  </si>
  <si>
    <t>APL - 3257</t>
  </si>
  <si>
    <t>Osceola-Osceola Indl 161Kv Ln - TAR - EAI - 6336</t>
  </si>
  <si>
    <t>W Memp Gatwy 161Kv Sub - TSA - EAI - 3272</t>
  </si>
  <si>
    <t>APL - 3272</t>
  </si>
  <si>
    <t>Omaha 161Kv Sub - TSA - EAI - 3255</t>
  </si>
  <si>
    <t>APL - 3255</t>
  </si>
  <si>
    <t>Norfork-Ozk Bch(Bull Shoals Ta - TAR - EAI - 6335</t>
  </si>
  <si>
    <t>Hot Spgs E 115Kv Sub - TSA - EAI - 3676</t>
  </si>
  <si>
    <t>APL - 3676</t>
  </si>
  <si>
    <t>L R South-Hs Ehv-Carptr 115Kv - TAR - EAI - 6647</t>
  </si>
  <si>
    <t>Reynolds Casting Plt 115Kv Sub - TSA - EAI - 3760</t>
  </si>
  <si>
    <t>APL - 3760</t>
  </si>
  <si>
    <t>Arklahoma - Cheetah 115 Kv Ln - TAR - EAI - 6600</t>
  </si>
  <si>
    <t>Kerlin 115Kv Sub - TSA - EAI - 3691</t>
  </si>
  <si>
    <t>APL - 3691</t>
  </si>
  <si>
    <t>Eld Dn-Eld W-Couch(Emerson Tap - TAR - EAI - 6632</t>
  </si>
  <si>
    <t>Bull Shoals 161/13.8Kv - TSA - EAI - 3301</t>
  </si>
  <si>
    <t>APL - 3301</t>
  </si>
  <si>
    <t>Bull Shoal Dam Bull Shoals Sub - TAR - EAI - 6370</t>
  </si>
  <si>
    <t>Little Rock Roland Road 115/13 - TSA - EAI - 3804</t>
  </si>
  <si>
    <t>APL - 3804</t>
  </si>
  <si>
    <t>Little Rock Roland Rd Tap 115K - TAR - EAI - 6708</t>
  </si>
  <si>
    <t>Fordyce Orient 115/34.8Kv Sub - TSA - EAI - 2249</t>
  </si>
  <si>
    <t>APL - 2249</t>
  </si>
  <si>
    <t>W Dwrd-Camd Mag(Camd N Tap)115 - TAR - EAI - 6678</t>
  </si>
  <si>
    <t>Imboden Jct Swtiching Sta 69Kv - TSA - EAI - 2502</t>
  </si>
  <si>
    <t>APL - 2502</t>
  </si>
  <si>
    <t>Hrsbrg 161Kv Sub - TSA - EAI - 3232</t>
  </si>
  <si>
    <t>APL - 3232</t>
  </si>
  <si>
    <t>Jnsbro-Parkin (Hrsbrg Tap) 161 - TAR - EAI - 6318</t>
  </si>
  <si>
    <t>Mt View 161Kv Sub - TSA - EAI - 3249</t>
  </si>
  <si>
    <t>APL - 3249</t>
  </si>
  <si>
    <t>Btsvl-Norfork (Mt View Tap) 16 - TAR - EAI - 6304</t>
  </si>
  <si>
    <t>W Memp Dover 161Kv Sub - TSA - EAI - 3271</t>
  </si>
  <si>
    <t>APL - 3271</t>
  </si>
  <si>
    <t>Parkin-W Memp(W Memp Gatwy Tap - TAR - EAI - 6339</t>
  </si>
  <si>
    <t>Cave City 161Kv Sub - TSA - EAI - 3305</t>
  </si>
  <si>
    <t>APL - 3305</t>
  </si>
  <si>
    <t>Cushman-Cave City 161 Kv Line - TAR - EAI - 6369</t>
  </si>
  <si>
    <t>Altheimer 115Kv Sub - TSA - EAI - 3603</t>
  </si>
  <si>
    <t>APL - 3603</t>
  </si>
  <si>
    <t>Wdwrd-Brnkly (Altheimer Tap) 1 - TAR - EAI - 6673</t>
  </si>
  <si>
    <t>El Dor Upland 115Kv Sub - TSA - EAI - 3649</t>
  </si>
  <si>
    <t>APL - 3649</t>
  </si>
  <si>
    <t>Wyatt-La St Ln-(El D Upland Ta - TAR - EAI - 6695</t>
  </si>
  <si>
    <t>Hardin W 115Kv Sub - TSA - EAI - 3664</t>
  </si>
  <si>
    <t>APL - 3664</t>
  </si>
  <si>
    <t>Wdwrd-Buttf Jct(Hardin W Tap)1 - TAR - EAI - 6676</t>
  </si>
  <si>
    <t>Hays City 115Kv Sub - TSA - EAI - 3666</t>
  </si>
  <si>
    <t>APL - 3666</t>
  </si>
  <si>
    <t>C Mag-El D Dn-La St Ln(Hays Ta - TAR - EAI - 6614</t>
  </si>
  <si>
    <t>Hot Spgs Milton 115Kv Sub - TSA - EAI - 3678</t>
  </si>
  <si>
    <t>APL - 3678</t>
  </si>
  <si>
    <t>Huttig 115Kv Sub - TSA - EAI - 3685</t>
  </si>
  <si>
    <t>APL - 3685</t>
  </si>
  <si>
    <t>C Mag-El D Dn-La St Ln(Hutg Ta - TAR - EAI - 6615</t>
  </si>
  <si>
    <t>Malvern N 115Kv Sub - TSA - EAI - 3724</t>
  </si>
  <si>
    <t>APL - 3724</t>
  </si>
  <si>
    <t>Wdwrd-Buttf Jct(Mlvrn N Tap)11 - TAR - EAI - 6677</t>
  </si>
  <si>
    <t>Rohwer 115Kv Sub - TSA - EAI - 3762</t>
  </si>
  <si>
    <t>APL - 3762</t>
  </si>
  <si>
    <t>Wdwrd-Lk Vill Bagby(Rohwer Tap - TAR - EAI - 6688</t>
  </si>
  <si>
    <t>Pine Bluff Port 115Kv Substati - TSA - EAI - 3769</t>
  </si>
  <si>
    <t>APL - 3769</t>
  </si>
  <si>
    <t>Wdwrd-L Vil Bagby(Pb I P Co Ta - TAR - EAI - 6704</t>
  </si>
  <si>
    <t>Strong 115Kv Sub - TSA - EAI - 3772</t>
  </si>
  <si>
    <t>APL - 3772</t>
  </si>
  <si>
    <t>C Mag-Eld Dn-La Stln(Strong Ta - TAR - EAI - 6617</t>
  </si>
  <si>
    <t>Stuttg N 115Kv Sub - TSA - EAI - 3773</t>
  </si>
  <si>
    <t>APL - 3773</t>
  </si>
  <si>
    <t>Wdwrd-Brnkly (Stuttg N Tap) 11 - TAR - EAI - 6674</t>
  </si>
  <si>
    <t>Lake Chicot Pumping Station 11 - TSA - EAI - 3792</t>
  </si>
  <si>
    <t>APL - 3792</t>
  </si>
  <si>
    <t>Wdwrd-Lk Vil Bagby(Lk Chic P P - TAR - EAI - 6703</t>
  </si>
  <si>
    <t>APL - 6904</t>
  </si>
  <si>
    <t>Pocahontas South 33/12Kv - DSA - EAI - 4480</t>
  </si>
  <si>
    <t>APL - 4480</t>
  </si>
  <si>
    <t>AMEREN</t>
  </si>
  <si>
    <t>BENTON</t>
  </si>
  <si>
    <t>CONWAY</t>
  </si>
  <si>
    <t>MJMEUC THAYER</t>
  </si>
  <si>
    <t>NORTH LITTLE ROCK</t>
  </si>
  <si>
    <t>OSCEOLA</t>
  </si>
  <si>
    <t>PRESCOTT</t>
  </si>
  <si>
    <t>WEST MEMPHIS</t>
  </si>
  <si>
    <t>HOPE</t>
  </si>
  <si>
    <t>JONESBORO</t>
  </si>
  <si>
    <t>AECC</t>
  </si>
  <si>
    <t>AECC (pseudo ties)</t>
  </si>
  <si>
    <t>SPA BLAKELY</t>
  </si>
  <si>
    <t>Plum Point</t>
  </si>
  <si>
    <t>MISO Cover</t>
  </si>
  <si>
    <t>READ ME: Cell L6 is a toggle in the Excel workbook. It switches between the Projected Rate results and the True-up results.</t>
  </si>
  <si>
    <t>True-up</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</si>
  <si>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</si>
  <si>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</si>
  <si>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The components of capitalization for the Projected Rate determined in the Annual Update shall be based on end-of-year values for the historical calendar year.  The True-up for the same historical calendar year shall be based upon 13-month average balances.</t>
  </si>
  <si>
    <t>Use average of beginning-of-year and end-of-year balances for the True-up column.  Use end-of-year balances for Projected column.</t>
  </si>
  <si>
    <t>Use 13-month average balance for both the True-up and Projected columns.</t>
  </si>
  <si>
    <t>WP01 True-up: Interest &amp; Amortization for Attachment O Transmission Revenue Requirement Over/Under Collection Balance (1)</t>
  </si>
  <si>
    <t>Imputed True-up Year Revenues</t>
  </si>
  <si>
    <t>Total Imputed True-up Year Revenues</t>
  </si>
  <si>
    <t xml:space="preserve">Attachment O Revenues for True-up purposes are those Bundled Load Exemption, Network, and Long-Term Firm revenues whose demands are summed in the peak demand calculations and are the denominator in the Point-to-Point rate calculation. </t>
  </si>
  <si>
    <t>Radial Lines (BOY/EOY Average Used for True-up)</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</si>
  <si>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</si>
  <si>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True-up: Average Beginning of Year and End of Year</t>
  </si>
  <si>
    <t>Credit for Transmission Customer Network Service revenues is applied in the True-up calculation and Projected calculation.</t>
  </si>
  <si>
    <t>Net RTO/MISO related Start-Up costs recorded in True-up Year</t>
  </si>
  <si>
    <t>Reversal of deferrals not approved by FERC are entered as positive amounts so that the full amount of the deferral is reflected in the True-up Year values.  True-up Year amortizations of deferrals not approved by FERC are entered as negative amounts to decrease O&amp;M.</t>
  </si>
  <si>
    <t>B=C+D+E+F</t>
  </si>
  <si>
    <t>F=G+H</t>
  </si>
  <si>
    <t>Sum of (MISO Schedule 42a Revenue + MISO Schedule 42b Revenue) = Account 456142</t>
  </si>
  <si>
    <t>(8)</t>
  </si>
  <si>
    <t>Adjustments as required.</t>
  </si>
  <si>
    <t>A/C 2281 Storm Reserve Accrual Reclassification To Transm. O&amp;M</t>
  </si>
  <si>
    <t>A/C 2281 Storm Reserve Accrual Reclassification</t>
  </si>
  <si>
    <t>Added 2013</t>
  </si>
  <si>
    <t>Added 2014</t>
  </si>
  <si>
    <t>Source A/c 1823MK - Reg asset related to EAI payment for MO ARK agreement</t>
  </si>
  <si>
    <t xml:space="preserve">Change allocation to labor per agreement </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</si>
  <si>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</si>
  <si>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</si>
  <si>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 xml:space="preserve">Charges to Account 930.2 shall be subject to review and challenge as part of the protocols procedures.  Notwithstanding the specific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</si>
  <si>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Attachment O Revenues For True-up (1)</t>
  </si>
  <si>
    <t xml:space="preserve">Less True-up Amount Billed in True-up Year (2) </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</si>
  <si>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</si>
  <si>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</si>
  <si>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</si>
  <si>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</si>
  <si>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Rounded amounts are reported on Page 400, FERC Form 1.</t>
  </si>
  <si>
    <t>F (6)</t>
  </si>
  <si>
    <t>G (7)</t>
  </si>
  <si>
    <t>Total True Up Amount with Interest</t>
  </si>
  <si>
    <r>
      <rPr>
        <sz val="10"/>
        <rFont val="Arial"/>
        <family val="2"/>
      </rPr>
      <t>Total True-up Amount</t>
    </r>
  </si>
  <si>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</si>
  <si>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</si>
  <si>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</si>
  <si>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</si>
  <si>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Entergy is not seeking recovery of the Ouachita transmission upgrade expenses that are reflected in FERC Form 1 amounts.</t>
  </si>
  <si>
    <t>True-up with Interest</t>
  </si>
  <si>
    <t>For Checking Purposes Only –Do Not Print</t>
  </si>
  <si>
    <t>WP AJ3 HCM Ln 8 Column F</t>
  </si>
  <si>
    <t>WP AJ3 HCM Ln 13 Column F</t>
  </si>
  <si>
    <t>WP AJ3 HCM Ln 14 Column F</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</si>
  <si>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</si>
  <si>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r>
      <t>Load For Rate Development</t>
    </r>
    <r>
      <rPr>
        <sz val="10"/>
        <color theme="1"/>
        <rFont val="Arial"/>
        <family val="2"/>
      </rPr>
      <t xml:space="preserve">  </t>
    </r>
    <r>
      <rPr>
        <sz val="10"/>
        <rFont val="Arial"/>
        <family val="2"/>
      </rPr>
      <t>(8)</t>
    </r>
  </si>
  <si>
    <t>Total Transmission O&amp;M (Line 7 + Line 8)</t>
  </si>
  <si>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</si>
  <si>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 the docket number in which FERC approved each adjustment.  No adjustments will be included absent FERC approval.</t>
    </r>
  </si>
  <si>
    <t>ITC Transaction Charge                                          (Enter as Negative)</t>
  </si>
  <si>
    <r>
      <t>ITC Transaction Costs Not Charged to Customers    (Enter as Negative</t>
    </r>
    <r>
      <rPr>
        <u/>
        <sz val="10"/>
        <rFont val="Arial"/>
        <family val="2"/>
      </rPr>
      <t>)</t>
    </r>
  </si>
  <si>
    <t>ITC Transaction Costs Not Charged to Customers    (Enter as Negative)</t>
  </si>
  <si>
    <t>p. 335.13.b</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</si>
  <si>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</si>
  <si>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Retail-related prepayments, such as taxes imposed on retail customers, services, operations or revenues, are excluded from allocation in the transmission revenue requirement and assigned to the “Other” category.</t>
  </si>
  <si>
    <t>WP AJ3 HCM Ln 21 Column F</t>
  </si>
  <si>
    <r>
      <t xml:space="preserve">See Appendix A Note D. For the accrual OpCo's (EAI, EMI, ENOI, and ETI), the difference is the annual Account 926 accrual </t>
    </r>
    <r>
      <rPr>
        <sz val="10"/>
        <color theme="1"/>
        <rFont val="Arial"/>
        <family val="2"/>
      </rPr>
      <t>amount less Entergy's annual FERC 205 PBOP filing amount (FERC allowed expenses).</t>
    </r>
  </si>
  <si>
    <t>5.  Deferred income taxes arise when items are included in taxable income in different periods than they are included in rates, therefore if the item giving rise to the ADIT is not included in the formula, the associated ADIT amount shall be excluded</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</si>
  <si>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</si>
  <si>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DO NOT PRINT</t>
  </si>
  <si>
    <t>Agreement with Joint Customers and MISO to complete the Description of the Group on the Blank Template and to leave Col C highlighted because the Group could change</t>
  </si>
  <si>
    <t>263.02.i</t>
  </si>
  <si>
    <t>263.03.i</t>
  </si>
  <si>
    <t>263.04.i</t>
  </si>
  <si>
    <t>263.05.i</t>
  </si>
  <si>
    <t>263.09.i</t>
  </si>
  <si>
    <t>263.10.i</t>
  </si>
  <si>
    <t>263.11.i</t>
  </si>
  <si>
    <t>263.12.i</t>
  </si>
  <si>
    <t>263.13.i</t>
  </si>
  <si>
    <t>263.14.i</t>
  </si>
  <si>
    <t>263.15.i</t>
  </si>
  <si>
    <t>263.16.i</t>
  </si>
  <si>
    <t>263.17.i</t>
  </si>
  <si>
    <t>263.18.i</t>
  </si>
  <si>
    <t>263.19.i</t>
  </si>
  <si>
    <t>263.20.i</t>
  </si>
  <si>
    <t>263.23.i</t>
  </si>
  <si>
    <t>Note (7)</t>
  </si>
  <si>
    <t>263.31.i</t>
  </si>
  <si>
    <t>263.27.i</t>
  </si>
  <si>
    <t>190111: Intrst/Tax-Tax Deficienci-Fed</t>
  </si>
  <si>
    <t>190112: Intrst/Tax-Tax Deficienci-St</t>
  </si>
  <si>
    <t>190121: ANO Shutdown Costs - Fed</t>
  </si>
  <si>
    <t>190122: ANO Shutdown Costs - State</t>
  </si>
  <si>
    <t>190131: Ggi-Arrc-Over/Under Rcv-Fed</t>
  </si>
  <si>
    <t>190132: Ggi-Arrc-Over/Under Rcv-St</t>
  </si>
  <si>
    <t>190151: Taxable Unbilled Revenue-Fed</t>
  </si>
  <si>
    <t>190152: Taxable Unbilled Revenue-St</t>
  </si>
  <si>
    <t>190161: Property Ins Reserve-Fed</t>
  </si>
  <si>
    <t>190162: Property Ins Reserve-State</t>
  </si>
  <si>
    <t>190163: Capitalized Repairs - Fed</t>
  </si>
  <si>
    <t>190164: Capitalized Repairs - State</t>
  </si>
  <si>
    <t>190171: Inj &amp; Damages Reserve-Fed</t>
  </si>
  <si>
    <t>190172: Inj &amp; Damages Reserve-State</t>
  </si>
  <si>
    <t>190191: Customer Deposits-Fed</t>
  </si>
  <si>
    <t>190192: Customer Depsoits-State</t>
  </si>
  <si>
    <t>190211: Unfunded Pension Exp-Fed</t>
  </si>
  <si>
    <t>190212: Unfunded Pension Exp-State</t>
  </si>
  <si>
    <t>190213: SFAS 158 Def Tax Asset - Fed</t>
  </si>
  <si>
    <t>190214: SFAS 158 Def Tax Asset - State</t>
  </si>
  <si>
    <t>190215: Supplemental Pension Plan-Fed</t>
  </si>
  <si>
    <t>190216: Supplemental Pension Plan-St</t>
  </si>
  <si>
    <t>190221: Fas 106 Other Retire Ben-Fed</t>
  </si>
  <si>
    <t>190222: Fas 106 Other Retire Ben-State</t>
  </si>
  <si>
    <t>190241: Deferred Fuel/Gas-Fed</t>
  </si>
  <si>
    <t>190242: Deferred Fuel/Gas-St</t>
  </si>
  <si>
    <t>190251: Removal Cost - Fed</t>
  </si>
  <si>
    <t>190252: Removal Cost - State</t>
  </si>
  <si>
    <t>190311: Decommissioning-Fed</t>
  </si>
  <si>
    <t>190312: Decommissioning-State</t>
  </si>
  <si>
    <t>190325: Litigation Settlement - Fed</t>
  </si>
  <si>
    <t>190326: Litigation Settlement - State</t>
  </si>
  <si>
    <t>190331: Accrued Medical Claims-Fed</t>
  </si>
  <si>
    <t>190332: Accrued Medical Claims-State</t>
  </si>
  <si>
    <t>190351: Uncollect Accts Reserve-Fed</t>
  </si>
  <si>
    <t>190352: Uncollect Accts Reserve-St</t>
  </si>
  <si>
    <t>190375: Regulatory Liability-Federal</t>
  </si>
  <si>
    <t>190376: Regulatory Liability-State</t>
  </si>
  <si>
    <t>190381: Partnership Income/Loss - Fed</t>
  </si>
  <si>
    <t>190382: Partnership Income/Loss-State</t>
  </si>
  <si>
    <t>190391: Contract Def Revenue-Fed</t>
  </si>
  <si>
    <t>190392: Contract Def Revenue-State</t>
  </si>
  <si>
    <t>190421: Environmental Reserve-Fed</t>
  </si>
  <si>
    <t>190422: Environmental Reserve-State</t>
  </si>
  <si>
    <t>190451: Incentive-Fed</t>
  </si>
  <si>
    <t>190452: Incentive-State</t>
  </si>
  <si>
    <t>190465: Ano Bldg Sale-Fed</t>
  </si>
  <si>
    <t>190466: Ano Bldg Sale-State</t>
  </si>
  <si>
    <t>190513: Entergy Stck Invstmnt Plan-Fed</t>
  </si>
  <si>
    <t>190514: Entergy Stock Invstmnt Plan-St</t>
  </si>
  <si>
    <t>190517: Long-Term Incentive Comp-Feder</t>
  </si>
  <si>
    <t>190518: Long-Term Incentive Comp-State</t>
  </si>
  <si>
    <t>190519: Stock Options - Federal</t>
  </si>
  <si>
    <t>190520: Stock Options - State</t>
  </si>
  <si>
    <t>190523: Stock Options Exercised-Fed</t>
  </si>
  <si>
    <t>190524: Stock Options Excerised-St</t>
  </si>
  <si>
    <t>190525: Restricted Stock Awards-Fed</t>
  </si>
  <si>
    <t>190526: Restricted Stock Awards-State</t>
  </si>
  <si>
    <t>190531: Deferred Director'S Fees-Fed</t>
  </si>
  <si>
    <t>190532: Deferred Director'S Fees-St</t>
  </si>
  <si>
    <t>190603: Rate Refund-Federal</t>
  </si>
  <si>
    <t>190604: Rate Refund-State</t>
  </si>
  <si>
    <t>190609: Sale Of Epa Allowances - Fed</t>
  </si>
  <si>
    <t>190610: Sale Of Epa Allowances - St</t>
  </si>
  <si>
    <t>190613: Severance Accrual - Federal</t>
  </si>
  <si>
    <t>190614: Severance Accrual - State</t>
  </si>
  <si>
    <t>190641: Re-Organization Costs-Federal</t>
  </si>
  <si>
    <t>190642: Re-Organization Costs - State</t>
  </si>
  <si>
    <t>190701: Fas 109 Adjustment - Fed</t>
  </si>
  <si>
    <t>190702: Fas 109 Adjustment - State</t>
  </si>
  <si>
    <t>190881: ADIT-NOL C/F-TAP-FED - Current</t>
  </si>
  <si>
    <t>190882: Adit-Nol C/F - State-Current</t>
  </si>
  <si>
    <t>190883: ADIT-Contrib CF-TAP-FED-NonCur</t>
  </si>
  <si>
    <t>190884: ADIT-Tax CR C/F-TAP-Fed-NonCur</t>
  </si>
  <si>
    <t>190886: Fed Cap Loss-C/F-TAP-NonCur</t>
  </si>
  <si>
    <t>190887: Fed Offset-St NonCur Carryover</t>
  </si>
  <si>
    <t>190981: Fed Offset-State Cur Carryover</t>
  </si>
  <si>
    <t>190983: ADIT-NOL C/F TAP-Fed-Non-curr</t>
  </si>
  <si>
    <t>190986: ADIT-Contrib C/F St Non-Cur</t>
  </si>
  <si>
    <t>190P51: ADIT-Ben-Potnt Disall UTPs Res</t>
  </si>
  <si>
    <t>282111: Liberalized Depreciation-Fed</t>
  </si>
  <si>
    <t>282112: Liberalized Deprec - State</t>
  </si>
  <si>
    <t>282117: Section 481A Adj Fed</t>
  </si>
  <si>
    <t>282118: Section 481A Adj State</t>
  </si>
  <si>
    <t>282139: Constr Fund Interest-Fed</t>
  </si>
  <si>
    <t>282140: Constr Fund Interest-St</t>
  </si>
  <si>
    <t>282141: Cost Of Money On Aecc - Fed</t>
  </si>
  <si>
    <t>282142: Cost Of Money On Aecc  - St</t>
  </si>
  <si>
    <t>282167: Taxes &amp; Pensions Cap.- Fed</t>
  </si>
  <si>
    <t>282168: Taxes &amp; Pensions Cap - State</t>
  </si>
  <si>
    <t>282175: Afdc Book Only Gross - Fed</t>
  </si>
  <si>
    <t>282176: Afdc Book Only Gross - State</t>
  </si>
  <si>
    <t>282211: Nuclear Fuel - Federal</t>
  </si>
  <si>
    <t>282212: Nuclear Fuel - State</t>
  </si>
  <si>
    <t>282217: Coal Car - Fed</t>
  </si>
  <si>
    <t>282218: Coal Car - State</t>
  </si>
  <si>
    <t>282221: Fiber Optics-Fed</t>
  </si>
  <si>
    <t>282222: Fiber Optics - State</t>
  </si>
  <si>
    <t>282223: Repairs &amp; Maint Exp - Federal</t>
  </si>
  <si>
    <t>282224: Repairs &amp; Maint Exp - State</t>
  </si>
  <si>
    <t>282241: R&amp;E Deduction - Fed</t>
  </si>
  <si>
    <t>282242: R&amp;E Deduction - St</t>
  </si>
  <si>
    <t>282245: Warranty Expense - Federal</t>
  </si>
  <si>
    <t>282246: Warranty Expense - State</t>
  </si>
  <si>
    <t>282311: Int Inc Pol Control Bonds-Fed</t>
  </si>
  <si>
    <t>282312: Int Inc Pol Control Bonds-St</t>
  </si>
  <si>
    <t>282331: Misc Intangible Plant-Federal</t>
  </si>
  <si>
    <t>282332: Misc Intangible Plant-State</t>
  </si>
  <si>
    <t>282341: Interest - Deferred Pay - Fed</t>
  </si>
  <si>
    <t>282342: Interest - Deferred Pay - St</t>
  </si>
  <si>
    <t>282351: Tax Int (Avoided Cost)-Fed</t>
  </si>
  <si>
    <t>282352: Tax Int (Avoided Cost) - St</t>
  </si>
  <si>
    <t>282371: Cont In Aid Of Constr - Fed</t>
  </si>
  <si>
    <t>282372: Cont In Aid Of Constr - State</t>
  </si>
  <si>
    <t>282381: Construction Power - Fed</t>
  </si>
  <si>
    <t>282382: Construction Power - State</t>
  </si>
  <si>
    <t>282391: Ises Book Deprec Cap - Fed</t>
  </si>
  <si>
    <t>282392: Ises Book Deprec Cap - State</t>
  </si>
  <si>
    <t>282455: Business Dev Costs Cap- Fed</t>
  </si>
  <si>
    <t>282456: Business Dev Costs Cap- St</t>
  </si>
  <si>
    <t>282461: Computer Software Cap - Fed</t>
  </si>
  <si>
    <t>282462: Computer Software Cap - State</t>
  </si>
  <si>
    <t>282465: Ises Synchronization Adj - Fed</t>
  </si>
  <si>
    <t>282466: Ises Synchronization Adj - St</t>
  </si>
  <si>
    <t>282475: Contra Securitization -Federal</t>
  </si>
  <si>
    <t>282476: Contra Securitization - State</t>
  </si>
  <si>
    <t>282481: Full Norm Of Prod Plant - Fed</t>
  </si>
  <si>
    <t>282482: Full Norm Of Prod Plant - St</t>
  </si>
  <si>
    <t>282533: Casualty Loss Deduction-Fed</t>
  </si>
  <si>
    <t>282534: Casualty Loss Deduction-St</t>
  </si>
  <si>
    <t>282701: Fas 109 Adjustment - Fed</t>
  </si>
  <si>
    <t>282702: Fas 109 Adjustment - State</t>
  </si>
  <si>
    <t>282901: 263A Method Change-DSC - Fed</t>
  </si>
  <si>
    <t>282902: 263A Method Change - DSC-State</t>
  </si>
  <si>
    <t>282903: Units of Production Ded - Fed</t>
  </si>
  <si>
    <t>282904: Units of Production Ded - St</t>
  </si>
  <si>
    <t>282905: Tangible Prop Regs-481 Adj-Fed</t>
  </si>
  <si>
    <t>282906: Tangible Prop Regs-481-St</t>
  </si>
  <si>
    <t>282907: Unit of Property Ded-Trans-Fed</t>
  </si>
  <si>
    <t>282908: Unit of Property Ded-Trans-St</t>
  </si>
  <si>
    <t>282975: Depreciation Expense - Fed</t>
  </si>
  <si>
    <t>282976: Depreciation Expense - State</t>
  </si>
  <si>
    <t>283151: Regulatory Asset - Federal</t>
  </si>
  <si>
    <t>283152: Regulatory Asset - State</t>
  </si>
  <si>
    <t>283157: Regulatory Asset-MISO-Fed</t>
  </si>
  <si>
    <t>283158: Regulatory Asset-MISO-State</t>
  </si>
  <si>
    <t>283165: Syst Agrmt Equal Reg Asset-Fed</t>
  </si>
  <si>
    <t>283166: Syst Agrmt Equal Reg Asset-St</t>
  </si>
  <si>
    <t>283181: Maint/Refueling - Fed</t>
  </si>
  <si>
    <t>283182: Maint/Refueling - St</t>
  </si>
  <si>
    <t>283213: SFAS 158 Def Tax Liability-Fed</t>
  </si>
  <si>
    <t>283214: SFAS 158 Def Tax Liability-St</t>
  </si>
  <si>
    <t>283221: Bond Reacquisition Loss - Fed</t>
  </si>
  <si>
    <t>283222: Bond Reacquisition Loss - St</t>
  </si>
  <si>
    <t>283225: Section 475 Adjustment-Fed</t>
  </si>
  <si>
    <t>283226: Section 475 Adjustment-St</t>
  </si>
  <si>
    <t>283247: Transco Costs - Federal</t>
  </si>
  <si>
    <t>283248: Transco Costs - State</t>
  </si>
  <si>
    <t>283301: Regulatory Asset-HCM-Fed</t>
  </si>
  <si>
    <t>283302: Regulatory Asset-HCM-State</t>
  </si>
  <si>
    <t>283305: Regulatory Asset-MOARK-Fed</t>
  </si>
  <si>
    <t>283306: Regulatory Asset-MOARK-State</t>
  </si>
  <si>
    <t>283325: Tcby Tower (Cadc)-Fed</t>
  </si>
  <si>
    <t>283326: Tcby Tower (Cadc)-St</t>
  </si>
  <si>
    <t>283345: Misc Cap Costs-Fed</t>
  </si>
  <si>
    <t>283346: Misc Cap Costs-State</t>
  </si>
  <si>
    <t>283357: Tca - 30 Year Retail - Federal</t>
  </si>
  <si>
    <t>283358: Tca - 30 Year Retail - State</t>
  </si>
  <si>
    <t>283361: Prepaid Expenses Federal</t>
  </si>
  <si>
    <t>283362: Prepaid Expenses State</t>
  </si>
  <si>
    <t>283371: Decon &amp; Decomm Fund - Fed</t>
  </si>
  <si>
    <t>283372: Decon &amp; Decomm Fund - St</t>
  </si>
  <si>
    <t>283701: Fas 109 Adjustment - Fed</t>
  </si>
  <si>
    <t>283702: Fas 109 Adjustment - State</t>
  </si>
  <si>
    <t>283901: 263A Method Change - Federal</t>
  </si>
  <si>
    <t>283902: 263A Method Change - State</t>
  </si>
  <si>
    <t>283F48: FIN 48 adjustment</t>
  </si>
  <si>
    <t>165000: Prepayments</t>
  </si>
  <si>
    <t>165004: Pp Taxes-Regulatory Commis.</t>
  </si>
  <si>
    <t>165100: Prepaid Insurance</t>
  </si>
  <si>
    <t>165101: Pp Taxes - Franchise - Ar</t>
  </si>
  <si>
    <t>165143: Ano#1 Shutdown  Costs</t>
  </si>
  <si>
    <t>165400: Prepaid Ins Directors&amp;Officers</t>
  </si>
  <si>
    <t>165403: Pp Taxes Franchise-La</t>
  </si>
  <si>
    <t>165506: Prepaid Dues - INPO</t>
  </si>
  <si>
    <t>165507: Prepaid Dues - Nuc Energy Inst</t>
  </si>
  <si>
    <t>165510: Prepaid Dues to EEI</t>
  </si>
  <si>
    <t>165525: Prepaid NRC Dues</t>
  </si>
  <si>
    <t>165603: PPD IQNavigator, Inc</t>
  </si>
  <si>
    <t>165RNT: Prepaid Rent Expense</t>
  </si>
  <si>
    <t>165SAI: PrePaid Designated Servic-SAIC</t>
  </si>
  <si>
    <t>Franchise Tax- Local</t>
  </si>
  <si>
    <t>River Ridge to Benton North - TAR - EAI - 6646</t>
  </si>
  <si>
    <t>Water Valley - AECC Black Rock - TAR - EAI - 6904</t>
  </si>
  <si>
    <t>456000: Other Electric Revenues</t>
  </si>
  <si>
    <t>456002: Distribution Substation Svc.</t>
  </si>
  <si>
    <t>456003: MISO Mkt Sch 11 Wholesale Dist</t>
  </si>
  <si>
    <t>456010: Misc Rec - Ouachita Upgrades</t>
  </si>
  <si>
    <t>4560MS: Third Party Sales of Inventory</t>
  </si>
  <si>
    <t>456100: Miscellaneous Revenue</t>
  </si>
  <si>
    <t>456102: Gia Annual Fees</t>
  </si>
  <si>
    <t>456104: Cwl Transmission Revenue</t>
  </si>
  <si>
    <t>456107: Network Transmission Revenue</t>
  </si>
  <si>
    <t>456108: Schdlg Syst Control &amp; Dispatch</t>
  </si>
  <si>
    <t>456110: Ar Gross Receipts Tax</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</si>
  <si>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</si>
  <si>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</si>
  <si>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</si>
  <si>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</si>
  <si>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</si>
  <si>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</si>
  <si>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</si>
  <si>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</si>
  <si>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</si>
  <si>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</si>
  <si>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</si>
  <si>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</si>
  <si>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</si>
  <si>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</si>
  <si>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</si>
  <si>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</si>
  <si>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</si>
  <si>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456420: Affiliate service fee revenue</t>
  </si>
  <si>
    <t>456001: Fees-Gust/Ike Securitization</t>
  </si>
  <si>
    <t>456101: Side Lights</t>
  </si>
  <si>
    <t>456105: Transmisn Service Rev-Non Firm</t>
  </si>
  <si>
    <t>456107: Network Transmission Revenue- Nits Dist. Sub</t>
  </si>
  <si>
    <t>456120: Fiber Optics (1)</t>
  </si>
  <si>
    <t>456300: Unbilled Revenue-Wholesale</t>
  </si>
  <si>
    <t>456410: Trans Equal Charges</t>
  </si>
  <si>
    <t>456500: Other Elec Rev - Discounts</t>
  </si>
  <si>
    <t>228100: Accum Prov For Prop Insurance</t>
  </si>
  <si>
    <t>228101: Int on Accum Prov for Prop Ins</t>
  </si>
  <si>
    <t>2281FR: Property Ins. Prov. Reclass</t>
  </si>
  <si>
    <t>228200: Accum Prov For Injuries &amp; Dam</t>
  </si>
  <si>
    <t>228210: Reserve For Inj &amp; Dam - Legal</t>
  </si>
  <si>
    <t>228301: Acc Prov-Pen&amp;Ben-Hosp Res-Adj</t>
  </si>
  <si>
    <t>228308: AccProv-OPEB Liab-FundedStatus</t>
  </si>
  <si>
    <t>228400: Acc Misc-Operating Prov</t>
  </si>
  <si>
    <t>228402: Ltd - Decomm &amp; Decontam</t>
  </si>
  <si>
    <t>228102: EAI 2009 Ice Storm Non-Retail</t>
  </si>
  <si>
    <t>228151: Insurance proceeds-O&amp;M</t>
  </si>
  <si>
    <t>228153: Securitization proceeds</t>
  </si>
  <si>
    <t>2281LB: Storm Damage Reserve Lock Box</t>
  </si>
  <si>
    <t>228401: Accum Prov - Coal Car Maint</t>
  </si>
  <si>
    <t>228403: Acc Provision-Commer Litigatio</t>
  </si>
  <si>
    <t>4031AM: Deprec Exp billed from Serv Co</t>
  </si>
  <si>
    <t>408110: Employment Taxes</t>
  </si>
  <si>
    <t>500000: Oper Supervision &amp; Engineerin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</si>
  <si>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</si>
  <si>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</si>
  <si>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</si>
  <si>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</si>
  <si>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</si>
  <si>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</si>
  <si>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</si>
  <si>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</si>
  <si>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</si>
  <si>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</si>
  <si>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</si>
  <si>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568000: Maint. Supervision &amp; Engineer</t>
  </si>
  <si>
    <t>569100: Maint Transm Computer&amp;Telecom</t>
  </si>
  <si>
    <t>903002: Collection Expense</t>
  </si>
  <si>
    <t>905000: Misc Customer Accounts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</si>
  <si>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</si>
  <si>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</si>
  <si>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</si>
  <si>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</si>
  <si>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</si>
  <si>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</si>
  <si>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</si>
  <si>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</si>
  <si>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</si>
  <si>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</si>
  <si>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</si>
  <si>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143983: Aecc Co-Owner</t>
  </si>
  <si>
    <t>143985: Conway Co-Owner</t>
  </si>
  <si>
    <t>143987: Jonesboro Co-Owner</t>
  </si>
  <si>
    <t>143995: West Memphis Utilities Co-Own</t>
  </si>
  <si>
    <t>506000: Misc Steam Power Expenses</t>
  </si>
  <si>
    <t>507000: Rents - Steam Power Generation</t>
  </si>
  <si>
    <t>567000: Rents - Transmission System</t>
  </si>
  <si>
    <t>569000: Maintenance Of Structures</t>
  </si>
  <si>
    <t>573000: Maint Misc Transmission Plant</t>
  </si>
  <si>
    <t>575100: Regional Energy Mkts-Oper Supv</t>
  </si>
  <si>
    <t>909000: Information &amp; Instruct Adv Ex</t>
  </si>
  <si>
    <t>912000: Demon. &amp; Selling Exp.</t>
  </si>
  <si>
    <t>517000: Operation, Supervision &amp; Engr</t>
  </si>
  <si>
    <t>511000: Maintenance Of Structures</t>
  </si>
  <si>
    <t>514000: Maintenance Of Misc Steam Plt</t>
  </si>
  <si>
    <t>524000: Misc. Nuclear Power Expenses</t>
  </si>
  <si>
    <t>549000: Misc Oth Pwr Generation Exps</t>
  </si>
  <si>
    <t>554000: Maint-Misc Other Pwr Gen Plt</t>
  </si>
  <si>
    <t>570000: Maint. Of Station Equipment</t>
  </si>
  <si>
    <t>546000: Operation Superv &amp; Engineerin</t>
  </si>
  <si>
    <t>580000: Operation Supervision&amp;Enginee</t>
  </si>
  <si>
    <t>586000: Meter Expenses</t>
  </si>
  <si>
    <t>588000: Misc Distribution Expense</t>
  </si>
  <si>
    <t>907000: Supervision</t>
  </si>
  <si>
    <t>407348: Regulatory Debits</t>
  </si>
  <si>
    <t>913000: Advertising Expense</t>
  </si>
  <si>
    <t>163000: Stores Expenses Undistributed</t>
  </si>
  <si>
    <t>184001: Operations  Vehicle</t>
  </si>
  <si>
    <t>417100: Expenses- Nonutility Oper</t>
  </si>
  <si>
    <t>592000: Maint. Of Station Equipment</t>
  </si>
  <si>
    <t>903001: Customer Records</t>
  </si>
  <si>
    <t>566010: Misc Trans-Ouachita Upgrades</t>
  </si>
  <si>
    <t>L R South-Blakely(Benton N Tap - TAR - EAI – 6646</t>
  </si>
  <si>
    <t>Water Valley Ap&amp;L-Imboden Jct - TAR - EAI - 6904</t>
  </si>
  <si>
    <t>FERC Energy Regulatory Commission Annual Charges (4)</t>
  </si>
  <si>
    <t>283159: ADIT - Replace Energy Fuel Fed</t>
  </si>
  <si>
    <t>283160: ADIT - Replace Energy Fuel St</t>
  </si>
  <si>
    <t>For  the 12 Months Ended 12/31/2016</t>
  </si>
  <si>
    <t>165611: PPD all GE companies</t>
  </si>
  <si>
    <t>165612: PPD HCL America</t>
  </si>
  <si>
    <t>Added 2015 - Computer Rentals - Software, Fossil</t>
  </si>
  <si>
    <t>Added 2015 - IT-Infrastructure Operations, Corporate Buildings</t>
  </si>
  <si>
    <t>2/12/2014: MISO-wide ROE was changed in EL14-12; Tariff compliance filing in ER17-215</t>
  </si>
  <si>
    <t>LL</t>
  </si>
  <si>
    <t>In accordance with the Settlement Agreement in Docket ER16-227-000, effective January 1, 2016, the General Plant Accumulated Depreciation Reserves shall be adjusted by $1,718,723 for Entergy Arkansas, Inc. to reflect the exclusion of the General Plant Reserve Deficiency.  In addition, that $1,718,723 General Plant Reserve Deficiency adjustment shall be amortized over the 15-year period starting with calendar year 2016 through 2030, and the amortization amounts added to the General Plant Depreciation Expense during the amortization period.</t>
  </si>
  <si>
    <t>2017-02-12 Added per ER16-227</t>
  </si>
  <si>
    <t>Expense</t>
  </si>
  <si>
    <t>303-Miscellaneous Intangible Plant (15 year life)</t>
  </si>
  <si>
    <t>303-Miscellaneous Intangible Plant (20 year life)</t>
  </si>
  <si>
    <t>The 303-Miscellanous Intangible Plant (30 year life) category reflects amortization periods ranging from 33 to 34.25 years.</t>
  </si>
  <si>
    <t>WP AJ5 - EAI General Plant Reserve Deficiency 15-Year Amortization (1)</t>
  </si>
  <si>
    <t>D = B - C</t>
  </si>
  <si>
    <t>Balance (3)</t>
  </si>
  <si>
    <t>Amortization</t>
  </si>
  <si>
    <t>Amortization Year</t>
  </si>
  <si>
    <t>Starting</t>
  </si>
  <si>
    <t>Ending</t>
  </si>
  <si>
    <t>Annual (2)</t>
  </si>
  <si>
    <t>Depreciation Expense (Account 403)</t>
  </si>
  <si>
    <t>Entergy shall recover 100% of the General Plant Reserve Deficiency amounts over a 15-year period for the years 2016 through 2030, but will not recover any return on the General Plant Reserve Depreciation amounts per the Settlement Agreement in ER16-227.</t>
  </si>
  <si>
    <t>Rounded amount.</t>
  </si>
  <si>
    <t>See Appendix A Note "LL".  The General Plant Reserve Deficiency adjustment amount is $1,718,723.</t>
  </si>
  <si>
    <t>FERC Liberalized Depreciation Adjustment</t>
  </si>
  <si>
    <t>Liberalized tax depreciation adjustment for FERC-only (7)</t>
  </si>
  <si>
    <t>7. A supporting work paper with additional detail for this value will be provided.</t>
  </si>
  <si>
    <t>2017-02-12 Added ER16-227</t>
  </si>
  <si>
    <t>Added for 2015TY</t>
  </si>
  <si>
    <t>2017-02-12 Added ER16-227, Entergy will provide a separate workpaper showing how this amount is computed.</t>
  </si>
  <si>
    <t>2017-02-12 Revised for ER16-227</t>
  </si>
  <si>
    <t>Accumulated Depreciation (1) (2)</t>
  </si>
  <si>
    <t>See the supporting workpaper for wholesale-only accumulated depreciation and amortization balances for production plant, transmission plant, intangible, and general plant.  The wholesale-only General Plant balances exclude General Plant Reserve Deficiency amounts that are separately amortized within Attachment O.</t>
  </si>
  <si>
    <t>2017-02-12 Revised ER16-227</t>
  </si>
  <si>
    <t>General Plant Reserve Deficiency Amortization</t>
  </si>
  <si>
    <t>2017-02-12 Revised data source</t>
  </si>
  <si>
    <t>The base ROE shall be as established by FERC and is subject to change consistent with the outcome of proceedings in FERC Docket No. EL15-45, a final order concerning the ROE issue raised in MDEA v. FERC, (D.C. Circuit Case No. 14-1030), and otherwise subject to change pursuant to a FPA section 205 or 206 proceeding. A 50 basis point adder for RTO participation may be added to the ROE provided the total or maximum ROE may not to exceed the upper end of the zone of reasonableness established by FERC in EL14-12 or other proceeding.</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</si>
  <si>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</si>
  <si>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Co-Owner Credits</t>
  </si>
  <si>
    <t>190317: Fas 143 - Federal</t>
  </si>
  <si>
    <t>190318: Fas 143 - State</t>
  </si>
  <si>
    <t>Added 2016</t>
  </si>
  <si>
    <t>190984: ADIT-NOL C/F-State-Non-current</t>
  </si>
  <si>
    <t>State Net Operating Loss carryforward is related to all tax deductions including bonus tax depreciation</t>
  </si>
  <si>
    <t>Renamed for 2016 rate update.  See Line 6.06</t>
  </si>
  <si>
    <t>Renamed for 2016 rate update.  See Line 6.67</t>
  </si>
  <si>
    <t>See below</t>
  </si>
  <si>
    <t>165622: PPD Environmental Systems Corp</t>
  </si>
  <si>
    <t>165623: PPD AR DEQ</t>
  </si>
  <si>
    <t>165631: PPD Motorola Solutions</t>
  </si>
  <si>
    <t>Schedule 7</t>
  </si>
  <si>
    <t>Schedule 8</t>
  </si>
  <si>
    <t>Schedule 9</t>
  </si>
  <si>
    <t>SCH07 FERC ORDER ER13-948 RESETTLEMENT</t>
  </si>
  <si>
    <t>DEC13-MAY14</t>
  </si>
  <si>
    <t>JUN14-DEC14</t>
  </si>
  <si>
    <t>INTEREST - SCH07 FERC ORDER ER13-948 RESETTLEMENT</t>
  </si>
  <si>
    <t>SCH08 FERC ORDER ER13-948 RESETTLEMENT</t>
  </si>
  <si>
    <t>INTEREST - SCH08 FERC ORDER ER13-948 RESETTLEMENT</t>
  </si>
  <si>
    <t>SCH09 FERC ORDER ER13-948 RESETTLEMENT</t>
  </si>
  <si>
    <t>DEC13-MAR14</t>
  </si>
  <si>
    <t>INTEREST - SCH09 FERC ORDER ER13-948 RESETTLEMENT</t>
  </si>
  <si>
    <t>APR14-MAY14</t>
  </si>
  <si>
    <t>JUN14</t>
  </si>
  <si>
    <t>JUL14-SEP14</t>
  </si>
  <si>
    <t xml:space="preserve">Attachment O </t>
  </si>
  <si>
    <t>Explanatory Statements</t>
  </si>
  <si>
    <t>The January 2015 through October 2015 interest rate is 0% pursuant to the July 31, 2015 Settlement Agreement and the September 28, 2015 Procedures for Initial Transition Period filed in Docket No. ER13-948.</t>
  </si>
  <si>
    <t>WP14 Cost of Capital 
Line 28, Columns C-P</t>
  </si>
  <si>
    <t>WP 14 COC Line 28 - is the portion of  Account 207 - Premium on Capital Stock attributable to Preferred Stock and the balance is the Premium on Capital Stock attributable to Common Stock.  See the Reconciliation on Supplemental WP 14.</t>
  </si>
  <si>
    <t>For  the 12 Months Ended 12/31/2015</t>
  </si>
  <si>
    <t>WP17 Revenues</t>
  </si>
  <si>
    <t xml:space="preserve">Allocate Schedule 7 to LT &amp; ST based 2016 per book Schedule 7 revenue </t>
  </si>
  <si>
    <t>WP17 Revenue Support - Account 456 Out-of-Period Revenue for ER13-948 2014 Test Year True-up</t>
  </si>
  <si>
    <t xml:space="preserve">Description </t>
  </si>
  <si>
    <t>Period</t>
  </si>
  <si>
    <t>Total Schedule Out-of-Period Amount</t>
  </si>
  <si>
    <t>Ln.</t>
  </si>
  <si>
    <t>Amount (1)</t>
  </si>
  <si>
    <t>Total Schedule Out-of-Period Amount (2)</t>
  </si>
  <si>
    <t>Reclassify True-up amounts from either "Revenue Credits" or "Network Revenue" to "Other"</t>
  </si>
  <si>
    <t>Arklahoma Transmission Acquisition Costs (EC17-92-000)</t>
  </si>
  <si>
    <t>Appendix A Support</t>
  </si>
  <si>
    <t>C = A x B/366</t>
  </si>
  <si>
    <t>ROE</t>
  </si>
  <si>
    <t>Days</t>
  </si>
  <si>
    <t>Effective ROE</t>
  </si>
  <si>
    <t>Function</t>
  </si>
  <si>
    <t>Depreciation</t>
  </si>
  <si>
    <t>BOY (1)</t>
  </si>
  <si>
    <t>EOY (2)</t>
  </si>
  <si>
    <t>Blended</t>
  </si>
  <si>
    <t>Wholesale</t>
  </si>
  <si>
    <t>WP04 Ln 23 &amp; 35 (3)</t>
  </si>
  <si>
    <t>Net</t>
  </si>
  <si>
    <t>Composite Tax Rate</t>
  </si>
  <si>
    <t>App A Ln 150</t>
  </si>
  <si>
    <t xml:space="preserve">"BOY" (Beginning of Year) is the value in the prior test year's FERC Form 1. </t>
  </si>
  <si>
    <t>"EOY" (End of Year) is the value in the current test year's FERC Form 1.</t>
  </si>
  <si>
    <t>Total ADIT Adjusted</t>
  </si>
  <si>
    <t>WP06 - ADIT Support - Liberalized Depreciation Adjustment</t>
  </si>
  <si>
    <t>Adjustment to Liberalized Depreciation</t>
  </si>
  <si>
    <t>See WP04 Col. B - Intang, Col. F - Transm, Col. I - Distrib, Col. E - Prod, &amp; Col. J - General.</t>
  </si>
  <si>
    <t>2017-02-12 Deleted ER16-227</t>
  </si>
  <si>
    <t>WP04 - 13-Month Average Plant In Service &amp; Accumulated Depreciation &amp; Amortization Balances</t>
  </si>
  <si>
    <t xml:space="preserve">See the new note for an additional non-tariff workpaper. </t>
  </si>
  <si>
    <t>Depreciation Expense &amp; General Plant Reserve Deficiency Amortization Expense</t>
  </si>
  <si>
    <t>2017-02-12: MISO-wide ROE changed in EL14-12; Tariff compliance filing in ER17-215</t>
  </si>
  <si>
    <t>Other Adjustments Depreciation Expense &amp; GPRD Amortization</t>
  </si>
  <si>
    <t>2017-02-12 Revised title</t>
  </si>
  <si>
    <t>2017-02-12 Added note "LL" per ER16-227</t>
  </si>
  <si>
    <t>WP22 - Income Tax Adjustments</t>
  </si>
  <si>
    <t>Excess Deferred Income Taxes</t>
  </si>
  <si>
    <t>Permanent Differences in Income Tax</t>
  </si>
  <si>
    <t>(1) See Note I to Appendix A.  Enter as negative.</t>
  </si>
  <si>
    <t>(2) See Note I to Appendix A.</t>
  </si>
  <si>
    <t>WP21 - Pension</t>
  </si>
  <si>
    <t>F = C+D+E</t>
  </si>
  <si>
    <t>K = G+H+I+J</t>
  </si>
  <si>
    <t>Qualified Pension</t>
  </si>
  <si>
    <t>Non-Qualified Pension</t>
  </si>
  <si>
    <t>Account 253012
Funded Status</t>
  </si>
  <si>
    <t>Account 182381- Resource Code 300
Regulatory Asset - Unrecognized Gains/(Losses)</t>
  </si>
  <si>
    <t>Account 219381-Resouce Code 300
Accum Other Comprehensive Income- Unrecognized Gains/(Losses)</t>
  </si>
  <si>
    <t>Qualified Pension
Prepaid Pension Asset/
(Accrued Pension Liability)</t>
  </si>
  <si>
    <t>Account 242309 - Current Portion of Non-Qualified Pension</t>
  </si>
  <si>
    <t xml:space="preserve"> Account 253013 Non-Qualified Pension</t>
  </si>
  <si>
    <t>Account 182381-Resouce Code 299
Regulatory Asset - Unrecognized Gains/(Losses)</t>
  </si>
  <si>
    <t>Account 219381-Resouce Code 299
Accum Other Comprehensive Income- Unrecognized Gains/(Losses)</t>
  </si>
  <si>
    <t>Non-Qualified Pension
Prepaid Pension Asset/
(Accrued Pension Liability)</t>
  </si>
  <si>
    <t>13-Mo Avg (3)</t>
  </si>
  <si>
    <t xml:space="preserve">p.269.f Amounts are entered as negative of FERC Form 1 </t>
  </si>
  <si>
    <t>(Sum of Line 4 though Line 16) / 13</t>
  </si>
  <si>
    <t>2017-01-10: ER15-1436 Changed from Other to Labor</t>
  </si>
  <si>
    <t>Qualified Pension Prepaid Asset / Liability</t>
  </si>
  <si>
    <t>2017-01-12: ER15-1436 Added Line</t>
  </si>
  <si>
    <t>Non-Qualified Pension Prepaid Asset / Liability</t>
  </si>
  <si>
    <t>2017-01-12: Added new Line</t>
  </si>
  <si>
    <t>Total Tax Adjustments</t>
  </si>
  <si>
    <t>2017-01-12: Added new line for "Total"</t>
  </si>
  <si>
    <t>Total Allocated Income Tax Adjustments</t>
  </si>
  <si>
    <t>2017-01-12 Revised Formula from Line 152 to 155 to include new Lines</t>
  </si>
  <si>
    <t>2017-01-10: ER15-1436 Added text</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</si>
  <si>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Permanent Differences in Income Taxes increases income tax expense revenue requirement by the amount of the expense multiplied by 1/(1-T) for differences in the income taxes due under the Federal and State calculations and the income taxes recorded on the Company's financial statements.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</si>
  <si>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2017-04-03 Added row for Arklahoma adjustment.</t>
  </si>
  <si>
    <t>TU Amount Billed in Test Year</t>
  </si>
  <si>
    <t>(9)</t>
  </si>
  <si>
    <t xml:space="preserve">Revenues updated to reflect ROE from EL14-12 &amp; MISO re-billings </t>
  </si>
  <si>
    <t>Monthly interest rate updated to reflect most recent FERC Quarterly Interest Rates</t>
  </si>
  <si>
    <t>See WP01 TU Support for True-up Amount Billed</t>
  </si>
  <si>
    <t>See Ln 152. Entergy chose to include the A/C 255 ADIT annual credit in the income tax calculation rather than the rate base balance</t>
  </si>
  <si>
    <t>Should be zero (0).  EAI is no longer in the Entergy System Agreement</t>
  </si>
  <si>
    <t>Rate</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</si>
  <si>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</si>
  <si>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WP18 - Depreciation &amp; Amortization Rates &amp; Annual FERC Depreciation &amp; Amortization Expense (1)</t>
  </si>
  <si>
    <t>Not Used</t>
  </si>
  <si>
    <t>None at this time</t>
  </si>
  <si>
    <t>Typically zero (0)</t>
  </si>
  <si>
    <t>2/12/2017: EL14-12 changed MISO-wide ROE 9/28/2016; Compliance filing in ER17-215</t>
  </si>
  <si>
    <t>Input by MISO - None at this time</t>
  </si>
  <si>
    <t>Renewable requests for proposal for delivery of electric capacity energy and ot</t>
  </si>
  <si>
    <t>p. 335.18.b</t>
  </si>
  <si>
    <t>p. 335.14.b to 335.16.b</t>
  </si>
  <si>
    <t>p. 335.19.b</t>
  </si>
  <si>
    <t>2017: Added Row to conform to data in account</t>
  </si>
  <si>
    <t>OpCo Transmission</t>
  </si>
  <si>
    <t>ESI Transmission</t>
  </si>
  <si>
    <t>OpCo Total Wages</t>
  </si>
  <si>
    <t>ESI Production</t>
  </si>
  <si>
    <t>ESI Distribution</t>
  </si>
  <si>
    <t>ESI Customer Accounts</t>
  </si>
  <si>
    <t>ESI Customer Service</t>
  </si>
  <si>
    <t>ESI Sales</t>
  </si>
  <si>
    <t>ESI Administrative &amp; General</t>
  </si>
  <si>
    <t>EOI Administrative &amp; General</t>
  </si>
  <si>
    <t>EOI Payroll</t>
  </si>
  <si>
    <t>OpCo Administrative &amp; General</t>
  </si>
  <si>
    <t>Steam</t>
  </si>
  <si>
    <t>Nuclear</t>
  </si>
  <si>
    <t>Hyraulic</t>
  </si>
  <si>
    <t>165508: PPD Emergency Planning Fees</t>
  </si>
  <si>
    <t>Union Power Station write off</t>
  </si>
  <si>
    <t>ALLOCATION TO JOINT TRANMISSION OWNER</t>
  </si>
  <si>
    <t>All</t>
  </si>
  <si>
    <t>4560UP: Trans-Union Contract Revenue</t>
  </si>
  <si>
    <t>4561A3: MISO Sch 41 Stm Securit AECC</t>
  </si>
  <si>
    <t>4561A4: MISO Sch 42 AECC</t>
  </si>
  <si>
    <t>Adjustment does not include A/C 407348 (carrying charges).  It will match FF1 232.31.e with that account.</t>
  </si>
  <si>
    <t>This adjustment intentionally left blank. Project was closed in 2015 and no charges made in 2016.</t>
  </si>
  <si>
    <t xml:space="preserve"> See Entergy's March 15, 2017 filing in FERC Docket EC17-92.</t>
  </si>
  <si>
    <t>Arklahoma (1)</t>
  </si>
  <si>
    <t>Includes Informational updates and ROE change</t>
  </si>
  <si>
    <t>Service Revenues adjusted on WP17 to reflect Out of Period revenues for 2014TY True-up per ER13-948</t>
  </si>
  <si>
    <t>Imputed Revenues adjusted to reflect Out of Period revenues for 2014TY True-up per ER13-948</t>
  </si>
  <si>
    <t>FERC interest updated per FERC website.</t>
  </si>
  <si>
    <t>ESI Regional Market</t>
  </si>
  <si>
    <t>2014TY True-up was separately billed</t>
  </si>
  <si>
    <t>Supporting Workpaper for Cost of Capital Premium on Capital Stock and Capital Stock Expense</t>
  </si>
  <si>
    <t>Account Desc</t>
  </si>
  <si>
    <t>Project Desc</t>
  </si>
  <si>
    <t>207000</t>
  </si>
  <si>
    <t>Premium On Capital Stock</t>
  </si>
  <si>
    <t>4.32% $100 PAR</t>
  </si>
  <si>
    <t>[1]</t>
  </si>
  <si>
    <t>4.56% $100 PAR</t>
  </si>
  <si>
    <t>4.56%(1965)$100 PAR</t>
  </si>
  <si>
    <t>4.72% $100 PAR</t>
  </si>
  <si>
    <t>6.08% $100 PAR</t>
  </si>
  <si>
    <t>7.32% $100 PAR</t>
  </si>
  <si>
    <t>7.40% $100 PAR</t>
  </si>
  <si>
    <t>7.80% $100 PAR</t>
  </si>
  <si>
    <t>7.88% $100 PAR</t>
  </si>
  <si>
    <t>9.92% $25 PAR</t>
  </si>
  <si>
    <t>[2]</t>
  </si>
  <si>
    <t>207000 Total</t>
  </si>
  <si>
    <t>207001</t>
  </si>
  <si>
    <t>Prem Cap Stk-Common</t>
  </si>
  <si>
    <t>$1.96 $.01 PAR (DISCOUNT)</t>
  </si>
  <si>
    <t>207001 Total</t>
  </si>
  <si>
    <t>207002</t>
  </si>
  <si>
    <t>Prem Cap Stk-Preferred</t>
  </si>
  <si>
    <t>$1.96 $.01 PAR</t>
  </si>
  <si>
    <t>207002 Total</t>
  </si>
  <si>
    <t>207806</t>
  </si>
  <si>
    <t>PIC - Restricted Stock Awards</t>
  </si>
  <si>
    <t>207806 Total</t>
  </si>
  <si>
    <t>214000</t>
  </si>
  <si>
    <t>Capital Stock Expense</t>
  </si>
  <si>
    <t>8.52% $100 PAR</t>
  </si>
  <si>
    <t>214000 Total</t>
  </si>
  <si>
    <t>214001</t>
  </si>
  <si>
    <t>Capital Stock Expense-Common</t>
  </si>
  <si>
    <t>214001 Total</t>
  </si>
  <si>
    <t>[3]</t>
  </si>
  <si>
    <t>214CPD</t>
  </si>
  <si>
    <t>Capital Stock Expense (CPD)</t>
  </si>
  <si>
    <t>EAI $75MM Preferred Stock 6.45%</t>
  </si>
  <si>
    <t>214CPD Total</t>
  </si>
  <si>
    <t>[4]</t>
  </si>
  <si>
    <t>Reconciliation to FERC Form 1:</t>
  </si>
  <si>
    <t>General Ledger:</t>
  </si>
  <si>
    <t>FERC Form 1:</t>
  </si>
  <si>
    <t>[1] Premium on Preferred Stock</t>
  </si>
  <si>
    <t>[2] Premium on Common Stock</t>
  </si>
  <si>
    <t>p.112.6.c &amp; d</t>
  </si>
  <si>
    <t>[3] Capital Stock Expense - Common</t>
  </si>
  <si>
    <t>p.254b.1.b</t>
  </si>
  <si>
    <t>[4] Capital Stock Expense - Preferred</t>
  </si>
  <si>
    <t>p.254b.2.b</t>
  </si>
  <si>
    <t>p.112.10.c &amp; d and p.254b.22.b</t>
  </si>
  <si>
    <t>Other FERC Transmission Dockets</t>
  </si>
  <si>
    <r>
      <t xml:space="preserve">The Note to salaries and Wages should reference "Schedule Page </t>
    </r>
    <r>
      <rPr>
        <b/>
        <i/>
        <sz val="10"/>
        <rFont val="Arial"/>
        <family val="2"/>
      </rPr>
      <t>355</t>
    </r>
    <r>
      <rPr>
        <sz val="10"/>
        <rFont val="Arial"/>
        <family val="2"/>
      </rPr>
      <t xml:space="preserve"> Line No.: 96" instead of page 354. </t>
    </r>
  </si>
  <si>
    <t>303-Miscellaneous Intangible Plant (30 year life)</t>
  </si>
  <si>
    <t>WP04 Support - Accumulated Depreciation &amp; Amortization Balances</t>
  </si>
  <si>
    <t>Added 2017-05-10 per ER16-227 Settlement</t>
  </si>
  <si>
    <t>2015 End Reserve Bal</t>
  </si>
  <si>
    <t>2016 Depr Exp</t>
  </si>
  <si>
    <t>2016 Retirements</t>
  </si>
  <si>
    <t>2016 GPRD Adj</t>
  </si>
  <si>
    <t>2016 Missing RET Adj</t>
  </si>
  <si>
    <t>2016 Incremental Adj</t>
  </si>
  <si>
    <t>Removal / Salvage</t>
  </si>
  <si>
    <t>2016 End Reserve</t>
  </si>
  <si>
    <t>See WP04 Line 23 for starting balances</t>
  </si>
  <si>
    <t>See WP04 Line 35 for ending balances</t>
  </si>
  <si>
    <t>CONTIGUOUS</t>
  </si>
  <si>
    <t>CUSTOMER &amp; GEN</t>
  </si>
  <si>
    <t>GRID BENEFIT</t>
  </si>
  <si>
    <t>TWO CUSTOMERS</t>
  </si>
  <si>
    <t>Exclude</t>
  </si>
  <si>
    <t>2016</t>
  </si>
  <si>
    <t>Informational Purposes Only</t>
  </si>
  <si>
    <t xml:space="preserve">This is for </t>
  </si>
  <si>
    <t>Support to WP02 - Miscellaneous</t>
  </si>
  <si>
    <t>Needs note to enter values as negative</t>
  </si>
  <si>
    <t>Add to Tariff Clean-up</t>
  </si>
  <si>
    <t>Corrected rate in column B to match filing in ER 16-227</t>
  </si>
  <si>
    <t>Add to Explanatory Statement</t>
  </si>
  <si>
    <t>Corrected to only get preferred piece from WP14 Support</t>
  </si>
  <si>
    <t>p.219.20.c - 24.c</t>
  </si>
  <si>
    <t>Note LL Should be on Line 107 vs. 106.  The adjustment is done on line 107 not 106.</t>
  </si>
  <si>
    <t>Support to WP02</t>
  </si>
  <si>
    <t>WP AJ2 ITC</t>
  </si>
  <si>
    <t>WP AJ4 Ouachita</t>
  </si>
  <si>
    <t>WP AJ3 HCM</t>
  </si>
  <si>
    <t>WP AJ1 MISO</t>
  </si>
  <si>
    <t>The Company is not seeking recovery of the HCM expenses</t>
  </si>
  <si>
    <t>WP AJ5 GPRD</t>
  </si>
  <si>
    <t>The Company is not seeking recovery of expenses recorded in Account 566 for transmission upgrades made for EAI's benefit at the Ouachita Generation Station located within ELL's service territory.</t>
  </si>
  <si>
    <t>The Company is not seeking recovery of MISO implementation costs.</t>
  </si>
  <si>
    <t>WP01 TU Support</t>
  </si>
  <si>
    <t>Added yellow shading to Col C for inputs</t>
  </si>
  <si>
    <t>Should be "Enter as Negative"  Add to Explanatory Statements</t>
  </si>
  <si>
    <t>Changed reference to new tab name</t>
  </si>
  <si>
    <t>WP02</t>
  </si>
  <si>
    <t>EAI will not seek recovery of expenses related to dissolution of the Arklahoma corporation, of which EAI was part owner, or purchase of transmission assets owned by Arklahoma.</t>
  </si>
  <si>
    <t>WP20 Reserves</t>
  </si>
  <si>
    <t>"Enter as Negative" footnote needed for Accounts 2281 through 228400.</t>
  </si>
  <si>
    <t>WP AJ2 ITC was intentionally left blank. That project was closed in 2015 and no further charges were made.</t>
  </si>
  <si>
    <t>Sch 7 ER13-948 True-up - Out of Period (Explanatory Stmnt)</t>
  </si>
  <si>
    <t>Sch 8 ER13-948 True-up - Out of Period (Explanatory Stmnt)</t>
  </si>
  <si>
    <t>Sch 9 ER13-948 True-up - Out of Period (Explanatory Stmnt)</t>
  </si>
  <si>
    <t>A split of Schedule 42A/B revenues in A/C 456142 &amp; 4561A4 has been included for additional information.</t>
  </si>
  <si>
    <t>An adjustment to the reserve balance was made for miscellaneous items.</t>
  </si>
  <si>
    <t xml:space="preserve">Amounts identified that should have been included in the accumulated depreciation reserve balance after the books are closed for the year are separately included in the reserve balance. </t>
  </si>
  <si>
    <t>2016  Storm Contra Adj</t>
  </si>
  <si>
    <t>See FERC Docket ER17-1549 Filed May 1, 2017, Page "A - 2016 Summary", Column "2016 Actuals"</t>
  </si>
  <si>
    <t>WP12 PBOP</t>
  </si>
  <si>
    <t>Amounts associated with Storm Contra amounts and identified after the books are closed for the year are separately included in the reserve balance.</t>
  </si>
  <si>
    <t>p.219.26.c</t>
  </si>
  <si>
    <t>p.219.28.c</t>
  </si>
  <si>
    <t>p.219.25.c</t>
  </si>
  <si>
    <t>See App A</t>
  </si>
  <si>
    <t>Source file is: S5 ELL Template FERC Att O 2015TY (2016-09-28).xlsx but updated for 2017-03-15 Informational Update WP AJ6 adjustments</t>
  </si>
  <si>
    <t>Only the True-up amounts for the months of June - December 2016 will be reflected in the 2017 Update based on the 2016TY.  The remaining 2015TY True-up amounts will be collected in January - May 2017 and reflected in the 2018 Update based on a 2017 TY True-up calculation.</t>
  </si>
  <si>
    <t>(11)</t>
  </si>
  <si>
    <t>Source file is: Appendix A Line 193 of S5 EAI Template FERC Att O 2015TY (2016-09-28).xlsx but updated to include 2017-03-15 Informational Update in Docket No. ER17-1262 adjustments detailed in WP04 &amp; WPAJ5.</t>
  </si>
  <si>
    <t>Arklahoma Transmission Acquisition Costs (EC17-92-000) (Enter as Negative)</t>
  </si>
  <si>
    <t xml:space="preserve">Changed reference to new tab name and added "Enter as Negative" </t>
  </si>
  <si>
    <t>Production excluding ARO</t>
  </si>
  <si>
    <t>See WP06 ADIT Support</t>
  </si>
  <si>
    <t>See WP AJ3 GPRD Adjustment for General Plant Reserve Deficiency</t>
  </si>
  <si>
    <t xml:space="preserve">Total for column is the sum of FF1 219.13.c + 219.14.c (enter as a negative) </t>
  </si>
  <si>
    <t>See FF1: Intangible - 205.5.d; Production - 205.46.d; Transmission - 207.58.d; Distribution - 207.75.d; &amp; General Plant - 207.99.d</t>
  </si>
  <si>
    <t>(D+G+H+I)</t>
  </si>
  <si>
    <t>See WP18 &amp; WP18 Support for Depreciation Expense balances</t>
  </si>
  <si>
    <t>Sum (C thru J)</t>
  </si>
  <si>
    <r>
      <t xml:space="preserve">Source file is: </t>
    </r>
    <r>
      <rPr>
        <i/>
        <sz val="10"/>
        <rFont val="Arial"/>
        <family val="2"/>
      </rPr>
      <t>S5 ELL Template FERC Att O 2015TY (2016-09-28).xlsx</t>
    </r>
    <r>
      <rPr>
        <sz val="10"/>
        <rFont val="Arial"/>
        <family val="2"/>
      </rPr>
      <t xml:space="preserve"> but updated for 2017-03-15 Informational Update adjustments</t>
    </r>
  </si>
  <si>
    <t>"Enter as Negative" instruction needed for WP AJ3 HCM amounts which are reductions to expense.</t>
  </si>
  <si>
    <t>In Docket No. ER13-948, any Attachment O surcharges for the period December 19, 2013 to December 31, 2014 were separately calculated and billed by MISO in 2016 and booked in Account 456.  Additional lines were added to the WP17 Account 456 detail to reclassify True-up revenues by Schedule from "Revenue Credits" and "Network Revenues" to "Other".  Schedule 7 surcharge revenues were split between Schedule 7 LT and Schedule 7 ST in the same proportion as those revenues were booked in 2016.</t>
  </si>
  <si>
    <t>Not Available</t>
  </si>
  <si>
    <t>Data not available for Cols E-K for Production as of 6/7</t>
  </si>
  <si>
    <t>Distribution Plant</t>
  </si>
  <si>
    <t>360_1_Land</t>
  </si>
  <si>
    <t>360_2_Land Rights</t>
  </si>
  <si>
    <t>361_0_Structures And Improvements</t>
  </si>
  <si>
    <t>362_0_Station Equipment</t>
  </si>
  <si>
    <t>364_0_Poles, Towers, and Fixtures</t>
  </si>
  <si>
    <t>365_1_Overhead Conductors &amp; Devices</t>
  </si>
  <si>
    <t>365_2_Overhead Conductors &amp; Devices</t>
  </si>
  <si>
    <t>365_3_Overhead Conductors &amp; Devices</t>
  </si>
  <si>
    <t>366_0_Underground Conduit</t>
  </si>
  <si>
    <t>367_0_Underground Conductor, Devices</t>
  </si>
  <si>
    <t>368_1_Line Transformers</t>
  </si>
  <si>
    <t>369_1_Services-Overhead</t>
  </si>
  <si>
    <t>369_2_Services-Underground</t>
  </si>
  <si>
    <t>370_0_Meters</t>
  </si>
  <si>
    <t>370_1_Meters</t>
  </si>
  <si>
    <t>371_0_Installations On Cust Premises</t>
  </si>
  <si>
    <t>373_0_Street Light &amp; Signal Systems</t>
  </si>
  <si>
    <t>373_2_Street Lighting - Non Roadway</t>
  </si>
  <si>
    <t xml:space="preserve">WP 18 Additional Support - FERC approved Depreciation Rates &amp; Annual Expense 
for Distribution Property </t>
  </si>
  <si>
    <t>WP 18 Support</t>
  </si>
  <si>
    <t xml:space="preserve">Added FERC Approved Distribution Depreciation Rates &amp; Expense to a supporting workpaper. </t>
  </si>
  <si>
    <t>The Company is recovering a General Plant Reserve Deficiency amount through a 15 year amortization.  The GPRD was removed from the general plant depreciation reserves for general plant assets that were retired at the end of their useful lives but before their book-life depreciation was fully recovered.</t>
  </si>
  <si>
    <t>check do not print</t>
  </si>
  <si>
    <t xml:space="preserve">Appendix A </t>
  </si>
  <si>
    <t>Note LL was moved from Line 106 to Line 107 in Column E on Appendix A</t>
  </si>
  <si>
    <t>WP17 Line 7 Column D '(8)</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</si>
</sst>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_(* #,##0.000_);_(* \(#,##0.000\);_(* &quot;-&quot;??_);_(@_)"/>
    <numFmt numFmtId="200" formatCode="0.0000000000000000000"/>
  </numFmts>
  <fonts count="17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0"/>
      <color rgb="FFC00000"/>
      <name val="Arial"/>
      <family val="2"/>
    </font>
    <font>
      <b/>
      <sz val="12"/>
      <color rgb="FFC00000"/>
      <name val="Arial"/>
      <family val="2"/>
    </font>
    <font>
      <b/>
      <sz val="11"/>
      <color rgb="FFFF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sz val="10.8"/>
      <name val="Arial"/>
      <family val="2"/>
    </font>
    <font>
      <sz val="10"/>
      <name val="Arial"/>
      <family val="2"/>
    </font>
    <font>
      <sz val="11"/>
      <color indexed="8"/>
      <name val="Calibri"/>
      <family val="2"/>
      <scheme val="minor"/>
    </font>
    <font>
      <b/>
      <u/>
      <sz val="10"/>
      <color rgb="FFFF0000"/>
      <name val="Arial"/>
      <family val="2"/>
    </font>
    <font>
      <b/>
      <strike/>
      <u/>
      <sz val="10"/>
      <color rgb="FFFF0000"/>
      <name val="Arial"/>
      <family val="2"/>
    </font>
    <font>
      <sz val="11"/>
      <color rgb="FF002060"/>
      <name val="Arial"/>
      <family val="2"/>
    </font>
    <font>
      <b/>
      <u/>
      <sz val="10"/>
      <name val="Arial Narrow"/>
      <family val="2"/>
    </font>
    <font>
      <u/>
      <sz val="12"/>
      <name val="Arial"/>
      <family val="2"/>
    </font>
    <font>
      <i/>
      <sz val="10"/>
      <name val="Arial"/>
      <family val="2"/>
    </font>
    <font>
      <b/>
      <strike/>
      <sz val="12"/>
      <name val="Arial"/>
      <family val="2"/>
    </font>
    <font>
      <u val="singleAccounting"/>
      <sz val="12"/>
      <name val="Arial"/>
      <family val="2"/>
    </font>
    <font>
      <strike/>
      <u/>
      <sz val="10"/>
      <name val="Arial"/>
      <family val="2"/>
    </font>
    <font>
      <b/>
      <i/>
      <sz val="10"/>
      <name val="Arial"/>
      <family val="2"/>
    </font>
    <font>
      <b/>
      <u/>
      <sz val="11"/>
      <color theme="1"/>
      <name val="Calibri"/>
      <family val="2"/>
      <scheme val="minor"/>
    </font>
    <font>
      <b/>
      <sz val="11"/>
      <name val="Arial"/>
      <family val="2"/>
    </font>
    <font>
      <sz val="11"/>
      <name val="Arial"/>
      <family val="2"/>
    </font>
    <font>
      <b/>
      <strike/>
      <u/>
      <sz val="10"/>
      <name val="Arial"/>
      <family val="2"/>
    </font>
  </fonts>
  <fills count="5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theme="4" tint="0.79998168889431442"/>
        <bgColor indexed="64"/>
      </patternFill>
    </fill>
    <fill>
      <patternFill patternType="solid">
        <fgColor rgb="FF66FFFF"/>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37704">
    <xf numFmtId="0" fontId="0" fillId="0" borderId="0"/>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73" fillId="14" borderId="0" applyNumberFormat="0" applyBorder="0" applyAlignment="0" applyProtection="0"/>
    <xf numFmtId="0" fontId="73" fillId="4"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0" fontId="74" fillId="5" borderId="0" applyNumberFormat="0" applyBorder="0" applyAlignment="0" applyProtection="0"/>
    <xf numFmtId="0" fontId="94" fillId="0" borderId="0" applyNumberFormat="0" applyFill="0" applyBorder="0" applyAlignment="0" applyProtection="0"/>
    <xf numFmtId="0" fontId="81" fillId="12" borderId="1" applyNumberFormat="0" applyAlignment="0" applyProtection="0"/>
    <xf numFmtId="0" fontId="75" fillId="22" borderId="2" applyNumberFormat="0" applyAlignment="0" applyProtection="0"/>
    <xf numFmtId="172" fontId="68" fillId="0" borderId="0">
      <alignment horizontal="center" wrapText="1"/>
    </xf>
    <xf numFmtId="43" fontId="43" fillId="0" borderId="0" applyFont="0" applyFill="0" applyBorder="0" applyAlignment="0" applyProtection="0"/>
    <xf numFmtId="178" fontId="95" fillId="0" borderId="0"/>
    <xf numFmtId="178" fontId="95" fillId="0" borderId="0"/>
    <xf numFmtId="178" fontId="95" fillId="0" borderId="0"/>
    <xf numFmtId="178" fontId="95" fillId="0" borderId="0"/>
    <xf numFmtId="178" fontId="95" fillId="0" borderId="0"/>
    <xf numFmtId="178" fontId="95" fillId="0" borderId="0"/>
    <xf numFmtId="178" fontId="95" fillId="0" borderId="0"/>
    <xf numFmtId="178" fontId="95" fillId="0" borderId="0"/>
    <xf numFmtId="41" fontId="63" fillId="0" borderId="0" applyFont="0" applyFill="0" applyBorder="0" applyAlignment="0" applyProtection="0"/>
    <xf numFmtId="41" fontId="6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03" fillId="0" borderId="0" applyFont="0" applyFill="0" applyBorder="0" applyAlignment="0" applyProtection="0"/>
    <xf numFmtId="43" fontId="5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3" fontId="43" fillId="23" borderId="0" applyFont="0" applyFill="0" applyBorder="0" applyAlignment="0" applyProtection="0"/>
    <xf numFmtId="0" fontId="96" fillId="0" borderId="0"/>
    <xf numFmtId="0" fontId="43" fillId="0" borderId="3"/>
    <xf numFmtId="173" fontId="47" fillId="0" borderId="0">
      <protection locked="0"/>
    </xf>
    <xf numFmtId="44" fontId="43" fillId="0" borderId="0" applyFont="0" applyFill="0" applyBorder="0" applyAlignment="0" applyProtection="0"/>
    <xf numFmtId="179" fontId="43" fillId="0" borderId="0" applyFont="0" applyFill="0" applyBorder="0" applyAlignment="0" applyProtection="0"/>
    <xf numFmtId="180" fontId="97" fillId="0" borderId="0" applyFont="0" applyFill="0" applyBorder="0" applyAlignment="0" applyProtection="0"/>
    <xf numFmtId="44" fontId="5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1" fillId="0" borderId="0" applyFont="0" applyFill="0" applyBorder="0" applyAlignment="0" applyProtection="0"/>
    <xf numFmtId="44" fontId="63" fillId="0" borderId="0" applyFont="0" applyFill="0" applyBorder="0" applyAlignment="0" applyProtection="0"/>
    <xf numFmtId="5" fontId="43" fillId="23" borderId="0" applyFont="0" applyFill="0" applyBorder="0" applyAlignment="0" applyProtection="0"/>
    <xf numFmtId="0" fontId="43" fillId="23" borderId="0" applyFont="0" applyFill="0" applyBorder="0" applyAlignment="0" applyProtection="0"/>
    <xf numFmtId="0" fontId="76" fillId="0" borderId="0" applyNumberFormat="0" applyFill="0" applyBorder="0" applyAlignment="0" applyProtection="0"/>
    <xf numFmtId="2" fontId="43" fillId="23" borderId="0" applyFont="0" applyFill="0" applyBorder="0" applyAlignment="0" applyProtection="0"/>
    <xf numFmtId="0" fontId="48" fillId="0" borderId="0">
      <alignment horizontal="left"/>
    </xf>
    <xf numFmtId="164" fontId="97" fillId="0" borderId="0" applyFont="0" applyFill="0" applyBorder="0" applyAlignment="0" applyProtection="0"/>
    <xf numFmtId="181" fontId="43" fillId="0" borderId="0" applyFont="0" applyFill="0" applyBorder="0" applyAlignment="0" applyProtection="0">
      <alignment horizontal="center"/>
    </xf>
    <xf numFmtId="164" fontId="97" fillId="0" borderId="0" applyFont="0" applyFill="0" applyBorder="0" applyAlignment="0" applyProtection="0"/>
    <xf numFmtId="0" fontId="82" fillId="7" borderId="0" applyNumberFormat="0" applyBorder="0" applyAlignment="0" applyProtection="0"/>
    <xf numFmtId="38" fontId="66" fillId="24" borderId="0" applyNumberFormat="0" applyBorder="0" applyAlignment="0" applyProtection="0"/>
    <xf numFmtId="0" fontId="98" fillId="0" borderId="4">
      <alignment horizontal="left"/>
    </xf>
    <xf numFmtId="0" fontId="45" fillId="0" borderId="5" applyNumberFormat="0" applyAlignment="0" applyProtection="0">
      <alignment horizontal="left" vertical="center"/>
    </xf>
    <xf numFmtId="0" fontId="45" fillId="0" borderId="6">
      <alignment horizontal="left" vertical="center"/>
    </xf>
    <xf numFmtId="14" fontId="44" fillId="25" borderId="7">
      <alignment horizontal="center" vertical="center" wrapText="1"/>
    </xf>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0" fontId="66" fillId="26" borderId="11" applyNumberFormat="0" applyBorder="0" applyAlignment="0" applyProtection="0"/>
    <xf numFmtId="0" fontId="77" fillId="8" borderId="1" applyNumberFormat="0" applyAlignment="0" applyProtection="0"/>
    <xf numFmtId="174" fontId="47" fillId="0" borderId="0">
      <alignment horizontal="center"/>
      <protection locked="0"/>
    </xf>
    <xf numFmtId="0" fontId="87" fillId="0" borderId="12" applyNumberFormat="0" applyFill="0" applyAlignment="0" applyProtection="0"/>
    <xf numFmtId="0" fontId="88" fillId="27" borderId="0" applyNumberFormat="0" applyBorder="0" applyAlignment="0" applyProtection="0"/>
    <xf numFmtId="37" fontId="99" fillId="0" borderId="0"/>
    <xf numFmtId="182" fontId="100" fillId="0" borderId="0"/>
    <xf numFmtId="0" fontId="41" fillId="0" borderId="0"/>
    <xf numFmtId="0" fontId="43" fillId="0" borderId="0"/>
    <xf numFmtId="0" fontId="43" fillId="0" borderId="0"/>
    <xf numFmtId="0" fontId="43" fillId="0" borderId="0"/>
    <xf numFmtId="0" fontId="43" fillId="0" borderId="0"/>
    <xf numFmtId="0" fontId="41" fillId="0" borderId="0"/>
    <xf numFmtId="0" fontId="43" fillId="0" borderId="0"/>
    <xf numFmtId="0" fontId="40" fillId="0" borderId="0"/>
    <xf numFmtId="0" fontId="41" fillId="0" borderId="0"/>
    <xf numFmtId="0" fontId="40" fillId="0" borderId="0"/>
    <xf numFmtId="0" fontId="40" fillId="0" borderId="0"/>
    <xf numFmtId="0" fontId="43" fillId="0" borderId="0">
      <alignment vertical="top"/>
    </xf>
    <xf numFmtId="0" fontId="43" fillId="0" borderId="0"/>
    <xf numFmtId="0" fontId="43" fillId="0" borderId="0">
      <alignment vertical="top"/>
    </xf>
    <xf numFmtId="0" fontId="40" fillId="0" borderId="0"/>
    <xf numFmtId="0" fontId="41" fillId="0" borderId="0"/>
    <xf numFmtId="0" fontId="41" fillId="0" borderId="0"/>
    <xf numFmtId="176" fontId="43" fillId="0" borderId="0"/>
    <xf numFmtId="0" fontId="40" fillId="0" borderId="0"/>
    <xf numFmtId="176" fontId="43" fillId="0" borderId="0"/>
    <xf numFmtId="0" fontId="40" fillId="0" borderId="0"/>
    <xf numFmtId="0" fontId="89" fillId="0" borderId="0"/>
    <xf numFmtId="0" fontId="43" fillId="0" borderId="0"/>
    <xf numFmtId="0" fontId="106" fillId="0" borderId="0"/>
    <xf numFmtId="0" fontId="106" fillId="0" borderId="0"/>
    <xf numFmtId="0" fontId="43" fillId="0" borderId="0"/>
    <xf numFmtId="0" fontId="43" fillId="0" borderId="0"/>
    <xf numFmtId="0" fontId="106" fillId="0" borderId="0"/>
    <xf numFmtId="0" fontId="106" fillId="0" borderId="0"/>
    <xf numFmtId="0" fontId="53" fillId="0" borderId="0"/>
    <xf numFmtId="0" fontId="53" fillId="0" borderId="0"/>
    <xf numFmtId="0" fontId="43" fillId="0" borderId="0"/>
    <xf numFmtId="0" fontId="43" fillId="0" borderId="0"/>
    <xf numFmtId="176" fontId="43" fillId="0" borderId="0"/>
    <xf numFmtId="176" fontId="43" fillId="0" borderId="0"/>
    <xf numFmtId="0" fontId="43" fillId="0" borderId="0"/>
    <xf numFmtId="0" fontId="43" fillId="0" borderId="0"/>
    <xf numFmtId="0" fontId="43" fillId="0" borderId="0"/>
    <xf numFmtId="0" fontId="106" fillId="0" borderId="0"/>
    <xf numFmtId="169" fontId="54" fillId="0" borderId="0" applyProtection="0"/>
    <xf numFmtId="0" fontId="107" fillId="0" borderId="0"/>
    <xf numFmtId="0" fontId="108" fillId="0" borderId="0"/>
    <xf numFmtId="0" fontId="108" fillId="0" borderId="0"/>
    <xf numFmtId="0" fontId="109" fillId="0" borderId="0"/>
    <xf numFmtId="0" fontId="6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3" fillId="0" borderId="0"/>
    <xf numFmtId="0" fontId="43" fillId="0" borderId="0"/>
    <xf numFmtId="0" fontId="43" fillId="0" borderId="0">
      <alignment vertical="top"/>
    </xf>
    <xf numFmtId="0" fontId="43" fillId="0" borderId="0"/>
    <xf numFmtId="0" fontId="106" fillId="0" borderId="0"/>
    <xf numFmtId="0" fontId="43" fillId="0" borderId="0"/>
    <xf numFmtId="0" fontId="43" fillId="0" borderId="0"/>
    <xf numFmtId="0" fontId="43" fillId="0" borderId="0"/>
    <xf numFmtId="0" fontId="40" fillId="0" borderId="0"/>
    <xf numFmtId="0" fontId="10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3" fillId="0" borderId="0"/>
    <xf numFmtId="0" fontId="43" fillId="0" borderId="0"/>
    <xf numFmtId="0" fontId="43" fillId="0" borderId="0"/>
    <xf numFmtId="0" fontId="43" fillId="0" borderId="0"/>
    <xf numFmtId="0" fontId="43" fillId="0" borderId="0"/>
    <xf numFmtId="165"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43" fillId="0" borderId="0"/>
    <xf numFmtId="0" fontId="43" fillId="0" borderId="0"/>
    <xf numFmtId="0" fontId="43" fillId="0" borderId="0"/>
    <xf numFmtId="0" fontId="43" fillId="0" borderId="0"/>
    <xf numFmtId="0" fontId="4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41" fillId="0" borderId="0"/>
    <xf numFmtId="0" fontId="43" fillId="0" borderId="0"/>
    <xf numFmtId="0" fontId="40" fillId="0" borderId="0"/>
    <xf numFmtId="0" fontId="43" fillId="0" borderId="0"/>
    <xf numFmtId="0" fontId="43" fillId="0" borderId="0"/>
    <xf numFmtId="0" fontId="41" fillId="0" borderId="0"/>
    <xf numFmtId="0" fontId="41" fillId="0" borderId="0"/>
    <xf numFmtId="0" fontId="43" fillId="0" borderId="0"/>
    <xf numFmtId="0" fontId="40" fillId="0" borderId="0"/>
    <xf numFmtId="0" fontId="43" fillId="0" borderId="0"/>
    <xf numFmtId="0" fontId="43" fillId="0" borderId="0"/>
    <xf numFmtId="169" fontId="54" fillId="0" borderId="0" applyProtection="0"/>
    <xf numFmtId="0" fontId="43" fillId="0" borderId="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43"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183" fontId="101" fillId="28" borderId="0"/>
    <xf numFmtId="0" fontId="79" fillId="12" borderId="14" applyNumberFormat="0" applyAlignment="0" applyProtection="0"/>
    <xf numFmtId="0" fontId="96" fillId="0" borderId="0"/>
    <xf numFmtId="9" fontId="43" fillId="0" borderId="0" applyFont="0" applyFill="0" applyBorder="0" applyAlignment="0" applyProtection="0"/>
    <xf numFmtId="184" fontId="69" fillId="0" borderId="0" applyFont="0" applyFill="0" applyBorder="0" applyAlignment="0" applyProtection="0"/>
    <xf numFmtId="10" fontId="43" fillId="0" borderId="0" applyFont="0" applyFill="0" applyBorder="0" applyAlignment="0" applyProtection="0"/>
    <xf numFmtId="9" fontId="5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64"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70" fillId="0" borderId="7">
      <alignment horizontal="center"/>
    </xf>
    <xf numFmtId="3" fontId="69" fillId="0" borderId="0" applyFont="0" applyFill="0" applyBorder="0" applyAlignment="0" applyProtection="0"/>
    <xf numFmtId="0" fontId="69" fillId="29" borderId="0" applyNumberFormat="0" applyFont="0" applyBorder="0" applyAlignment="0" applyProtection="0"/>
    <xf numFmtId="0" fontId="43" fillId="0" borderId="0" applyNumberFormat="0" applyFill="0" applyBorder="0" applyAlignment="0" applyProtection="0"/>
    <xf numFmtId="0" fontId="43" fillId="30" borderId="14" applyNumberFormat="0" applyProtection="0">
      <alignment horizontal="left" vertical="center" indent="1"/>
    </xf>
    <xf numFmtId="4" fontId="63" fillId="31" borderId="14" applyNumberFormat="0" applyProtection="0">
      <alignment horizontal="right" vertical="center"/>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56" fillId="32" borderId="0"/>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175" fontId="43" fillId="0" borderId="0">
      <alignment horizontal="left" wrapText="1"/>
    </xf>
    <xf numFmtId="0" fontId="43" fillId="24" borderId="3" applyNumberFormat="0" applyFont="0" applyAlignment="0"/>
    <xf numFmtId="0" fontId="52" fillId="0" borderId="0" applyFill="0" applyBorder="0" applyProtection="0">
      <alignment horizontal="left" vertical="top"/>
    </xf>
    <xf numFmtId="40" fontId="102" fillId="0" borderId="0"/>
    <xf numFmtId="0" fontId="90" fillId="0" borderId="0" applyNumberFormat="0" applyFill="0" applyBorder="0" applyAlignment="0" applyProtection="0"/>
    <xf numFmtId="0" fontId="80" fillId="0" borderId="15" applyNumberFormat="0" applyFill="0" applyAlignment="0" applyProtection="0"/>
    <xf numFmtId="0" fontId="78" fillId="0" borderId="0" applyNumberFormat="0" applyFill="0" applyBorder="0" applyAlignment="0" applyProtection="0"/>
    <xf numFmtId="43" fontId="37" fillId="0" borderId="0" applyFont="0" applyFill="0" applyBorder="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0" fontId="81" fillId="12" borderId="1" applyNumberFormat="0" applyAlignment="0" applyProtection="0"/>
    <xf numFmtId="41"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10" fillId="0" borderId="0" applyFont="0" applyFill="0" applyBorder="0" applyAlignment="0" applyProtection="0"/>
    <xf numFmtId="43" fontId="43" fillId="0" borderId="0" applyNumberForma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11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6" fontId="112" fillId="0" borderId="0" applyFont="0" applyFill="0" applyBorder="0" applyProtection="0">
      <alignment horizontal="right"/>
    </xf>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187" fontId="65" fillId="0" borderId="0" applyNumberFormat="0" applyFill="0" applyBorder="0" applyAlignment="0" applyProtection="0"/>
    <xf numFmtId="37" fontId="113" fillId="0" borderId="0" applyNumberFormat="0" applyFill="0" applyBorder="0"/>
    <xf numFmtId="0" fontId="66" fillId="0" borderId="48" applyNumberFormat="0" applyBorder="0" applyAlignment="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10" fillId="0" borderId="0"/>
    <xf numFmtId="0" fontId="1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0" borderId="0"/>
    <xf numFmtId="0" fontId="69" fillId="0" borderId="0"/>
    <xf numFmtId="0" fontId="69" fillId="0" borderId="0"/>
    <xf numFmtId="165" fontId="47" fillId="0" borderId="0"/>
    <xf numFmtId="165" fontId="4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43"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66" fillId="6" borderId="13" applyNumberFormat="0" applyFon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0" fontId="79" fillId="12" borderId="14" applyNumberFormat="0" applyAlignment="0" applyProtection="0"/>
    <xf numFmtId="12" fontId="45" fillId="38" borderId="7">
      <alignment horizontal="left"/>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70" fillId="0" borderId="7">
      <alignment horizontal="center"/>
    </xf>
    <xf numFmtId="4" fontId="72" fillId="27" borderId="49" applyNumberFormat="0" applyProtection="0">
      <alignment vertical="center"/>
    </xf>
    <xf numFmtId="4" fontId="114" fillId="34" borderId="49" applyNumberFormat="0" applyProtection="0">
      <alignment vertical="center"/>
    </xf>
    <xf numFmtId="4" fontId="72" fillId="34" borderId="49" applyNumberFormat="0" applyProtection="0">
      <alignment vertical="center"/>
    </xf>
    <xf numFmtId="4" fontId="72" fillId="34" borderId="49" applyNumberFormat="0" applyProtection="0">
      <alignment horizontal="left" vertical="center" indent="1"/>
    </xf>
    <xf numFmtId="4" fontId="72" fillId="34" borderId="49" applyNumberFormat="0" applyProtection="0">
      <alignment horizontal="left" vertical="center" indent="1"/>
    </xf>
    <xf numFmtId="4" fontId="72" fillId="34" borderId="49" applyNumberFormat="0" applyProtection="0">
      <alignment horizontal="left" vertical="center" indent="1"/>
    </xf>
    <xf numFmtId="4" fontId="72" fillId="34" borderId="49" applyNumberFormat="0" applyProtection="0">
      <alignment horizontal="left" vertical="center" indent="1"/>
    </xf>
    <xf numFmtId="4" fontId="72" fillId="34" borderId="49" applyNumberFormat="0" applyProtection="0">
      <alignment horizontal="left" vertical="center" indent="1"/>
    </xf>
    <xf numFmtId="4" fontId="72" fillId="34" borderId="49" applyNumberFormat="0" applyProtection="0">
      <alignment horizontal="left" vertical="center" indent="1"/>
    </xf>
    <xf numFmtId="0" fontId="72" fillId="34" borderId="49" applyNumberFormat="0" applyProtection="0">
      <alignment horizontal="left" vertical="top"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4" fontId="72" fillId="39" borderId="49" applyNumberFormat="0" applyProtection="0"/>
    <xf numFmtId="4" fontId="63" fillId="5" borderId="49" applyNumberFormat="0" applyProtection="0">
      <alignment horizontal="right" vertical="center"/>
    </xf>
    <xf numFmtId="4" fontId="63" fillId="4" borderId="49" applyNumberFormat="0" applyProtection="0">
      <alignment horizontal="right" vertical="center"/>
    </xf>
    <xf numFmtId="4" fontId="63" fillId="19" borderId="49" applyNumberFormat="0" applyProtection="0">
      <alignment horizontal="right" vertical="center"/>
    </xf>
    <xf numFmtId="4" fontId="63" fillId="13" borderId="49" applyNumberFormat="0" applyProtection="0">
      <alignment horizontal="right" vertical="center"/>
    </xf>
    <xf numFmtId="4" fontId="63" fillId="17" borderId="49" applyNumberFormat="0" applyProtection="0">
      <alignment horizontal="right" vertical="center"/>
    </xf>
    <xf numFmtId="4" fontId="63" fillId="21" borderId="49" applyNumberFormat="0" applyProtection="0">
      <alignment horizontal="right" vertical="center"/>
    </xf>
    <xf numFmtId="4" fontId="63" fillId="20" borderId="49" applyNumberFormat="0" applyProtection="0">
      <alignment horizontal="right" vertical="center"/>
    </xf>
    <xf numFmtId="4" fontId="63" fillId="40" borderId="49" applyNumberFormat="0" applyProtection="0">
      <alignment horizontal="right" vertical="center"/>
    </xf>
    <xf numFmtId="4" fontId="63" fillId="11" borderId="49" applyNumberFormat="0" applyProtection="0">
      <alignment horizontal="right" vertical="center"/>
    </xf>
    <xf numFmtId="4" fontId="72" fillId="41" borderId="50" applyNumberFormat="0" applyProtection="0">
      <alignment horizontal="left" vertical="center" indent="1"/>
    </xf>
    <xf numFmtId="4" fontId="63" fillId="42" borderId="0" applyNumberFormat="0" applyProtection="0">
      <alignment horizontal="left" vertical="center" indent="1"/>
    </xf>
    <xf numFmtId="4" fontId="63" fillId="42" borderId="0" applyNumberFormat="0" applyProtection="0">
      <alignment horizontal="left" indent="1"/>
    </xf>
    <xf numFmtId="4" fontId="63" fillId="42" borderId="0" applyNumberFormat="0" applyProtection="0">
      <alignment horizontal="left" indent="1"/>
    </xf>
    <xf numFmtId="4" fontId="63" fillId="42" borderId="0" applyNumberFormat="0" applyProtection="0">
      <alignment horizontal="left" indent="1"/>
    </xf>
    <xf numFmtId="4" fontId="63" fillId="42" borderId="0" applyNumberFormat="0" applyProtection="0">
      <alignment horizontal="left" indent="1"/>
    </xf>
    <xf numFmtId="4" fontId="63" fillId="42" borderId="0" applyNumberFormat="0" applyProtection="0">
      <alignment horizontal="left" indent="1"/>
    </xf>
    <xf numFmtId="4" fontId="63" fillId="42" borderId="0" applyNumberFormat="0" applyProtection="0">
      <alignment horizontal="left" indent="1"/>
    </xf>
    <xf numFmtId="4" fontId="115" fillId="43" borderId="0" applyNumberFormat="0" applyProtection="0">
      <alignment horizontal="left" vertical="center" indent="1"/>
    </xf>
    <xf numFmtId="4" fontId="115" fillId="43" borderId="0" applyNumberFormat="0" applyProtection="0">
      <alignment horizontal="left" vertical="center" indent="1"/>
    </xf>
    <xf numFmtId="4" fontId="115" fillId="43" borderId="0" applyNumberFormat="0" applyProtection="0">
      <alignment horizontal="left" vertical="center" indent="1"/>
    </xf>
    <xf numFmtId="4" fontId="115" fillId="43" borderId="0" applyNumberFormat="0" applyProtection="0">
      <alignment horizontal="left" vertical="center" indent="1"/>
    </xf>
    <xf numFmtId="4" fontId="115" fillId="43" borderId="0" applyNumberFormat="0" applyProtection="0">
      <alignment horizontal="left" vertical="center" indent="1"/>
    </xf>
    <xf numFmtId="4" fontId="63" fillId="44" borderId="49" applyNumberFormat="0" applyProtection="0">
      <alignment horizontal="right" vertical="center"/>
    </xf>
    <xf numFmtId="4" fontId="116" fillId="0" borderId="0" applyNumberFormat="0" applyProtection="0">
      <alignment horizontal="left" vertical="center" indent="1"/>
    </xf>
    <xf numFmtId="4" fontId="117" fillId="45" borderId="0" applyNumberFormat="0" applyProtection="0">
      <alignment horizontal="left" indent="1"/>
    </xf>
    <xf numFmtId="4" fontId="117" fillId="45" borderId="0" applyNumberFormat="0" applyProtection="0">
      <alignment horizontal="left" indent="1"/>
    </xf>
    <xf numFmtId="4" fontId="117" fillId="45" borderId="0" applyNumberFormat="0" applyProtection="0">
      <alignment horizontal="left" indent="1"/>
    </xf>
    <xf numFmtId="4" fontId="117" fillId="45" borderId="0" applyNumberFormat="0" applyProtection="0">
      <alignment horizontal="left" indent="1"/>
    </xf>
    <xf numFmtId="4" fontId="117" fillId="45" borderId="0" applyNumberFormat="0" applyProtection="0">
      <alignment horizontal="left" indent="1"/>
    </xf>
    <xf numFmtId="4" fontId="117" fillId="45" borderId="0" applyNumberFormat="0" applyProtection="0">
      <alignment horizontal="left" indent="1"/>
    </xf>
    <xf numFmtId="4" fontId="117" fillId="45" borderId="0" applyNumberFormat="0" applyProtection="0">
      <alignment horizontal="left" indent="1"/>
    </xf>
    <xf numFmtId="4" fontId="118" fillId="0" borderId="0" applyNumberFormat="0" applyProtection="0">
      <alignment horizontal="left" vertical="center" indent="1"/>
    </xf>
    <xf numFmtId="4" fontId="118" fillId="46" borderId="0" applyNumberFormat="0" applyProtection="0"/>
    <xf numFmtId="4" fontId="118" fillId="46" borderId="0" applyNumberFormat="0" applyProtection="0"/>
    <xf numFmtId="4" fontId="118" fillId="46" borderId="0" applyNumberFormat="0" applyProtection="0"/>
    <xf numFmtId="4" fontId="118" fillId="46" borderId="0" applyNumberFormat="0" applyProtection="0"/>
    <xf numFmtId="4" fontId="118" fillId="46" borderId="0" applyNumberFormat="0" applyProtection="0"/>
    <xf numFmtId="4" fontId="118" fillId="46" borderId="0" applyNumberFormat="0" applyProtection="0"/>
    <xf numFmtId="4" fontId="118" fillId="46" borderId="0" applyNumberFormat="0" applyProtection="0"/>
    <xf numFmtId="0" fontId="43" fillId="43" borderId="49" applyNumberFormat="0" applyProtection="0">
      <alignment horizontal="left" vertical="center" indent="1"/>
    </xf>
    <xf numFmtId="0" fontId="43" fillId="43" borderId="49" applyNumberFormat="0" applyProtection="0">
      <alignment horizontal="left" vertical="center" indent="1"/>
    </xf>
    <xf numFmtId="0" fontId="43" fillId="43" borderId="49" applyNumberFormat="0" applyProtection="0">
      <alignment horizontal="left" vertical="center" indent="1"/>
    </xf>
    <xf numFmtId="0" fontId="43" fillId="43" borderId="49" applyNumberFormat="0" applyProtection="0">
      <alignment horizontal="left" vertical="center" indent="1"/>
    </xf>
    <xf numFmtId="0" fontId="43" fillId="43" borderId="49" applyNumberFormat="0" applyProtection="0">
      <alignment horizontal="left" vertical="center" indent="1"/>
    </xf>
    <xf numFmtId="0" fontId="43" fillId="43" borderId="49" applyNumberFormat="0" applyProtection="0">
      <alignment horizontal="left" vertical="top" indent="1"/>
    </xf>
    <xf numFmtId="0" fontId="43" fillId="43" borderId="49" applyNumberFormat="0" applyProtection="0">
      <alignment horizontal="left" vertical="top" indent="1"/>
    </xf>
    <xf numFmtId="0" fontId="43" fillId="43" borderId="49" applyNumberFormat="0" applyProtection="0">
      <alignment horizontal="left" vertical="top" indent="1"/>
    </xf>
    <xf numFmtId="0" fontId="43" fillId="43" borderId="49" applyNumberFormat="0" applyProtection="0">
      <alignment horizontal="left" vertical="top" indent="1"/>
    </xf>
    <xf numFmtId="0" fontId="43" fillId="43" borderId="49" applyNumberFormat="0" applyProtection="0">
      <alignment horizontal="left" vertical="top" indent="1"/>
    </xf>
    <xf numFmtId="0" fontId="43" fillId="39" borderId="49" applyNumberFormat="0" applyProtection="0">
      <alignment horizontal="left" vertical="center" indent="1"/>
    </xf>
    <xf numFmtId="0" fontId="43" fillId="39" borderId="49" applyNumberFormat="0" applyProtection="0">
      <alignment horizontal="left" vertical="center" indent="1"/>
    </xf>
    <xf numFmtId="0" fontId="43" fillId="39" borderId="49" applyNumberFormat="0" applyProtection="0">
      <alignment horizontal="left" vertical="center" indent="1"/>
    </xf>
    <xf numFmtId="0" fontId="43" fillId="39" borderId="49" applyNumberFormat="0" applyProtection="0">
      <alignment horizontal="left" vertical="center" indent="1"/>
    </xf>
    <xf numFmtId="0" fontId="43" fillId="39" borderId="49" applyNumberFormat="0" applyProtection="0">
      <alignment horizontal="left" vertical="center" indent="1"/>
    </xf>
    <xf numFmtId="0" fontId="43" fillId="39" borderId="49" applyNumberFormat="0" applyProtection="0">
      <alignment horizontal="left" vertical="top" indent="1"/>
    </xf>
    <xf numFmtId="0" fontId="43" fillId="39" borderId="49" applyNumberFormat="0" applyProtection="0">
      <alignment horizontal="left" vertical="top" indent="1"/>
    </xf>
    <xf numFmtId="0" fontId="43" fillId="39" borderId="49" applyNumberFormat="0" applyProtection="0">
      <alignment horizontal="left" vertical="top" indent="1"/>
    </xf>
    <xf numFmtId="0" fontId="43" fillId="39" borderId="49" applyNumberFormat="0" applyProtection="0">
      <alignment horizontal="left" vertical="top" indent="1"/>
    </xf>
    <xf numFmtId="0" fontId="43" fillId="39" borderId="49" applyNumberFormat="0" applyProtection="0">
      <alignment horizontal="left" vertical="top" indent="1"/>
    </xf>
    <xf numFmtId="0" fontId="43" fillId="36" borderId="49" applyNumberFormat="0" applyProtection="0">
      <alignment horizontal="left" vertical="center" indent="1"/>
    </xf>
    <xf numFmtId="0" fontId="43" fillId="36" borderId="49" applyNumberFormat="0" applyProtection="0">
      <alignment horizontal="left" vertical="center" indent="1"/>
    </xf>
    <xf numFmtId="0" fontId="43" fillId="36" borderId="49" applyNumberFormat="0" applyProtection="0">
      <alignment horizontal="left" vertical="center" indent="1"/>
    </xf>
    <xf numFmtId="0" fontId="43" fillId="36" borderId="49" applyNumberFormat="0" applyProtection="0">
      <alignment horizontal="left" vertical="center" indent="1"/>
    </xf>
    <xf numFmtId="0" fontId="43" fillId="36" borderId="49" applyNumberFormat="0" applyProtection="0">
      <alignment horizontal="left" vertical="center" indent="1"/>
    </xf>
    <xf numFmtId="0" fontId="43" fillId="36" borderId="49" applyNumberFormat="0" applyProtection="0">
      <alignment horizontal="left" vertical="top" indent="1"/>
    </xf>
    <xf numFmtId="0" fontId="43" fillId="36" borderId="49" applyNumberFormat="0" applyProtection="0">
      <alignment horizontal="left" vertical="top" indent="1"/>
    </xf>
    <xf numFmtId="0" fontId="43" fillId="36" borderId="49" applyNumberFormat="0" applyProtection="0">
      <alignment horizontal="left" vertical="top" indent="1"/>
    </xf>
    <xf numFmtId="0" fontId="43" fillId="36" borderId="49" applyNumberFormat="0" applyProtection="0">
      <alignment horizontal="left" vertical="top" indent="1"/>
    </xf>
    <xf numFmtId="0" fontId="43" fillId="36" borderId="49" applyNumberFormat="0" applyProtection="0">
      <alignment horizontal="left" vertical="top" indent="1"/>
    </xf>
    <xf numFmtId="0" fontId="43" fillId="47" borderId="49" applyNumberFormat="0" applyProtection="0">
      <alignment horizontal="left" vertical="center" indent="1"/>
    </xf>
    <xf numFmtId="0" fontId="43" fillId="47" borderId="49" applyNumberFormat="0" applyProtection="0">
      <alignment horizontal="left" vertical="center" indent="1"/>
    </xf>
    <xf numFmtId="0" fontId="43" fillId="47" borderId="49" applyNumberFormat="0" applyProtection="0">
      <alignment horizontal="left" vertical="center" indent="1"/>
    </xf>
    <xf numFmtId="0" fontId="43" fillId="47" borderId="49" applyNumberFormat="0" applyProtection="0">
      <alignment horizontal="left" vertical="center" indent="1"/>
    </xf>
    <xf numFmtId="0" fontId="43" fillId="47" borderId="49" applyNumberFormat="0" applyProtection="0">
      <alignment horizontal="left" vertical="center" indent="1"/>
    </xf>
    <xf numFmtId="0" fontId="43" fillId="47" borderId="49" applyNumberFormat="0" applyProtection="0">
      <alignment horizontal="left" vertical="top" indent="1"/>
    </xf>
    <xf numFmtId="0" fontId="43" fillId="47" borderId="49" applyNumberFormat="0" applyProtection="0">
      <alignment horizontal="left" vertical="top" indent="1"/>
    </xf>
    <xf numFmtId="0" fontId="43" fillId="47" borderId="49" applyNumberFormat="0" applyProtection="0">
      <alignment horizontal="left" vertical="top" indent="1"/>
    </xf>
    <xf numFmtId="0" fontId="43" fillId="47" borderId="49" applyNumberFormat="0" applyProtection="0">
      <alignment horizontal="left" vertical="top" indent="1"/>
    </xf>
    <xf numFmtId="0" fontId="43" fillId="47" borderId="49" applyNumberFormat="0" applyProtection="0">
      <alignment horizontal="left" vertical="top" indent="1"/>
    </xf>
    <xf numFmtId="4" fontId="63" fillId="26" borderId="49" applyNumberFormat="0" applyProtection="0">
      <alignment vertical="center"/>
    </xf>
    <xf numFmtId="4" fontId="119" fillId="26" borderId="49" applyNumberFormat="0" applyProtection="0">
      <alignment vertical="center"/>
    </xf>
    <xf numFmtId="4" fontId="63" fillId="26" borderId="49" applyNumberFormat="0" applyProtection="0">
      <alignment horizontal="left" vertical="center" indent="1"/>
    </xf>
    <xf numFmtId="0" fontId="63" fillId="26" borderId="49" applyNumberFormat="0" applyProtection="0">
      <alignment horizontal="left" vertical="top" indent="1"/>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31" borderId="14" applyNumberFormat="0" applyProtection="0">
      <alignment horizontal="right" vertical="center"/>
    </xf>
    <xf numFmtId="4" fontId="63" fillId="0" borderId="49" applyNumberFormat="0" applyProtection="0">
      <alignment horizontal="right" vertical="center"/>
    </xf>
    <xf numFmtId="4" fontId="119" fillId="42" borderId="49" applyNumberFormat="0" applyProtection="0">
      <alignment horizontal="right" vertical="center"/>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4" fontId="63" fillId="44" borderId="49"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4" fontId="63" fillId="0" borderId="49"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43" fillId="30" borderId="14" applyNumberFormat="0" applyProtection="0">
      <alignment horizontal="left" vertical="center" indent="1"/>
    </xf>
    <xf numFmtId="0" fontId="63" fillId="39" borderId="49" applyNumberFormat="0" applyProtection="0">
      <alignment horizontal="left" vertical="top"/>
    </xf>
    <xf numFmtId="4" fontId="59" fillId="0" borderId="0" applyNumberFormat="0" applyProtection="0">
      <alignment horizontal="left" vertical="center"/>
    </xf>
    <xf numFmtId="4" fontId="56" fillId="48" borderId="0" applyNumberFormat="0" applyProtection="0">
      <alignment horizontal="left"/>
    </xf>
    <xf numFmtId="4" fontId="56" fillId="48" borderId="0" applyNumberFormat="0" applyProtection="0">
      <alignment horizontal="left"/>
    </xf>
    <xf numFmtId="4" fontId="56" fillId="48" borderId="0" applyNumberFormat="0" applyProtection="0">
      <alignment horizontal="left"/>
    </xf>
    <xf numFmtId="4" fontId="56" fillId="48" borderId="0" applyNumberFormat="0" applyProtection="0">
      <alignment horizontal="left"/>
    </xf>
    <xf numFmtId="4" fontId="56" fillId="48" borderId="0" applyNumberFormat="0" applyProtection="0">
      <alignment horizontal="left"/>
    </xf>
    <xf numFmtId="4" fontId="56" fillId="48" borderId="0" applyNumberFormat="0" applyProtection="0">
      <alignment horizontal="left"/>
    </xf>
    <xf numFmtId="4" fontId="56" fillId="48" borderId="0" applyNumberFormat="0" applyProtection="0">
      <alignment horizontal="left"/>
    </xf>
    <xf numFmtId="4" fontId="46" fillId="42" borderId="49" applyNumberFormat="0" applyProtection="0">
      <alignment horizontal="right" vertical="center"/>
    </xf>
    <xf numFmtId="188" fontId="43" fillId="0" borderId="0" applyFill="0" applyBorder="0" applyAlignment="0" applyProtection="0">
      <alignment wrapText="1"/>
    </xf>
    <xf numFmtId="0" fontId="44" fillId="0" borderId="0" applyNumberFormat="0" applyFill="0" applyBorder="0">
      <alignment horizontal="center" wrapText="1"/>
    </xf>
    <xf numFmtId="0" fontId="44" fillId="0" borderId="0" applyNumberFormat="0" applyFill="0" applyBorder="0">
      <alignment horizontal="center" wrapText="1"/>
    </xf>
    <xf numFmtId="0" fontId="44" fillId="0" borderId="11">
      <alignment horizontal="center" vertical="center" wrapText="1"/>
    </xf>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37" fontId="66" fillId="34" borderId="0" applyNumberFormat="0" applyBorder="0" applyAlignment="0" applyProtection="0"/>
    <xf numFmtId="37" fontId="66" fillId="0" borderId="0"/>
    <xf numFmtId="3" fontId="120" fillId="49" borderId="51" applyProtection="0"/>
    <xf numFmtId="0" fontId="69" fillId="0" borderId="0"/>
    <xf numFmtId="0" fontId="38" fillId="0" borderId="0"/>
    <xf numFmtId="0" fontId="36" fillId="0" borderId="0"/>
    <xf numFmtId="0" fontId="36" fillId="0" borderId="0"/>
    <xf numFmtId="0" fontId="36" fillId="0" borderId="0"/>
    <xf numFmtId="0" fontId="43" fillId="0" borderId="0"/>
    <xf numFmtId="0" fontId="107" fillId="0" borderId="0"/>
    <xf numFmtId="0" fontId="43" fillId="0" borderId="0">
      <alignment vertical="top"/>
    </xf>
    <xf numFmtId="9" fontId="54" fillId="0" borderId="0" applyFont="0" applyFill="0" applyBorder="0" applyAlignment="0" applyProtection="0"/>
    <xf numFmtId="0" fontId="35" fillId="0" borderId="0"/>
    <xf numFmtId="0" fontId="38" fillId="0" borderId="0"/>
    <xf numFmtId="0" fontId="35" fillId="0" borderId="0"/>
    <xf numFmtId="0" fontId="35" fillId="0" borderId="0"/>
    <xf numFmtId="44" fontId="107" fillId="0" borderId="0" applyFont="0" applyFill="0" applyBorder="0" applyAlignment="0" applyProtection="0"/>
    <xf numFmtId="0" fontId="34" fillId="0" borderId="0"/>
    <xf numFmtId="43" fontId="34" fillId="0" borderId="0" applyFont="0" applyFill="0" applyBorder="0" applyAlignment="0" applyProtection="0"/>
    <xf numFmtId="43" fontId="126" fillId="0" borderId="0" applyFont="0" applyFill="0" applyBorder="0" applyAlignment="0" applyProtection="0"/>
    <xf numFmtId="9" fontId="126" fillId="0" borderId="0" applyFont="0" applyFill="0" applyBorder="0" applyAlignment="0" applyProtection="0"/>
    <xf numFmtId="0" fontId="38" fillId="3"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43" fillId="6" borderId="13" applyNumberFormat="0" applyFont="0" applyAlignment="0" applyProtection="0"/>
    <xf numFmtId="43" fontId="126" fillId="0" borderId="0" applyFont="0" applyFill="0" applyBorder="0" applyAlignment="0" applyProtection="0"/>
    <xf numFmtId="0" fontId="43" fillId="6" borderId="13" applyNumberFormat="0" applyFont="0" applyAlignment="0" applyProtection="0"/>
    <xf numFmtId="0" fontId="43" fillId="0" borderId="0"/>
    <xf numFmtId="0" fontId="77" fillId="8" borderId="1" applyNumberFormat="0" applyAlignment="0" applyProtection="0"/>
    <xf numFmtId="0" fontId="43" fillId="6" borderId="13" applyNumberFormat="0" applyFont="0" applyAlignment="0" applyProtection="0"/>
    <xf numFmtId="9" fontId="126" fillId="0" borderId="0" applyFont="0" applyFill="0" applyBorder="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77" fillId="8" borderId="1" applyNumberFormat="0" applyAlignment="0" applyProtection="0"/>
    <xf numFmtId="0" fontId="43" fillId="6" borderId="13" applyNumberFormat="0" applyFont="0" applyAlignment="0" applyProtection="0"/>
    <xf numFmtId="0" fontId="77" fillId="8" borderId="1" applyNumberFormat="0" applyAlignment="0" applyProtection="0"/>
    <xf numFmtId="0" fontId="43" fillId="6" borderId="13" applyNumberFormat="0" applyFont="0" applyAlignment="0" applyProtection="0"/>
    <xf numFmtId="0" fontId="43" fillId="6" borderId="13" applyNumberFormat="0" applyFont="0" applyAlignment="0" applyProtection="0"/>
    <xf numFmtId="0" fontId="43" fillId="0" borderId="0"/>
    <xf numFmtId="0" fontId="43" fillId="6" borderId="13" applyNumberFormat="0" applyFont="0" applyAlignment="0" applyProtection="0"/>
    <xf numFmtId="0" fontId="43" fillId="0" borderId="0"/>
    <xf numFmtId="0" fontId="43" fillId="6" borderId="13" applyNumberFormat="0" applyFont="0" applyAlignment="0" applyProtection="0"/>
    <xf numFmtId="0" fontId="43" fillId="0" borderId="0"/>
    <xf numFmtId="0" fontId="43" fillId="6" borderId="13" applyNumberFormat="0" applyFont="0" applyAlignment="0" applyProtection="0"/>
    <xf numFmtId="0" fontId="43" fillId="0" borderId="0"/>
    <xf numFmtId="0" fontId="43" fillId="6" borderId="13"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0" fontId="4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3" fillId="0" borderId="0"/>
    <xf numFmtId="0" fontId="33" fillId="0" borderId="0"/>
    <xf numFmtId="0" fontId="43" fillId="0" borderId="0"/>
    <xf numFmtId="0" fontId="33" fillId="0" borderId="0"/>
    <xf numFmtId="0" fontId="4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43" fillId="0" borderId="0"/>
    <xf numFmtId="0" fontId="43" fillId="0" borderId="0"/>
    <xf numFmtId="0" fontId="33" fillId="0" borderId="0"/>
    <xf numFmtId="0" fontId="4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127" fillId="0" borderId="0" applyFont="0" applyFill="0" applyBorder="0" applyAlignment="0" applyProtection="0"/>
    <xf numFmtId="9" fontId="127" fillId="0" borderId="0" applyFont="0" applyFill="0" applyBorder="0" applyAlignment="0" applyProtection="0"/>
    <xf numFmtId="43" fontId="127" fillId="0" borderId="0" applyFont="0" applyFill="0" applyBorder="0" applyAlignment="0" applyProtection="0"/>
    <xf numFmtId="9" fontId="127"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169" fontId="54" fillId="0" borderId="0" applyProtection="0"/>
    <xf numFmtId="0" fontId="43" fillId="0" borderId="0"/>
    <xf numFmtId="169" fontId="54" fillId="0" borderId="0" applyProtection="0"/>
    <xf numFmtId="169" fontId="54" fillId="0" borderId="0" applyProtection="0"/>
    <xf numFmtId="0" fontId="54" fillId="0" borderId="0" applyProtection="0"/>
    <xf numFmtId="0" fontId="156" fillId="0" borderId="0"/>
    <xf numFmtId="0" fontId="156" fillId="0" borderId="0"/>
    <xf numFmtId="0" fontId="156" fillId="0" borderId="0"/>
    <xf numFmtId="0" fontId="156" fillId="0" borderId="0"/>
    <xf numFmtId="43" fontId="29" fillId="0" borderId="0" applyFont="0" applyFill="0" applyBorder="0" applyAlignment="0" applyProtection="0"/>
  </cellStyleXfs>
  <cellXfs count="2004">
    <xf numFmtId="0" fontId="0" fillId="0" borderId="0" xfId="0"/>
    <xf numFmtId="0" fontId="45" fillId="0" borderId="0" xfId="0" applyFont="1"/>
    <xf numFmtId="0" fontId="47" fillId="0" borderId="0" xfId="0" applyFont="1" applyAlignment="1"/>
    <xf numFmtId="0" fontId="45" fillId="0" borderId="17" xfId="0" applyNumberFormat="1" applyFont="1" applyFill="1" applyBorder="1" applyAlignment="1"/>
    <xf numFmtId="0" fontId="45" fillId="0" borderId="17" xfId="0" applyFont="1" applyBorder="1"/>
    <xf numFmtId="0" fontId="45" fillId="0" borderId="0" xfId="0" applyNumberFormat="1" applyFont="1" applyFill="1" applyBorder="1" applyAlignment="1"/>
    <xf numFmtId="0" fontId="47" fillId="0" borderId="0" xfId="0" applyFont="1" applyBorder="1" applyAlignment="1"/>
    <xf numFmtId="0" fontId="47" fillId="0" borderId="0" xfId="0" applyNumberFormat="1" applyFont="1" applyBorder="1" applyAlignment="1">
      <alignment horizontal="center"/>
    </xf>
    <xf numFmtId="0" fontId="47" fillId="0" borderId="0" xfId="0" applyNumberFormat="1" applyFont="1" applyBorder="1" applyAlignment="1">
      <alignment horizontal="left"/>
    </xf>
    <xf numFmtId="0" fontId="47" fillId="0" borderId="0" xfId="0" applyFont="1" applyFill="1" applyBorder="1" applyAlignment="1"/>
    <xf numFmtId="0" fontId="47" fillId="0" borderId="0" xfId="0" applyFont="1" applyBorder="1"/>
    <xf numFmtId="0" fontId="45" fillId="0" borderId="0" xfId="0" applyNumberFormat="1" applyFont="1" applyBorder="1" applyAlignment="1"/>
    <xf numFmtId="0" fontId="47" fillId="0" borderId="18" xfId="0" applyFont="1" applyFill="1" applyBorder="1" applyAlignment="1">
      <alignment horizontal="left"/>
    </xf>
    <xf numFmtId="0" fontId="47" fillId="0" borderId="18" xfId="0" applyNumberFormat="1" applyFont="1" applyBorder="1" applyAlignment="1">
      <alignment horizontal="left"/>
    </xf>
    <xf numFmtId="0" fontId="47" fillId="0" borderId="0" xfId="0" applyFont="1" applyFill="1" applyBorder="1" applyAlignment="1">
      <alignment horizontal="left"/>
    </xf>
    <xf numFmtId="0" fontId="47" fillId="0" borderId="0" xfId="0" applyFont="1" applyFill="1" applyBorder="1"/>
    <xf numFmtId="0" fontId="45" fillId="0" borderId="17" xfId="0" applyFont="1" applyBorder="1" applyAlignment="1"/>
    <xf numFmtId="0" fontId="47" fillId="0" borderId="17" xfId="0" applyFont="1" applyBorder="1"/>
    <xf numFmtId="168" fontId="45" fillId="0" borderId="17" xfId="0" applyNumberFormat="1" applyFont="1" applyBorder="1" applyAlignment="1">
      <alignment horizontal="left"/>
    </xf>
    <xf numFmtId="0" fontId="47" fillId="0" borderId="17" xfId="0" applyFont="1" applyFill="1" applyBorder="1" applyAlignment="1"/>
    <xf numFmtId="0" fontId="58" fillId="0" borderId="0" xfId="0" applyFont="1" applyFill="1" applyBorder="1" applyAlignment="1"/>
    <xf numFmtId="0" fontId="45" fillId="0" borderId="0" xfId="0" applyFont="1" applyBorder="1" applyAlignment="1"/>
    <xf numFmtId="168" fontId="45" fillId="0" borderId="0" xfId="0" applyNumberFormat="1" applyFont="1" applyBorder="1" applyAlignment="1">
      <alignment horizontal="left"/>
    </xf>
    <xf numFmtId="0" fontId="47" fillId="33" borderId="0" xfId="0" applyNumberFormat="1" applyFont="1" applyFill="1" applyAlignment="1">
      <alignment horizontal="center"/>
    </xf>
    <xf numFmtId="0" fontId="58" fillId="33" borderId="0" xfId="0" applyNumberFormat="1" applyFont="1" applyFill="1" applyAlignment="1">
      <alignment horizontal="left"/>
    </xf>
    <xf numFmtId="0" fontId="47" fillId="0" borderId="18" xfId="0" applyNumberFormat="1" applyFont="1" applyFill="1" applyBorder="1" applyAlignment="1">
      <alignment horizontal="left"/>
    </xf>
    <xf numFmtId="0" fontId="45" fillId="0" borderId="0" xfId="0" applyNumberFormat="1" applyFont="1" applyBorder="1" applyAlignment="1">
      <alignment horizontal="left"/>
    </xf>
    <xf numFmtId="0" fontId="47" fillId="0" borderId="18" xfId="0" applyNumberFormat="1" applyFont="1" applyBorder="1" applyAlignment="1">
      <alignment horizontal="center"/>
    </xf>
    <xf numFmtId="0" fontId="47" fillId="0" borderId="0" xfId="0" applyFont="1" applyBorder="1" applyAlignment="1">
      <alignment horizontal="center"/>
    </xf>
    <xf numFmtId="0" fontId="45" fillId="0" borderId="17" xfId="0" applyFont="1" applyBorder="1" applyAlignment="1">
      <alignment horizontal="center"/>
    </xf>
    <xf numFmtId="0" fontId="47" fillId="0" borderId="18" xfId="0" applyNumberFormat="1" applyFont="1" applyFill="1" applyBorder="1" applyAlignment="1">
      <alignment horizontal="center"/>
    </xf>
    <xf numFmtId="0" fontId="47" fillId="0" borderId="18" xfId="0" applyFont="1" applyBorder="1" applyAlignment="1">
      <alignment horizontal="center"/>
    </xf>
    <xf numFmtId="0" fontId="45" fillId="0" borderId="0" xfId="0" applyFont="1" applyBorder="1" applyAlignment="1">
      <alignment horizontal="center"/>
    </xf>
    <xf numFmtId="0" fontId="47" fillId="0" borderId="0" xfId="0" applyNumberFormat="1" applyFont="1" applyFill="1" applyBorder="1" applyAlignment="1">
      <alignment horizontal="center"/>
    </xf>
    <xf numFmtId="0" fontId="49" fillId="0" borderId="0" xfId="0" applyFont="1" applyFill="1" applyBorder="1" applyAlignment="1">
      <alignment horizontal="center"/>
    </xf>
    <xf numFmtId="0" fontId="49" fillId="0" borderId="18" xfId="0" applyFont="1" applyFill="1" applyBorder="1" applyAlignment="1"/>
    <xf numFmtId="0" fontId="47" fillId="0" borderId="0" xfId="0" applyFont="1" applyFill="1" applyBorder="1" applyAlignment="1">
      <alignment horizontal="center"/>
    </xf>
    <xf numFmtId="0" fontId="45" fillId="0" borderId="0" xfId="0" applyFont="1" applyFill="1"/>
    <xf numFmtId="0" fontId="45" fillId="0" borderId="0" xfId="0" applyFont="1" applyFill="1" applyBorder="1"/>
    <xf numFmtId="0" fontId="52" fillId="0" borderId="0" xfId="0" applyFont="1"/>
    <xf numFmtId="0" fontId="44" fillId="0" borderId="0" xfId="0" applyFont="1" applyAlignment="1">
      <alignment horizontal="left"/>
    </xf>
    <xf numFmtId="0" fontId="45" fillId="0" borderId="0" xfId="0" applyNumberFormat="1" applyFont="1" applyFill="1" applyBorder="1" applyAlignment="1">
      <alignment horizontal="left"/>
    </xf>
    <xf numFmtId="0" fontId="44" fillId="0" borderId="0" xfId="0" applyFont="1" applyFill="1" applyAlignment="1">
      <alignment horizontal="center"/>
    </xf>
    <xf numFmtId="0" fontId="43" fillId="0" borderId="0" xfId="0" applyFont="1" applyFill="1"/>
    <xf numFmtId="0" fontId="43" fillId="0" borderId="0" xfId="0" applyFont="1"/>
    <xf numFmtId="0" fontId="43" fillId="0" borderId="0" xfId="0" applyFont="1" applyFill="1" applyBorder="1"/>
    <xf numFmtId="0" fontId="44" fillId="0" borderId="0" xfId="0" applyFont="1" applyFill="1" applyBorder="1" applyAlignment="1">
      <alignment horizontal="left"/>
    </xf>
    <xf numFmtId="37" fontId="45" fillId="0" borderId="0" xfId="0" applyNumberFormat="1" applyFont="1" applyBorder="1" applyAlignment="1">
      <alignment horizontal="right"/>
    </xf>
    <xf numFmtId="0" fontId="47" fillId="0" borderId="18" xfId="0" applyNumberFormat="1" applyFont="1" applyBorder="1" applyAlignment="1"/>
    <xf numFmtId="3" fontId="47" fillId="0" borderId="0" xfId="0" applyNumberFormat="1" applyFont="1" applyBorder="1" applyAlignment="1"/>
    <xf numFmtId="3" fontId="47" fillId="0" borderId="0" xfId="0" applyNumberFormat="1" applyFont="1" applyFill="1" applyBorder="1" applyAlignment="1"/>
    <xf numFmtId="0" fontId="45" fillId="0" borderId="0" xfId="0" applyFont="1" applyFill="1" applyBorder="1" applyAlignment="1"/>
    <xf numFmtId="0" fontId="45" fillId="0" borderId="0" xfId="0" applyNumberFormat="1" applyFont="1" applyFill="1" applyBorder="1" applyAlignment="1">
      <alignment horizontal="center"/>
    </xf>
    <xf numFmtId="3" fontId="47" fillId="0" borderId="17" xfId="0" applyNumberFormat="1" applyFont="1" applyFill="1" applyBorder="1" applyAlignment="1">
      <alignment horizontal="center"/>
    </xf>
    <xf numFmtId="0" fontId="47" fillId="0" borderId="0" xfId="0" applyNumberFormat="1" applyFont="1" applyBorder="1" applyAlignment="1"/>
    <xf numFmtId="3" fontId="47" fillId="0" borderId="0" xfId="0" applyNumberFormat="1" applyFont="1" applyBorder="1" applyAlignment="1">
      <alignment horizontal="center"/>
    </xf>
    <xf numFmtId="0" fontId="45" fillId="0" borderId="0" xfId="0" applyFont="1" applyBorder="1" applyAlignment="1">
      <alignment horizontal="left"/>
    </xf>
    <xf numFmtId="3" fontId="47" fillId="0" borderId="17" xfId="0" applyNumberFormat="1" applyFont="1" applyBorder="1" applyAlignment="1">
      <alignment horizontal="center"/>
    </xf>
    <xf numFmtId="0" fontId="47" fillId="0" borderId="0" xfId="0" applyNumberFormat="1" applyFont="1" applyFill="1" applyBorder="1" applyAlignment="1">
      <alignment horizontal="left"/>
    </xf>
    <xf numFmtId="0" fontId="45" fillId="0" borderId="17" xfId="0" applyNumberFormat="1" applyFont="1" applyBorder="1" applyAlignment="1">
      <alignment horizontal="left"/>
    </xf>
    <xf numFmtId="0" fontId="45" fillId="0" borderId="17" xfId="0" applyNumberFormat="1" applyFont="1" applyBorder="1" applyAlignment="1">
      <alignment horizontal="center"/>
    </xf>
    <xf numFmtId="0" fontId="47" fillId="0" borderId="0" xfId="0" applyNumberFormat="1" applyFont="1" applyFill="1" applyBorder="1" applyAlignment="1"/>
    <xf numFmtId="168" fontId="47" fillId="0" borderId="0" xfId="0" applyNumberFormat="1" applyFont="1" applyBorder="1" applyAlignment="1">
      <alignment horizontal="left"/>
    </xf>
    <xf numFmtId="0" fontId="47" fillId="0" borderId="18" xfId="0" applyNumberFormat="1" applyFont="1" applyFill="1" applyBorder="1" applyAlignment="1"/>
    <xf numFmtId="37" fontId="47" fillId="0" borderId="0" xfId="0" applyNumberFormat="1" applyFont="1" applyBorder="1" applyAlignment="1">
      <alignment horizontal="left"/>
    </xf>
    <xf numFmtId="0" fontId="45" fillId="0" borderId="0" xfId="0" applyNumberFormat="1" applyFont="1" applyBorder="1" applyAlignment="1">
      <alignment horizontal="center"/>
    </xf>
    <xf numFmtId="0" fontId="43" fillId="0" borderId="0" xfId="504" applyFont="1"/>
    <xf numFmtId="0" fontId="59" fillId="0" borderId="0" xfId="0" applyFont="1" applyAlignment="1">
      <alignment horizontal="left"/>
    </xf>
    <xf numFmtId="0" fontId="47" fillId="0" borderId="18" xfId="0" applyFont="1" applyFill="1" applyBorder="1" applyAlignment="1"/>
    <xf numFmtId="0" fontId="45" fillId="0" borderId="0" xfId="0" applyFont="1" applyBorder="1"/>
    <xf numFmtId="3" fontId="47" fillId="0" borderId="26" xfId="0" applyNumberFormat="1" applyFont="1" applyFill="1" applyBorder="1"/>
    <xf numFmtId="3" fontId="47" fillId="0" borderId="26" xfId="0" applyNumberFormat="1" applyFont="1" applyFill="1" applyBorder="1" applyAlignment="1"/>
    <xf numFmtId="3" fontId="45" fillId="0" borderId="27" xfId="0" applyNumberFormat="1" applyFont="1" applyFill="1" applyBorder="1" applyAlignment="1"/>
    <xf numFmtId="171" fontId="45" fillId="0" borderId="26" xfId="674" applyNumberFormat="1" applyFont="1" applyBorder="1" applyAlignment="1"/>
    <xf numFmtId="164" fontId="45" fillId="0" borderId="26" xfId="382" applyNumberFormat="1" applyFont="1" applyFill="1" applyBorder="1" applyAlignment="1"/>
    <xf numFmtId="0" fontId="44" fillId="0" borderId="0" xfId="0" applyFont="1" applyFill="1" applyBorder="1"/>
    <xf numFmtId="0" fontId="47" fillId="0" borderId="18" xfId="0" applyFont="1" applyFill="1" applyBorder="1" applyAlignment="1">
      <alignment horizontal="center"/>
    </xf>
    <xf numFmtId="0" fontId="47" fillId="0" borderId="22" xfId="0" applyNumberFormat="1" applyFont="1" applyFill="1" applyBorder="1" applyAlignment="1">
      <alignment horizontal="center"/>
    </xf>
    <xf numFmtId="0" fontId="50" fillId="0" borderId="0" xfId="0" applyFont="1" applyBorder="1" applyAlignment="1"/>
    <xf numFmtId="0" fontId="43" fillId="0" borderId="11" xfId="0" applyFont="1" applyBorder="1"/>
    <xf numFmtId="164" fontId="43" fillId="0" borderId="0" xfId="382" applyNumberFormat="1" applyFont="1" applyFill="1"/>
    <xf numFmtId="0" fontId="43" fillId="0" borderId="0" xfId="504" applyFont="1" applyFill="1"/>
    <xf numFmtId="0" fontId="43" fillId="0" borderId="0" xfId="504" applyFont="1" applyBorder="1"/>
    <xf numFmtId="171" fontId="47" fillId="0" borderId="30" xfId="674" applyNumberFormat="1" applyFont="1" applyFill="1" applyBorder="1" applyAlignment="1"/>
    <xf numFmtId="0" fontId="49" fillId="0" borderId="0" xfId="0" applyFont="1" applyFill="1" applyBorder="1" applyAlignment="1"/>
    <xf numFmtId="0" fontId="44" fillId="0" borderId="0" xfId="504" applyFont="1"/>
    <xf numFmtId="0" fontId="44" fillId="0" borderId="0" xfId="0" applyFont="1"/>
    <xf numFmtId="0" fontId="47" fillId="0" borderId="26" xfId="0" applyFont="1" applyBorder="1"/>
    <xf numFmtId="171" fontId="45" fillId="0" borderId="26" xfId="674" applyNumberFormat="1" applyFont="1" applyFill="1" applyBorder="1" applyAlignment="1"/>
    <xf numFmtId="0" fontId="47" fillId="0" borderId="26" xfId="0" applyFont="1" applyFill="1" applyBorder="1"/>
    <xf numFmtId="0" fontId="47" fillId="0" borderId="26" xfId="0" applyFont="1" applyFill="1" applyBorder="1" applyAlignment="1">
      <alignment horizontal="center" wrapText="1"/>
    </xf>
    <xf numFmtId="3" fontId="45" fillId="0" borderId="26" xfId="0" applyNumberFormat="1" applyFont="1" applyFill="1" applyBorder="1" applyAlignment="1"/>
    <xf numFmtId="3" fontId="47" fillId="0" borderId="26" xfId="0" applyNumberFormat="1" applyFont="1" applyFill="1" applyBorder="1" applyAlignment="1">
      <alignment horizontal="right"/>
    </xf>
    <xf numFmtId="171" fontId="47" fillId="0" borderId="26" xfId="0" applyNumberFormat="1" applyFont="1" applyFill="1" applyBorder="1" applyAlignment="1">
      <alignment horizontal="right"/>
    </xf>
    <xf numFmtId="171" fontId="47" fillId="0" borderId="30" xfId="0" applyNumberFormat="1" applyFont="1" applyFill="1" applyBorder="1" applyAlignment="1">
      <alignment horizontal="right"/>
    </xf>
    <xf numFmtId="10" fontId="47" fillId="0" borderId="26" xfId="674" applyNumberFormat="1" applyFont="1" applyFill="1" applyBorder="1" applyAlignment="1"/>
    <xf numFmtId="166" fontId="45" fillId="0" borderId="26" xfId="0" applyNumberFormat="1" applyFont="1" applyBorder="1" applyAlignment="1"/>
    <xf numFmtId="166" fontId="47" fillId="0" borderId="26" xfId="0" applyNumberFormat="1" applyFont="1" applyBorder="1" applyAlignment="1"/>
    <xf numFmtId="10" fontId="47" fillId="0" borderId="26" xfId="0" applyNumberFormat="1" applyFont="1" applyFill="1" applyBorder="1"/>
    <xf numFmtId="10" fontId="47" fillId="0" borderId="26" xfId="0" applyNumberFormat="1" applyFont="1" applyFill="1" applyBorder="1" applyAlignment="1">
      <alignment horizontal="right"/>
    </xf>
    <xf numFmtId="10" fontId="47" fillId="0" borderId="26" xfId="674" applyNumberFormat="1" applyFont="1" applyBorder="1" applyAlignment="1"/>
    <xf numFmtId="164" fontId="45" fillId="0" borderId="27" xfId="382" applyNumberFormat="1" applyFont="1" applyFill="1" applyBorder="1" applyAlignment="1">
      <alignment horizontal="right"/>
    </xf>
    <xf numFmtId="164" fontId="47" fillId="0" borderId="26" xfId="382" applyNumberFormat="1" applyFont="1" applyFill="1" applyBorder="1" applyAlignment="1"/>
    <xf numFmtId="0" fontId="47" fillId="0" borderId="25" xfId="0" applyFont="1" applyFill="1" applyBorder="1" applyAlignment="1">
      <alignment horizontal="left"/>
    </xf>
    <xf numFmtId="0" fontId="47" fillId="0" borderId="24" xfId="0" applyFont="1" applyFill="1" applyBorder="1" applyAlignment="1"/>
    <xf numFmtId="0" fontId="45" fillId="0" borderId="24" xfId="0" applyNumberFormat="1" applyFont="1" applyFill="1" applyBorder="1" applyAlignment="1">
      <alignment horizontal="center"/>
    </xf>
    <xf numFmtId="0" fontId="47" fillId="0" borderId="33" xfId="0" applyFont="1" applyFill="1" applyBorder="1" applyAlignment="1">
      <alignment horizontal="center" wrapText="1"/>
    </xf>
    <xf numFmtId="0" fontId="45" fillId="0" borderId="22" xfId="0" applyNumberFormat="1" applyFont="1" applyFill="1" applyBorder="1" applyAlignment="1">
      <alignment horizontal="center"/>
    </xf>
    <xf numFmtId="0" fontId="47" fillId="0" borderId="22" xfId="0" applyNumberFormat="1" applyFont="1" applyBorder="1" applyAlignment="1">
      <alignment horizontal="center"/>
    </xf>
    <xf numFmtId="0" fontId="49" fillId="0" borderId="0" xfId="0" applyFont="1" applyFill="1" applyBorder="1" applyAlignment="1">
      <alignment horizontal="left"/>
    </xf>
    <xf numFmtId="3" fontId="47" fillId="0" borderId="0" xfId="0" applyNumberFormat="1" applyFont="1" applyFill="1" applyBorder="1" applyAlignment="1">
      <alignment horizontal="center"/>
    </xf>
    <xf numFmtId="0" fontId="47" fillId="0" borderId="22" xfId="0" applyFont="1" applyBorder="1" applyAlignment="1">
      <alignment horizontal="center"/>
    </xf>
    <xf numFmtId="0" fontId="47" fillId="0" borderId="22" xfId="0" applyNumberFormat="1" applyFont="1" applyBorder="1" applyAlignment="1">
      <alignment horizontal="left"/>
    </xf>
    <xf numFmtId="0" fontId="57" fillId="0" borderId="22" xfId="0" applyFont="1" applyFill="1" applyBorder="1" applyAlignment="1">
      <alignment horizontal="center"/>
    </xf>
    <xf numFmtId="0" fontId="47" fillId="0" borderId="22" xfId="0" applyFont="1" applyFill="1" applyBorder="1" applyAlignment="1">
      <alignment horizontal="center"/>
    </xf>
    <xf numFmtId="0" fontId="60" fillId="0" borderId="22" xfId="0" applyFont="1" applyBorder="1" applyAlignment="1">
      <alignment horizontal="left"/>
    </xf>
    <xf numFmtId="0" fontId="60" fillId="0" borderId="0" xfId="0" applyFont="1" applyBorder="1"/>
    <xf numFmtId="0" fontId="47" fillId="0" borderId="0" xfId="0" applyNumberFormat="1" applyFont="1" applyFill="1" applyBorder="1" applyAlignment="1">
      <alignment horizontal="right"/>
    </xf>
    <xf numFmtId="0" fontId="45" fillId="0" borderId="0" xfId="0" applyNumberFormat="1" applyFont="1" applyFill="1" applyBorder="1" applyAlignment="1">
      <alignment horizontal="right"/>
    </xf>
    <xf numFmtId="0" fontId="45" fillId="0" borderId="22" xfId="0" applyFont="1" applyBorder="1"/>
    <xf numFmtId="0" fontId="47" fillId="0" borderId="22" xfId="0" applyFont="1" applyBorder="1" applyAlignment="1">
      <alignment horizontal="left"/>
    </xf>
    <xf numFmtId="0" fontId="47" fillId="0" borderId="22" xfId="0" applyFont="1" applyFill="1" applyBorder="1" applyAlignment="1"/>
    <xf numFmtId="43" fontId="47" fillId="0" borderId="0" xfId="382" applyFont="1" applyFill="1" applyBorder="1" applyAlignment="1"/>
    <xf numFmtId="0" fontId="45" fillId="0" borderId="22" xfId="0" applyNumberFormat="1" applyFont="1" applyFill="1" applyBorder="1" applyAlignment="1"/>
    <xf numFmtId="0" fontId="47" fillId="0" borderId="0" xfId="0" applyNumberFormat="1" applyFont="1" applyBorder="1" applyAlignment="1">
      <alignment horizontal="right"/>
    </xf>
    <xf numFmtId="0" fontId="51" fillId="0" borderId="0" xfId="0" applyNumberFormat="1" applyFont="1" applyFill="1" applyBorder="1" applyAlignment="1"/>
    <xf numFmtId="0" fontId="45" fillId="0" borderId="22" xfId="0" applyNumberFormat="1" applyFont="1" applyBorder="1" applyAlignment="1">
      <alignment horizontal="center"/>
    </xf>
    <xf numFmtId="0" fontId="47" fillId="0" borderId="22" xfId="0" applyNumberFormat="1" applyFont="1" applyFill="1" applyBorder="1" applyAlignment="1">
      <alignment horizontal="left"/>
    </xf>
    <xf numFmtId="0" fontId="47" fillId="0" borderId="0" xfId="0" applyNumberFormat="1" applyFont="1" applyFill="1" applyBorder="1"/>
    <xf numFmtId="169" fontId="47" fillId="0" borderId="0" xfId="0" applyNumberFormat="1" applyFont="1" applyBorder="1" applyAlignment="1"/>
    <xf numFmtId="168" fontId="47" fillId="0" borderId="0" xfId="0" applyNumberFormat="1" applyFont="1" applyBorder="1" applyAlignment="1">
      <alignment horizontal="center"/>
    </xf>
    <xf numFmtId="0" fontId="47" fillId="0" borderId="34" xfId="0" applyFont="1" applyFill="1" applyBorder="1"/>
    <xf numFmtId="3" fontId="47" fillId="0" borderId="35" xfId="0" applyNumberFormat="1" applyFont="1" applyBorder="1" applyAlignment="1"/>
    <xf numFmtId="0" fontId="47" fillId="0" borderId="35" xfId="0" applyFont="1" applyFill="1" applyBorder="1"/>
    <xf numFmtId="3" fontId="47" fillId="0" borderId="36" xfId="0" applyNumberFormat="1" applyFont="1" applyFill="1" applyBorder="1" applyAlignment="1"/>
    <xf numFmtId="0" fontId="47" fillId="0" borderId="35" xfId="0" applyFont="1" applyBorder="1" applyAlignment="1"/>
    <xf numFmtId="0" fontId="47" fillId="0" borderId="35" xfId="0" applyFont="1" applyBorder="1"/>
    <xf numFmtId="3" fontId="47" fillId="0" borderId="35" xfId="0" applyNumberFormat="1" applyFont="1" applyFill="1" applyBorder="1" applyAlignment="1"/>
    <xf numFmtId="3" fontId="47" fillId="0" borderId="37" xfId="0" applyNumberFormat="1" applyFont="1" applyFill="1" applyBorder="1" applyAlignment="1"/>
    <xf numFmtId="0" fontId="47" fillId="0" borderId="35" xfId="0" applyFont="1" applyFill="1" applyBorder="1" applyAlignment="1">
      <alignment horizontal="left"/>
    </xf>
    <xf numFmtId="3" fontId="47" fillId="0" borderId="37" xfId="0" applyNumberFormat="1" applyFont="1" applyBorder="1" applyAlignment="1"/>
    <xf numFmtId="3" fontId="45" fillId="0" borderId="36" xfId="0" applyNumberFormat="1" applyFont="1" applyBorder="1" applyAlignment="1"/>
    <xf numFmtId="3" fontId="47" fillId="0" borderId="35" xfId="0" applyNumberFormat="1" applyFont="1" applyFill="1" applyBorder="1" applyAlignment="1">
      <alignment horizontal="right"/>
    </xf>
    <xf numFmtId="3" fontId="49" fillId="0" borderId="35" xfId="0" applyNumberFormat="1" applyFont="1" applyFill="1" applyBorder="1" applyAlignment="1">
      <alignment horizontal="right"/>
    </xf>
    <xf numFmtId="0" fontId="47" fillId="0" borderId="35" xfId="0" applyFont="1" applyFill="1" applyBorder="1" applyAlignment="1"/>
    <xf numFmtId="0" fontId="47" fillId="0" borderId="35" xfId="0" applyNumberFormat="1" applyFont="1" applyFill="1" applyBorder="1" applyAlignment="1"/>
    <xf numFmtId="0" fontId="47" fillId="0" borderId="37" xfId="0" applyFont="1" applyFill="1" applyBorder="1" applyAlignment="1"/>
    <xf numFmtId="0" fontId="47" fillId="0" borderId="35" xfId="0" applyNumberFormat="1" applyFont="1" applyFill="1" applyBorder="1" applyAlignment="1">
      <alignment horizontal="left"/>
    </xf>
    <xf numFmtId="3" fontId="45" fillId="0" borderId="35" xfId="0" applyNumberFormat="1" applyFont="1" applyBorder="1" applyAlignment="1"/>
    <xf numFmtId="168" fontId="47" fillId="0" borderId="35" xfId="0" applyNumberFormat="1" applyFont="1" applyBorder="1" applyAlignment="1">
      <alignment horizontal="left"/>
    </xf>
    <xf numFmtId="3" fontId="51" fillId="0" borderId="35" xfId="0" applyNumberFormat="1" applyFont="1" applyBorder="1" applyAlignment="1"/>
    <xf numFmtId="0" fontId="45" fillId="0" borderId="5" xfId="0" applyFont="1" applyBorder="1"/>
    <xf numFmtId="0" fontId="47" fillId="0" borderId="23" xfId="0" applyFont="1" applyFill="1" applyBorder="1" applyAlignment="1">
      <alignment horizontal="center"/>
    </xf>
    <xf numFmtId="0" fontId="47" fillId="0" borderId="7" xfId="0" applyNumberFormat="1" applyFont="1" applyFill="1" applyBorder="1" applyAlignment="1">
      <alignment horizontal="center"/>
    </xf>
    <xf numFmtId="0" fontId="47" fillId="0" borderId="7" xfId="0" applyNumberFormat="1" applyFont="1" applyBorder="1" applyAlignment="1">
      <alignment horizontal="left"/>
    </xf>
    <xf numFmtId="0" fontId="47" fillId="0" borderId="7" xfId="0" applyFont="1" applyBorder="1" applyAlignment="1"/>
    <xf numFmtId="164" fontId="43" fillId="0" borderId="0" xfId="382" applyNumberFormat="1" applyFont="1" applyFill="1" applyBorder="1" applyAlignment="1"/>
    <xf numFmtId="37" fontId="47" fillId="0" borderId="35" xfId="0" applyNumberFormat="1" applyFont="1" applyFill="1" applyBorder="1"/>
    <xf numFmtId="37" fontId="47" fillId="0" borderId="0" xfId="0" applyNumberFormat="1" applyFont="1" applyFill="1" applyBorder="1"/>
    <xf numFmtId="37" fontId="47" fillId="0" borderId="26" xfId="0" applyNumberFormat="1" applyFont="1" applyFill="1" applyBorder="1"/>
    <xf numFmtId="3" fontId="47" fillId="0" borderId="0" xfId="0" applyNumberFormat="1" applyFont="1" applyFill="1" applyBorder="1" applyAlignment="1">
      <alignment horizontal="left"/>
    </xf>
    <xf numFmtId="0" fontId="47" fillId="0" borderId="35" xfId="0" applyFont="1" applyFill="1" applyBorder="1" applyAlignment="1">
      <alignment horizontal="right"/>
    </xf>
    <xf numFmtId="171" fontId="49" fillId="0" borderId="26" xfId="0" applyNumberFormat="1" applyFont="1" applyFill="1" applyBorder="1" applyAlignment="1">
      <alignment horizontal="right"/>
    </xf>
    <xf numFmtId="0" fontId="45" fillId="0" borderId="17" xfId="0" applyFont="1" applyFill="1" applyBorder="1"/>
    <xf numFmtId="0" fontId="45" fillId="0" borderId="17" xfId="0" applyFont="1" applyFill="1" applyBorder="1" applyAlignment="1">
      <alignment horizontal="center"/>
    </xf>
    <xf numFmtId="0" fontId="61" fillId="0" borderId="0" xfId="0" applyFont="1" applyFill="1"/>
    <xf numFmtId="0" fontId="47" fillId="0" borderId="0" xfId="0" applyNumberFormat="1" applyFont="1" applyFill="1" applyBorder="1" applyAlignment="1">
      <alignment horizontal="center" vertical="top"/>
    </xf>
    <xf numFmtId="0" fontId="44" fillId="0" borderId="0" xfId="504" applyFont="1" applyFill="1" applyBorder="1" applyAlignment="1">
      <alignment horizontal="left"/>
    </xf>
    <xf numFmtId="0" fontId="43" fillId="0" borderId="0" xfId="504" applyFont="1" applyFill="1" applyBorder="1" applyAlignment="1">
      <alignment horizontal="left"/>
    </xf>
    <xf numFmtId="164" fontId="43" fillId="0" borderId="0" xfId="504" applyNumberFormat="1" applyFont="1"/>
    <xf numFmtId="164" fontId="43" fillId="0" borderId="0" xfId="382" applyNumberFormat="1" applyFont="1" applyFill="1" applyBorder="1" applyAlignment="1">
      <alignment horizontal="center"/>
    </xf>
    <xf numFmtId="0" fontId="92" fillId="0" borderId="0" xfId="0" applyFont="1" applyFill="1" applyBorder="1"/>
    <xf numFmtId="0" fontId="62" fillId="0" borderId="0" xfId="0" applyFont="1" applyFill="1" applyBorder="1"/>
    <xf numFmtId="0" fontId="43" fillId="0" borderId="0" xfId="530" applyFont="1" applyAlignment="1">
      <alignment horizontal="right" vertical="top"/>
    </xf>
    <xf numFmtId="0" fontId="43" fillId="0" borderId="0" xfId="484" applyFont="1" applyAlignment="1">
      <alignment vertical="top"/>
    </xf>
    <xf numFmtId="0" fontId="43" fillId="0" borderId="0" xfId="484" applyFont="1" applyFill="1" applyAlignment="1">
      <alignment vertical="top"/>
    </xf>
    <xf numFmtId="0" fontId="43" fillId="0" borderId="0" xfId="484" applyFont="1" applyFill="1" applyAlignment="1">
      <alignment horizontal="center" vertical="top"/>
    </xf>
    <xf numFmtId="0" fontId="43" fillId="0" borderId="0" xfId="474" applyFont="1" applyProtection="1">
      <protection locked="0"/>
    </xf>
    <xf numFmtId="0" fontId="43" fillId="0" borderId="0" xfId="474" quotePrefix="1" applyFont="1" applyAlignment="1" applyProtection="1">
      <alignment horizontal="left"/>
      <protection locked="0"/>
    </xf>
    <xf numFmtId="0" fontId="63" fillId="0" borderId="0" xfId="569" applyFont="1"/>
    <xf numFmtId="0" fontId="63" fillId="0" borderId="0" xfId="569" applyFont="1" applyAlignment="1">
      <alignment horizontal="left"/>
    </xf>
    <xf numFmtId="164" fontId="63" fillId="0" borderId="0" xfId="569" applyNumberFormat="1" applyFont="1" applyFill="1"/>
    <xf numFmtId="0" fontId="43" fillId="0" borderId="0" xfId="474"/>
    <xf numFmtId="0" fontId="43" fillId="0" borderId="0" xfId="474" applyFont="1" applyFill="1"/>
    <xf numFmtId="0" fontId="43" fillId="0" borderId="0" xfId="0" applyFont="1" applyFill="1" applyAlignment="1"/>
    <xf numFmtId="164" fontId="43" fillId="0" borderId="0" xfId="0" applyNumberFormat="1" applyFont="1" applyFill="1" applyAlignment="1"/>
    <xf numFmtId="164" fontId="43" fillId="0" borderId="0" xfId="382" applyNumberFormat="1" applyFont="1" applyFill="1" applyAlignment="1"/>
    <xf numFmtId="164" fontId="43" fillId="0" borderId="0" xfId="0" applyNumberFormat="1" applyFont="1" applyFill="1" applyBorder="1" applyAlignment="1"/>
    <xf numFmtId="0" fontId="43" fillId="0" borderId="0" xfId="0" applyFont="1" applyAlignment="1">
      <alignment vertical="top"/>
    </xf>
    <xf numFmtId="37" fontId="43" fillId="0" borderId="0" xfId="484" applyNumberFormat="1" applyFont="1" applyFill="1" applyAlignment="1">
      <alignment vertical="top"/>
    </xf>
    <xf numFmtId="0" fontId="105" fillId="0" borderId="0" xfId="0" applyFont="1"/>
    <xf numFmtId="0" fontId="105" fillId="0" borderId="0" xfId="0" applyFont="1" applyAlignment="1">
      <alignment horizontal="center"/>
    </xf>
    <xf numFmtId="164" fontId="43" fillId="0" borderId="0" xfId="504" applyNumberFormat="1" applyFont="1" applyFill="1" applyBorder="1"/>
    <xf numFmtId="0" fontId="47" fillId="0" borderId="0" xfId="0" applyNumberFormat="1" applyFont="1" applyFill="1" applyBorder="1" applyAlignment="1">
      <alignment horizontal="left" indent="1"/>
    </xf>
    <xf numFmtId="0" fontId="43" fillId="0" borderId="35" xfId="0" applyFont="1" applyBorder="1" applyAlignment="1"/>
    <xf numFmtId="0" fontId="43" fillId="0" borderId="0" xfId="0" applyFont="1" applyAlignment="1"/>
    <xf numFmtId="0" fontId="43" fillId="0" borderId="0" xfId="0" applyFont="1" applyBorder="1"/>
    <xf numFmtId="0" fontId="43" fillId="0" borderId="0" xfId="0" applyFont="1" applyFill="1" applyBorder="1" applyAlignment="1"/>
    <xf numFmtId="0" fontId="43" fillId="37" borderId="0" xfId="0" applyFont="1" applyFill="1" applyAlignment="1"/>
    <xf numFmtId="164" fontId="43" fillId="37" borderId="0" xfId="0" applyNumberFormat="1" applyFont="1" applyFill="1" applyAlignment="1"/>
    <xf numFmtId="164" fontId="43" fillId="37" borderId="0" xfId="0" applyNumberFormat="1" applyFont="1" applyFill="1" applyBorder="1" applyAlignment="1"/>
    <xf numFmtId="0" fontId="43" fillId="37" borderId="0" xfId="0" applyFont="1" applyFill="1" applyBorder="1" applyAlignment="1"/>
    <xf numFmtId="0" fontId="43" fillId="37" borderId="0" xfId="0" applyFont="1" applyFill="1" applyAlignment="1">
      <alignment wrapText="1"/>
    </xf>
    <xf numFmtId="0" fontId="43" fillId="37" borderId="0" xfId="0" applyFont="1" applyFill="1" applyBorder="1" applyAlignment="1">
      <alignment wrapText="1"/>
    </xf>
    <xf numFmtId="164" fontId="43" fillId="37" borderId="18" xfId="0" applyNumberFormat="1" applyFont="1" applyFill="1" applyBorder="1" applyAlignment="1"/>
    <xf numFmtId="3" fontId="45" fillId="0" borderId="17" xfId="0" applyNumberFormat="1" applyFont="1" applyBorder="1" applyAlignment="1">
      <alignment horizontal="right"/>
    </xf>
    <xf numFmtId="0" fontId="45" fillId="0" borderId="0" xfId="0" applyFont="1" applyFill="1" applyBorder="1" applyAlignment="1">
      <alignment horizontal="center"/>
    </xf>
    <xf numFmtId="0" fontId="45" fillId="0" borderId="7" xfId="0" applyFont="1" applyBorder="1" applyAlignment="1">
      <alignment horizontal="center"/>
    </xf>
    <xf numFmtId="164" fontId="43" fillId="37" borderId="0" xfId="382" applyNumberFormat="1" applyFont="1" applyFill="1" applyBorder="1"/>
    <xf numFmtId="0" fontId="43" fillId="0" borderId="0" xfId="0" applyNumberFormat="1" applyFont="1" applyFill="1" applyBorder="1" applyAlignment="1">
      <alignment horizontal="center"/>
    </xf>
    <xf numFmtId="0" fontId="0" fillId="0" borderId="0" xfId="0" applyAlignment="1">
      <alignment horizontal="center"/>
    </xf>
    <xf numFmtId="164" fontId="44" fillId="0" borderId="0" xfId="504" applyNumberFormat="1" applyFont="1" applyFill="1" applyBorder="1" applyAlignment="1">
      <alignment horizontal="center"/>
    </xf>
    <xf numFmtId="164" fontId="43" fillId="0" borderId="0" xfId="504" applyNumberFormat="1" applyFont="1" applyFill="1" applyBorder="1" applyAlignment="1">
      <alignment horizontal="center"/>
    </xf>
    <xf numFmtId="164" fontId="43" fillId="0" borderId="0" xfId="403" applyNumberFormat="1" applyFont="1" applyFill="1" applyBorder="1" applyAlignment="1"/>
    <xf numFmtId="164" fontId="43" fillId="0" borderId="0" xfId="403" applyNumberFormat="1" applyFont="1" applyBorder="1"/>
    <xf numFmtId="164" fontId="43" fillId="0" borderId="0" xfId="504" applyNumberFormat="1" applyFont="1" applyBorder="1"/>
    <xf numFmtId="164" fontId="43" fillId="0" borderId="0" xfId="403" applyNumberFormat="1" applyFont="1" applyFill="1" applyBorder="1"/>
    <xf numFmtId="164" fontId="43" fillId="0" borderId="0" xfId="403" applyNumberFormat="1" applyFont="1" applyFill="1" applyAlignment="1"/>
    <xf numFmtId="164" fontId="43" fillId="0" borderId="0" xfId="403" applyNumberFormat="1" applyFont="1" applyFill="1" applyBorder="1" applyAlignment="1">
      <alignment horizontal="right"/>
    </xf>
    <xf numFmtId="0" fontId="43" fillId="0" borderId="0" xfId="0" applyFont="1" applyFill="1" applyAlignment="1">
      <alignment horizontal="left"/>
    </xf>
    <xf numFmtId="164" fontId="43" fillId="0" borderId="0" xfId="403" applyNumberFormat="1" applyFont="1"/>
    <xf numFmtId="164" fontId="43" fillId="37" borderId="0" xfId="382" applyNumberFormat="1" applyFont="1" applyFill="1"/>
    <xf numFmtId="0" fontId="47" fillId="0" borderId="0" xfId="0" applyFont="1" applyAlignment="1">
      <alignment horizontal="center"/>
    </xf>
    <xf numFmtId="0" fontId="56" fillId="0" borderId="0" xfId="0" applyFont="1" applyAlignment="1"/>
    <xf numFmtId="164" fontId="47" fillId="37" borderId="26" xfId="382" applyNumberFormat="1" applyFont="1" applyFill="1" applyBorder="1" applyAlignment="1"/>
    <xf numFmtId="0" fontId="44" fillId="0" borderId="0" xfId="564" quotePrefix="1" applyFont="1" applyFill="1" applyBorder="1" applyAlignment="1">
      <alignment vertical="top"/>
    </xf>
    <xf numFmtId="0" fontId="43" fillId="0" borderId="0" xfId="11272">
      <alignment vertical="top"/>
    </xf>
    <xf numFmtId="0" fontId="105" fillId="0" borderId="0" xfId="11272" applyFont="1" applyAlignment="1">
      <alignment horizontal="center"/>
    </xf>
    <xf numFmtId="0" fontId="110" fillId="0" borderId="0" xfId="496" applyFont="1"/>
    <xf numFmtId="0" fontId="93" fillId="0" borderId="0" xfId="569" applyFont="1"/>
    <xf numFmtId="0" fontId="121" fillId="0" borderId="0" xfId="496" applyFont="1"/>
    <xf numFmtId="0" fontId="43" fillId="0" borderId="0" xfId="11267" applyFont="1" applyFill="1" applyAlignment="1">
      <alignment horizontal="left"/>
    </xf>
    <xf numFmtId="0" fontId="110" fillId="0" borderId="0" xfId="496" applyFont="1" applyAlignment="1">
      <alignment horizontal="center"/>
    </xf>
    <xf numFmtId="0" fontId="44" fillId="0" borderId="0" xfId="0" applyFont="1" applyAlignment="1"/>
    <xf numFmtId="0" fontId="43" fillId="0" borderId="0" xfId="504" applyFont="1" applyFill="1" applyAlignment="1">
      <alignment horizontal="left"/>
    </xf>
    <xf numFmtId="0" fontId="43" fillId="0" borderId="0" xfId="504" applyFont="1" applyBorder="1" applyAlignment="1">
      <alignment horizontal="left"/>
    </xf>
    <xf numFmtId="0" fontId="43" fillId="0" borderId="0" xfId="504" applyFont="1" applyFill="1" applyBorder="1" applyAlignment="1">
      <alignment horizontal="center"/>
    </xf>
    <xf numFmtId="0" fontId="44" fillId="0" borderId="0" xfId="504" applyFont="1" applyFill="1" applyBorder="1"/>
    <xf numFmtId="164" fontId="44" fillId="0" borderId="0" xfId="403" applyNumberFormat="1" applyFont="1" applyFill="1" applyBorder="1" applyAlignment="1"/>
    <xf numFmtId="37" fontId="43" fillId="0" borderId="0" xfId="0" applyNumberFormat="1" applyFont="1" applyFill="1"/>
    <xf numFmtId="0" fontId="43" fillId="0" borderId="0" xfId="0" quotePrefix="1" applyFont="1" applyFill="1" applyAlignment="1">
      <alignment horizontal="center"/>
    </xf>
    <xf numFmtId="37" fontId="43" fillId="0" borderId="0" xfId="0" applyNumberFormat="1" applyFont="1" applyFill="1" applyBorder="1"/>
    <xf numFmtId="164" fontId="43" fillId="0" borderId="0" xfId="382" applyNumberFormat="1" applyFont="1" applyAlignment="1"/>
    <xf numFmtId="164" fontId="43" fillId="0" borderId="18" xfId="403" applyNumberFormat="1" applyFont="1" applyBorder="1"/>
    <xf numFmtId="0" fontId="43" fillId="0" borderId="0" xfId="504" applyFont="1" applyAlignment="1">
      <alignment horizontal="center"/>
    </xf>
    <xf numFmtId="0" fontId="43" fillId="0" borderId="0" xfId="504" applyFont="1" applyAlignment="1">
      <alignment wrapText="1"/>
    </xf>
    <xf numFmtId="0" fontId="43" fillId="0" borderId="0" xfId="591" applyFont="1" applyFill="1" applyBorder="1" applyAlignment="1">
      <alignment horizontal="center"/>
    </xf>
    <xf numFmtId="164" fontId="43" fillId="0" borderId="0" xfId="504" applyNumberFormat="1" applyFont="1" applyFill="1" applyBorder="1" applyAlignment="1">
      <alignment wrapText="1"/>
    </xf>
    <xf numFmtId="43" fontId="43" fillId="0" borderId="0" xfId="504" applyNumberFormat="1" applyFont="1"/>
    <xf numFmtId="167" fontId="43" fillId="0" borderId="0" xfId="504" applyNumberFormat="1" applyFont="1" applyFill="1" applyBorder="1"/>
    <xf numFmtId="164" fontId="43" fillId="0" borderId="0" xfId="404" applyNumberFormat="1" applyFont="1" applyFill="1" applyBorder="1"/>
    <xf numFmtId="0" fontId="52" fillId="0" borderId="0" xfId="504" applyFont="1" applyFill="1" applyBorder="1" applyAlignment="1">
      <alignment horizontal="left"/>
    </xf>
    <xf numFmtId="0" fontId="43" fillId="0" borderId="0" xfId="504" applyFont="1" applyBorder="1" applyAlignment="1">
      <alignment horizontal="center"/>
    </xf>
    <xf numFmtId="0" fontId="47" fillId="0" borderId="22" xfId="0" applyNumberFormat="1" applyFont="1" applyFill="1" applyBorder="1" applyAlignment="1">
      <alignment horizontal="center" vertical="top"/>
    </xf>
    <xf numFmtId="0" fontId="47" fillId="0" borderId="0" xfId="0" applyFont="1" applyFill="1" applyBorder="1" applyAlignment="1">
      <alignment vertical="top"/>
    </xf>
    <xf numFmtId="3" fontId="47" fillId="0" borderId="0" xfId="0" applyNumberFormat="1" applyFont="1" applyFill="1" applyBorder="1" applyAlignment="1">
      <alignment horizontal="left" vertical="top"/>
    </xf>
    <xf numFmtId="0" fontId="47" fillId="0" borderId="0" xfId="0" applyFont="1" applyFill="1" applyAlignment="1">
      <alignment vertical="top"/>
    </xf>
    <xf numFmtId="0" fontId="47" fillId="0" borderId="0" xfId="0" applyNumberFormat="1" applyFont="1" applyFill="1" applyAlignment="1">
      <alignment horizontal="center" vertical="top"/>
    </xf>
    <xf numFmtId="0" fontId="47" fillId="50" borderId="0" xfId="0" applyFont="1" applyFill="1" applyBorder="1" applyAlignment="1"/>
    <xf numFmtId="0" fontId="47" fillId="50" borderId="0" xfId="0" applyFont="1" applyFill="1" applyBorder="1"/>
    <xf numFmtId="0" fontId="45" fillId="50" borderId="0" xfId="0" applyFont="1" applyFill="1" applyBorder="1" applyAlignment="1"/>
    <xf numFmtId="0" fontId="47" fillId="50" borderId="11" xfId="0" applyFont="1" applyFill="1" applyBorder="1" applyAlignment="1">
      <alignment horizontal="center" wrapText="1"/>
    </xf>
    <xf numFmtId="0" fontId="45" fillId="50" borderId="6" xfId="0" applyFont="1" applyFill="1" applyBorder="1" applyAlignment="1"/>
    <xf numFmtId="0" fontId="47" fillId="50" borderId="6" xfId="0" applyFont="1" applyFill="1" applyBorder="1" applyAlignment="1"/>
    <xf numFmtId="0" fontId="45" fillId="50" borderId="6" xfId="0" applyNumberFormat="1" applyFont="1" applyFill="1" applyBorder="1" applyAlignment="1">
      <alignment horizontal="center"/>
    </xf>
    <xf numFmtId="0" fontId="47" fillId="50" borderId="6" xfId="0" applyFont="1" applyFill="1" applyBorder="1"/>
    <xf numFmtId="0" fontId="47" fillId="50" borderId="21" xfId="0" applyFont="1" applyFill="1" applyBorder="1" applyAlignment="1">
      <alignment horizontal="center" wrapText="1"/>
    </xf>
    <xf numFmtId="0" fontId="47" fillId="50" borderId="21" xfId="0" applyFont="1" applyFill="1" applyBorder="1"/>
    <xf numFmtId="3" fontId="47" fillId="0" borderId="35" xfId="0" applyNumberFormat="1" applyFont="1" applyFill="1" applyBorder="1" applyAlignment="1">
      <alignment vertical="top"/>
    </xf>
    <xf numFmtId="164" fontId="43" fillId="0" borderId="0" xfId="382" applyNumberFormat="1" applyFont="1"/>
    <xf numFmtId="171" fontId="47" fillId="0" borderId="30" xfId="674" applyNumberFormat="1" applyFont="1" applyFill="1" applyBorder="1"/>
    <xf numFmtId="168" fontId="47" fillId="0" borderId="0" xfId="0" applyNumberFormat="1" applyFont="1" applyFill="1" applyBorder="1" applyAlignment="1">
      <alignment horizontal="left"/>
    </xf>
    <xf numFmtId="10" fontId="47" fillId="0" borderId="30" xfId="674" applyNumberFormat="1" applyFont="1" applyFill="1" applyBorder="1" applyAlignment="1"/>
    <xf numFmtId="10" fontId="45" fillId="0" borderId="26" xfId="674" applyNumberFormat="1" applyFont="1" applyFill="1" applyBorder="1" applyAlignment="1"/>
    <xf numFmtId="3" fontId="47" fillId="0" borderId="35" xfId="0" applyNumberFormat="1" applyFont="1" applyFill="1" applyBorder="1" applyAlignment="1">
      <alignment horizontal="left"/>
    </xf>
    <xf numFmtId="0" fontId="47" fillId="0" borderId="0" xfId="0" applyFont="1" applyAlignment="1">
      <alignment vertical="center"/>
    </xf>
    <xf numFmtId="0" fontId="47" fillId="0" borderId="0" xfId="0" applyFont="1" applyFill="1" applyAlignment="1">
      <alignment vertical="center"/>
    </xf>
    <xf numFmtId="164" fontId="43" fillId="37" borderId="18" xfId="382" applyNumberFormat="1" applyFont="1" applyFill="1" applyBorder="1"/>
    <xf numFmtId="0" fontId="47" fillId="0" borderId="37" xfId="0" applyFont="1" applyFill="1" applyBorder="1"/>
    <xf numFmtId="0" fontId="47" fillId="0" borderId="0" xfId="0" applyFont="1"/>
    <xf numFmtId="0" fontId="47" fillId="0" borderId="0" xfId="0" applyFont="1" applyFill="1"/>
    <xf numFmtId="0" fontId="43" fillId="0" borderId="0" xfId="504" applyFont="1" applyFill="1" applyBorder="1"/>
    <xf numFmtId="164" fontId="43" fillId="0" borderId="0" xfId="382" applyNumberFormat="1" applyFont="1" applyFill="1" applyBorder="1"/>
    <xf numFmtId="0" fontId="44" fillId="0" borderId="0" xfId="504" applyNumberFormat="1" applyFont="1" applyFill="1" applyBorder="1" applyAlignment="1"/>
    <xf numFmtId="3" fontId="44" fillId="0" borderId="0" xfId="504" applyNumberFormat="1" applyFont="1" applyFill="1" applyBorder="1" applyAlignment="1">
      <alignment horizontal="center"/>
    </xf>
    <xf numFmtId="0" fontId="44" fillId="0" borderId="0" xfId="504" applyNumberFormat="1" applyFont="1" applyFill="1" applyBorder="1" applyAlignment="1">
      <alignment horizontal="left"/>
    </xf>
    <xf numFmtId="0" fontId="43" fillId="0" borderId="0" xfId="504" applyNumberFormat="1" applyFont="1" applyFill="1" applyBorder="1" applyAlignment="1">
      <alignment horizontal="left"/>
    </xf>
    <xf numFmtId="0" fontId="43" fillId="0" borderId="0" xfId="504" applyNumberFormat="1" applyFont="1" applyFill="1" applyBorder="1" applyAlignment="1">
      <alignment horizontal="center"/>
    </xf>
    <xf numFmtId="0" fontId="44" fillId="0" borderId="0" xfId="504" applyFont="1" applyFill="1" applyBorder="1" applyAlignment="1"/>
    <xf numFmtId="3" fontId="44" fillId="0" borderId="0" xfId="504" applyNumberFormat="1" applyFont="1" applyFill="1" applyBorder="1" applyAlignment="1"/>
    <xf numFmtId="164" fontId="44" fillId="0" borderId="0" xfId="13644" applyNumberFormat="1" applyFont="1"/>
    <xf numFmtId="10" fontId="47" fillId="0" borderId="26" xfId="0" applyNumberFormat="1" applyFont="1" applyFill="1" applyBorder="1" applyAlignment="1"/>
    <xf numFmtId="169" fontId="47" fillId="0" borderId="0" xfId="0" applyNumberFormat="1" applyFont="1" applyFill="1" applyBorder="1" applyAlignment="1"/>
    <xf numFmtId="164" fontId="43" fillId="0" borderId="0" xfId="504" applyNumberFormat="1" applyFont="1" applyFill="1"/>
    <xf numFmtId="167" fontId="43" fillId="0" borderId="0" xfId="434" applyNumberFormat="1" applyFont="1" applyFill="1" applyBorder="1" applyAlignment="1">
      <alignment horizontal="center" wrapText="1"/>
    </xf>
    <xf numFmtId="164" fontId="63" fillId="37" borderId="0" xfId="382" applyNumberFormat="1" applyFont="1" applyFill="1" applyAlignment="1">
      <alignment horizontal="left"/>
    </xf>
    <xf numFmtId="41" fontId="43" fillId="0" borderId="0" xfId="484" applyNumberFormat="1" applyFont="1" applyFill="1" applyBorder="1" applyAlignment="1">
      <alignment vertical="top"/>
    </xf>
    <xf numFmtId="0" fontId="43" fillId="0" borderId="0" xfId="0" applyFont="1" applyAlignment="1">
      <alignment horizontal="left" indent="1"/>
    </xf>
    <xf numFmtId="0" fontId="63" fillId="0" borderId="0" xfId="11275" applyFont="1"/>
    <xf numFmtId="0" fontId="47" fillId="0" borderId="47" xfId="0" applyNumberFormat="1" applyFont="1" applyFill="1" applyBorder="1" applyAlignment="1"/>
    <xf numFmtId="3" fontId="47" fillId="0" borderId="47" xfId="0" applyNumberFormat="1" applyFont="1" applyFill="1" applyBorder="1" applyAlignment="1"/>
    <xf numFmtId="3" fontId="47" fillId="0" borderId="47" xfId="0" applyNumberFormat="1" applyFont="1" applyFill="1" applyBorder="1" applyAlignment="1">
      <alignment horizontal="center"/>
    </xf>
    <xf numFmtId="0" fontId="47" fillId="0" borderId="47" xfId="0" applyFont="1" applyFill="1" applyBorder="1" applyAlignment="1"/>
    <xf numFmtId="0" fontId="47" fillId="0" borderId="47" xfId="0" applyFont="1" applyFill="1" applyBorder="1" applyAlignment="1">
      <alignment horizontal="center"/>
    </xf>
    <xf numFmtId="0" fontId="45" fillId="0" borderId="47" xfId="0" applyNumberFormat="1" applyFont="1" applyFill="1" applyBorder="1" applyAlignment="1"/>
    <xf numFmtId="0" fontId="47" fillId="0" borderId="47" xfId="0" applyFont="1" applyFill="1" applyBorder="1"/>
    <xf numFmtId="0" fontId="45" fillId="0" borderId="47" xfId="0" applyFont="1" applyFill="1" applyBorder="1"/>
    <xf numFmtId="0" fontId="45" fillId="0" borderId="47" xfId="0" applyFont="1" applyFill="1" applyBorder="1" applyAlignment="1"/>
    <xf numFmtId="0" fontId="45" fillId="0" borderId="47" xfId="0" applyNumberFormat="1" applyFont="1" applyFill="1" applyBorder="1" applyAlignment="1">
      <alignment horizontal="center"/>
    </xf>
    <xf numFmtId="43" fontId="47" fillId="0" borderId="47" xfId="0" applyNumberFormat="1" applyFont="1" applyFill="1" applyBorder="1" applyAlignment="1"/>
    <xf numFmtId="3" fontId="45" fillId="0" borderId="38" xfId="0" applyNumberFormat="1" applyFont="1" applyFill="1" applyBorder="1" applyAlignment="1"/>
    <xf numFmtId="169" fontId="111" fillId="0" borderId="0" xfId="37694" applyFont="1" applyAlignment="1"/>
    <xf numFmtId="164" fontId="111" fillId="0" borderId="0" xfId="382" applyNumberFormat="1" applyFont="1" applyAlignment="1"/>
    <xf numFmtId="0" fontId="111" fillId="0" borderId="0" xfId="37695" applyFont="1"/>
    <xf numFmtId="0" fontId="111" fillId="0" borderId="0" xfId="37695" applyFont="1" applyAlignment="1">
      <alignment horizontal="right"/>
    </xf>
    <xf numFmtId="169" fontId="111" fillId="0" borderId="0" xfId="37696" applyFont="1" applyAlignment="1"/>
    <xf numFmtId="0" fontId="111" fillId="0" borderId="0" xfId="37696" applyNumberFormat="1" applyFont="1" applyAlignment="1" applyProtection="1">
      <protection locked="0"/>
    </xf>
    <xf numFmtId="0" fontId="111" fillId="0" borderId="0" xfId="37696" applyNumberFormat="1" applyFont="1" applyAlignment="1" applyProtection="1">
      <alignment horizontal="center"/>
      <protection locked="0"/>
    </xf>
    <xf numFmtId="0" fontId="111" fillId="0" borderId="0" xfId="37696" applyNumberFormat="1" applyFont="1" applyFill="1" applyAlignment="1" applyProtection="1">
      <protection locked="0"/>
    </xf>
    <xf numFmtId="0" fontId="111" fillId="0" borderId="0" xfId="37696" applyNumberFormat="1" applyFont="1" applyFill="1" applyProtection="1">
      <protection locked="0"/>
    </xf>
    <xf numFmtId="3" fontId="111" fillId="0" borderId="0" xfId="37696" applyNumberFormat="1" applyFont="1" applyAlignment="1">
      <alignment horizontal="center"/>
    </xf>
    <xf numFmtId="3" fontId="111" fillId="0" borderId="0" xfId="37696" applyNumberFormat="1" applyFont="1" applyAlignment="1"/>
    <xf numFmtId="0" fontId="111" fillId="0" borderId="0" xfId="37696" applyNumberFormat="1" applyFont="1" applyProtection="1">
      <protection locked="0"/>
    </xf>
    <xf numFmtId="0" fontId="111" fillId="0" borderId="0" xfId="37696" applyNumberFormat="1" applyFont="1"/>
    <xf numFmtId="0" fontId="131" fillId="0" borderId="0" xfId="37696" applyNumberFormat="1" applyFont="1"/>
    <xf numFmtId="0" fontId="111" fillId="0" borderId="0" xfId="37696" applyNumberFormat="1" applyFont="1" applyFill="1"/>
    <xf numFmtId="49" fontId="111" fillId="0" borderId="0" xfId="37696" applyNumberFormat="1" applyFont="1" applyAlignment="1"/>
    <xf numFmtId="49" fontId="111" fillId="0" borderId="0" xfId="37696" applyNumberFormat="1" applyFont="1" applyAlignment="1">
      <alignment horizontal="center"/>
    </xf>
    <xf numFmtId="164" fontId="111" fillId="0" borderId="0" xfId="382" applyNumberFormat="1" applyFont="1" applyAlignment="1">
      <alignment horizontal="left"/>
    </xf>
    <xf numFmtId="0" fontId="111" fillId="0" borderId="0" xfId="37696" applyNumberFormat="1" applyFont="1" applyAlignment="1">
      <alignment horizontal="center"/>
    </xf>
    <xf numFmtId="49" fontId="111" fillId="0" borderId="0" xfId="37696" applyNumberFormat="1" applyFont="1"/>
    <xf numFmtId="0" fontId="111" fillId="0" borderId="7" xfId="37696" applyNumberFormat="1" applyFont="1" applyBorder="1" applyAlignment="1" applyProtection="1">
      <alignment horizontal="center"/>
      <protection locked="0"/>
    </xf>
    <xf numFmtId="3" fontId="111" fillId="0" borderId="0" xfId="37696" applyNumberFormat="1" applyFont="1"/>
    <xf numFmtId="164" fontId="111" fillId="0" borderId="0" xfId="382" applyNumberFormat="1" applyFont="1" applyFill="1" applyAlignment="1"/>
    <xf numFmtId="0" fontId="111" fillId="0" borderId="0" xfId="37696" applyNumberFormat="1" applyFont="1" applyFill="1" applyAlignment="1"/>
    <xf numFmtId="3" fontId="111" fillId="0" borderId="0" xfId="37696" applyNumberFormat="1" applyFont="1" applyFill="1" applyAlignment="1"/>
    <xf numFmtId="0" fontId="111" fillId="0" borderId="7" xfId="37696" applyNumberFormat="1" applyFont="1" applyFill="1" applyBorder="1" applyAlignment="1" applyProtection="1">
      <alignment horizontal="center"/>
      <protection locked="0"/>
    </xf>
    <xf numFmtId="0" fontId="111" fillId="0" borderId="7" xfId="37696" applyNumberFormat="1" applyFont="1" applyFill="1" applyBorder="1" applyAlignment="1" applyProtection="1">
      <alignment horizontal="centerContinuous"/>
      <protection locked="0"/>
    </xf>
    <xf numFmtId="3" fontId="111" fillId="0" borderId="0" xfId="37696" applyNumberFormat="1" applyFont="1" applyFill="1"/>
    <xf numFmtId="170" fontId="111" fillId="0" borderId="0" xfId="382" applyNumberFormat="1" applyFont="1" applyFill="1" applyAlignment="1"/>
    <xf numFmtId="3" fontId="111" fillId="0" borderId="0" xfId="37695" applyNumberFormat="1" applyFont="1" applyFill="1" applyAlignment="1"/>
    <xf numFmtId="43" fontId="111" fillId="0" borderId="0" xfId="382" applyFont="1" applyFill="1" applyAlignment="1"/>
    <xf numFmtId="3" fontId="111" fillId="0" borderId="0" xfId="37696" applyNumberFormat="1" applyFont="1" applyFill="1" applyAlignment="1">
      <alignment horizontal="left"/>
    </xf>
    <xf numFmtId="43" fontId="111" fillId="0" borderId="7" xfId="382" applyFont="1" applyFill="1" applyBorder="1" applyAlignment="1"/>
    <xf numFmtId="43" fontId="111" fillId="0" borderId="0" xfId="382" applyFont="1" applyFill="1" applyAlignment="1">
      <alignment horizontal="fill"/>
    </xf>
    <xf numFmtId="189" fontId="111" fillId="0" borderId="0" xfId="37695" applyNumberFormat="1" applyFont="1" applyFill="1" applyAlignment="1"/>
    <xf numFmtId="169" fontId="111" fillId="0" borderId="0" xfId="37696" applyFont="1" applyFill="1" applyAlignment="1"/>
    <xf numFmtId="189" fontId="111" fillId="0" borderId="0" xfId="37696" applyNumberFormat="1" applyFont="1" applyFill="1" applyAlignment="1"/>
    <xf numFmtId="0" fontId="111" fillId="0" borderId="0" xfId="37698" applyNumberFormat="1" applyFont="1" applyFill="1" applyAlignment="1"/>
    <xf numFmtId="0" fontId="111" fillId="0" borderId="0" xfId="37698" applyNumberFormat="1" applyFont="1" applyFill="1"/>
    <xf numFmtId="0" fontId="111" fillId="0" borderId="0" xfId="37698" applyNumberFormat="1" applyFont="1" applyFill="1" applyBorder="1" applyAlignment="1"/>
    <xf numFmtId="189" fontId="111" fillId="0" borderId="0" xfId="37698" applyNumberFormat="1" applyFont="1" applyFill="1" applyAlignment="1"/>
    <xf numFmtId="169" fontId="111" fillId="0" borderId="0" xfId="37694" applyFont="1" applyFill="1" applyAlignment="1"/>
    <xf numFmtId="0" fontId="111" fillId="0" borderId="0" xfId="37696" applyNumberFormat="1" applyFont="1" applyFill="1" applyBorder="1"/>
    <xf numFmtId="0" fontId="111" fillId="0" borderId="0" xfId="37698" applyFont="1" applyFill="1" applyAlignment="1"/>
    <xf numFmtId="3" fontId="111" fillId="0" borderId="0" xfId="37698" applyNumberFormat="1" applyFont="1" applyFill="1" applyAlignment="1"/>
    <xf numFmtId="0" fontId="111" fillId="0" borderId="0" xfId="37696" applyNumberFormat="1" applyFont="1" applyFill="1" applyBorder="1" applyAlignment="1" applyProtection="1">
      <alignment horizontal="center"/>
      <protection locked="0"/>
    </xf>
    <xf numFmtId="3" fontId="111" fillId="0" borderId="0" xfId="37696" applyNumberFormat="1" applyFont="1" applyFill="1" applyBorder="1"/>
    <xf numFmtId="169" fontId="111" fillId="0" borderId="0" xfId="37696" applyFont="1" applyFill="1" applyBorder="1" applyAlignment="1"/>
    <xf numFmtId="0" fontId="111" fillId="0" borderId="0" xfId="37696" applyNumberFormat="1" applyFont="1" applyFill="1" applyBorder="1" applyProtection="1">
      <protection locked="0"/>
    </xf>
    <xf numFmtId="0" fontId="111" fillId="0" borderId="0" xfId="37696" applyNumberFormat="1" applyFont="1" applyFill="1" applyBorder="1" applyAlignment="1"/>
    <xf numFmtId="0" fontId="111" fillId="0" borderId="0" xfId="37694" applyNumberFormat="1" applyFont="1" applyFill="1" applyAlignment="1"/>
    <xf numFmtId="0" fontId="111" fillId="0" borderId="0" xfId="37694" applyNumberFormat="1" applyFont="1" applyFill="1"/>
    <xf numFmtId="3" fontId="111" fillId="0" borderId="0" xfId="37694" applyNumberFormat="1" applyFont="1" applyFill="1"/>
    <xf numFmtId="43" fontId="111" fillId="0" borderId="0" xfId="382" applyFont="1" applyFill="1"/>
    <xf numFmtId="0" fontId="111" fillId="0" borderId="0" xfId="37694" applyNumberFormat="1" applyFont="1" applyFill="1" applyProtection="1">
      <protection locked="0"/>
    </xf>
    <xf numFmtId="164" fontId="111" fillId="0" borderId="0" xfId="382" applyNumberFormat="1" applyFont="1" applyFill="1"/>
    <xf numFmtId="3" fontId="111" fillId="0" borderId="0" xfId="37694" applyNumberFormat="1" applyFont="1" applyFill="1" applyAlignment="1"/>
    <xf numFmtId="43" fontId="111" fillId="0" borderId="0" xfId="382" applyFont="1" applyFill="1" applyBorder="1"/>
    <xf numFmtId="43" fontId="111" fillId="0" borderId="7" xfId="382" applyFont="1" applyFill="1" applyBorder="1"/>
    <xf numFmtId="0" fontId="111" fillId="0" borderId="0" xfId="37694" applyNumberFormat="1" applyFont="1" applyFill="1" applyAlignment="1" applyProtection="1">
      <protection locked="0"/>
    </xf>
    <xf numFmtId="43" fontId="111" fillId="0" borderId="0" xfId="382" applyFont="1" applyFill="1" applyAlignment="1">
      <alignment horizontal="center"/>
    </xf>
    <xf numFmtId="0" fontId="111" fillId="0" borderId="0" xfId="37694" applyNumberFormat="1" applyFont="1" applyFill="1" applyAlignment="1">
      <alignment horizontal="left"/>
    </xf>
    <xf numFmtId="0" fontId="111" fillId="0" borderId="0" xfId="37694" applyNumberFormat="1" applyFont="1" applyAlignment="1"/>
    <xf numFmtId="43" fontId="111" fillId="0" borderId="0" xfId="382" applyFont="1" applyProtection="1">
      <protection locked="0"/>
    </xf>
    <xf numFmtId="190" fontId="111" fillId="0" borderId="0" xfId="37694" applyNumberFormat="1" applyFont="1" applyProtection="1">
      <protection locked="0"/>
    </xf>
    <xf numFmtId="0" fontId="111" fillId="0" borderId="0" xfId="37694" applyNumberFormat="1" applyFont="1" applyFill="1" applyAlignment="1" applyProtection="1">
      <alignment horizontal="center"/>
      <protection locked="0"/>
    </xf>
    <xf numFmtId="190" fontId="111" fillId="0" borderId="0" xfId="37694" applyNumberFormat="1" applyFont="1" applyFill="1" applyProtection="1">
      <protection locked="0"/>
    </xf>
    <xf numFmtId="0" fontId="111" fillId="0" borderId="0" xfId="37696" applyNumberFormat="1" applyFont="1" applyAlignment="1"/>
    <xf numFmtId="190" fontId="111" fillId="0" borderId="0" xfId="37696" applyNumberFormat="1" applyFont="1" applyFill="1" applyProtection="1">
      <protection locked="0"/>
    </xf>
    <xf numFmtId="190" fontId="111" fillId="0" borderId="0" xfId="37696" applyNumberFormat="1" applyFont="1" applyProtection="1">
      <protection locked="0"/>
    </xf>
    <xf numFmtId="0" fontId="111" fillId="0" borderId="0" xfId="37695" applyFont="1" applyFill="1" applyAlignment="1">
      <alignment horizontal="right"/>
    </xf>
    <xf numFmtId="166" fontId="111" fillId="0" borderId="0" xfId="37696" applyNumberFormat="1" applyFont="1"/>
    <xf numFmtId="0" fontId="111" fillId="0" borderId="0" xfId="37696" applyNumberFormat="1" applyFont="1" applyAlignment="1">
      <alignment horizontal="right"/>
    </xf>
    <xf numFmtId="0" fontId="134" fillId="0" borderId="0" xfId="37696" applyNumberFormat="1" applyFont="1" applyAlignment="1"/>
    <xf numFmtId="0" fontId="98" fillId="0" borderId="0" xfId="37696" applyNumberFormat="1" applyFont="1" applyAlignment="1" applyProtection="1">
      <alignment horizontal="center"/>
      <protection locked="0"/>
    </xf>
    <xf numFmtId="3" fontId="98" fillId="0" borderId="0" xfId="37696" applyNumberFormat="1" applyFont="1" applyAlignment="1"/>
    <xf numFmtId="0" fontId="98" fillId="0" borderId="0" xfId="37696" applyNumberFormat="1" applyFont="1" applyAlignment="1"/>
    <xf numFmtId="0" fontId="111" fillId="0" borderId="0" xfId="37696" applyNumberFormat="1" applyFont="1" applyFill="1" applyAlignment="1" applyProtection="1">
      <alignment horizontal="center"/>
      <protection locked="0"/>
    </xf>
    <xf numFmtId="191" fontId="111" fillId="0" borderId="0" xfId="37696" applyNumberFormat="1" applyFont="1" applyFill="1" applyAlignment="1"/>
    <xf numFmtId="10" fontId="111" fillId="0" borderId="0" xfId="674" applyNumberFormat="1" applyFont="1" applyAlignment="1"/>
    <xf numFmtId="164" fontId="111" fillId="0" borderId="7" xfId="382" applyNumberFormat="1" applyFont="1" applyFill="1" applyBorder="1" applyAlignment="1"/>
    <xf numFmtId="170" fontId="111" fillId="0" borderId="0" xfId="382" applyNumberFormat="1" applyFont="1" applyFill="1" applyAlignment="1">
      <alignment horizontal="center"/>
    </xf>
    <xf numFmtId="170" fontId="111" fillId="0" borderId="0" xfId="37696" applyNumberFormat="1" applyFont="1" applyFill="1" applyAlignment="1">
      <alignment horizontal="center"/>
    </xf>
    <xf numFmtId="170" fontId="111" fillId="0" borderId="0" xfId="37696" applyNumberFormat="1" applyFont="1" applyFill="1" applyAlignment="1"/>
    <xf numFmtId="3" fontId="111" fillId="0" borderId="0" xfId="37698" applyNumberFormat="1" applyFont="1" applyFill="1" applyBorder="1" applyAlignment="1"/>
    <xf numFmtId="164" fontId="111" fillId="0" borderId="0" xfId="382" applyNumberFormat="1" applyFont="1" applyFill="1" applyBorder="1" applyAlignment="1"/>
    <xf numFmtId="3" fontId="134" fillId="0" borderId="0" xfId="37696" applyNumberFormat="1" applyFont="1" applyFill="1" applyAlignment="1"/>
    <xf numFmtId="169" fontId="134" fillId="0" borderId="0" xfId="37694" applyFont="1" applyFill="1" applyAlignment="1"/>
    <xf numFmtId="169" fontId="134" fillId="0" borderId="0" xfId="37694" applyFont="1" applyAlignment="1"/>
    <xf numFmtId="191" fontId="111" fillId="0" borderId="0" xfId="37695" applyNumberFormat="1" applyFont="1" applyFill="1" applyAlignment="1">
      <alignment horizontal="right"/>
    </xf>
    <xf numFmtId="168" fontId="111" fillId="0" borderId="0" xfId="37696" applyNumberFormat="1" applyFont="1" applyFill="1" applyAlignment="1">
      <alignment horizontal="center"/>
    </xf>
    <xf numFmtId="170" fontId="111" fillId="0" borderId="0" xfId="382" applyNumberFormat="1" applyFont="1" applyFill="1" applyAlignment="1">
      <alignment horizontal="right"/>
    </xf>
    <xf numFmtId="0" fontId="111" fillId="0" borderId="0" xfId="37695" applyNumberFormat="1" applyFont="1" applyFill="1"/>
    <xf numFmtId="164" fontId="111" fillId="0" borderId="40" xfId="382" applyNumberFormat="1" applyFont="1" applyFill="1" applyBorder="1" applyAlignment="1"/>
    <xf numFmtId="168" fontId="111" fillId="0" borderId="0" xfId="37695" applyNumberFormat="1" applyFont="1" applyFill="1" applyAlignment="1">
      <alignment horizontal="center"/>
    </xf>
    <xf numFmtId="3" fontId="111" fillId="0" borderId="0" xfId="37695" applyNumberFormat="1" applyFont="1" applyFill="1" applyBorder="1" applyAlignment="1"/>
    <xf numFmtId="3" fontId="111" fillId="0" borderId="0" xfId="37696" applyNumberFormat="1" applyFont="1" applyFill="1" applyAlignment="1">
      <alignment horizontal="right"/>
    </xf>
    <xf numFmtId="3" fontId="111" fillId="0" borderId="0" xfId="37696" applyNumberFormat="1" applyFont="1" applyFill="1" applyAlignment="1">
      <alignment horizontal="center"/>
    </xf>
    <xf numFmtId="0" fontId="111" fillId="0" borderId="0" xfId="37695" applyFont="1" applyFill="1"/>
    <xf numFmtId="0" fontId="111" fillId="0" borderId="0" xfId="37696" applyNumberFormat="1" applyFont="1" applyFill="1" applyAlignment="1">
      <alignment horizontal="center"/>
    </xf>
    <xf numFmtId="49" fontId="111" fillId="0" borderId="0" xfId="37696" applyNumberFormat="1" applyFont="1" applyFill="1" applyAlignment="1">
      <alignment horizontal="center"/>
    </xf>
    <xf numFmtId="3" fontId="98" fillId="0" borderId="0" xfId="37696" applyNumberFormat="1" applyFont="1" applyFill="1" applyAlignment="1">
      <alignment horizontal="center"/>
    </xf>
    <xf numFmtId="0" fontId="98" fillId="0" borderId="0" xfId="37696" applyNumberFormat="1" applyFont="1" applyFill="1" applyAlignment="1" applyProtection="1">
      <alignment horizontal="center"/>
      <protection locked="0"/>
    </xf>
    <xf numFmtId="169" fontId="98" fillId="0" borderId="0" xfId="37696" applyFont="1" applyFill="1" applyAlignment="1">
      <alignment horizontal="center"/>
    </xf>
    <xf numFmtId="3" fontId="98" fillId="0" borderId="0" xfId="37696" applyNumberFormat="1" applyFont="1" applyFill="1" applyAlignment="1"/>
    <xf numFmtId="193" fontId="111" fillId="0" borderId="0" xfId="37694" applyNumberFormat="1" applyFont="1" applyAlignment="1"/>
    <xf numFmtId="0" fontId="111" fillId="0" borderId="0" xfId="37696" quotePrefix="1" applyNumberFormat="1" applyFont="1" applyFill="1"/>
    <xf numFmtId="0" fontId="111" fillId="0" borderId="0" xfId="37698" applyNumberFormat="1" applyFont="1" applyFill="1" applyAlignment="1" applyProtection="1">
      <alignment horizontal="center"/>
      <protection locked="0"/>
    </xf>
    <xf numFmtId="169" fontId="111" fillId="0" borderId="0" xfId="37694" quotePrefix="1" applyFont="1" applyFill="1" applyAlignment="1"/>
    <xf numFmtId="10" fontId="111" fillId="0" borderId="0" xfId="674" applyNumberFormat="1" applyFont="1" applyFill="1" applyAlignment="1"/>
    <xf numFmtId="3" fontId="135" fillId="0" borderId="0" xfId="37695" applyNumberFormat="1" applyFont="1" applyFill="1" applyAlignment="1"/>
    <xf numFmtId="3" fontId="135" fillId="0" borderId="0" xfId="37696" applyNumberFormat="1" applyFont="1" applyFill="1" applyAlignment="1"/>
    <xf numFmtId="169" fontId="135" fillId="0" borderId="0" xfId="37694" applyFont="1" applyFill="1" applyAlignment="1"/>
    <xf numFmtId="169" fontId="135" fillId="0" borderId="0" xfId="37694" applyFont="1" applyAlignment="1"/>
    <xf numFmtId="189" fontId="111" fillId="0" borderId="0" xfId="37696" applyNumberFormat="1" applyFont="1" applyFill="1" applyAlignment="1">
      <alignment horizontal="center"/>
    </xf>
    <xf numFmtId="194" fontId="111" fillId="0" borderId="0" xfId="37696" applyNumberFormat="1" applyFont="1" applyFill="1" applyAlignment="1"/>
    <xf numFmtId="189" fontId="111" fillId="0" borderId="0" xfId="37695" applyNumberFormat="1" applyFont="1" applyFill="1" applyAlignment="1">
      <alignment horizontal="center"/>
    </xf>
    <xf numFmtId="164" fontId="111" fillId="0" borderId="17" xfId="382" applyNumberFormat="1" applyFont="1" applyFill="1" applyBorder="1" applyAlignment="1"/>
    <xf numFmtId="164" fontId="111" fillId="0" borderId="53" xfId="382" applyNumberFormat="1" applyFont="1" applyFill="1" applyBorder="1" applyAlignment="1"/>
    <xf numFmtId="0" fontId="111" fillId="0" borderId="0" xfId="37695" applyNumberFormat="1" applyFont="1" applyFill="1" applyAlignment="1"/>
    <xf numFmtId="169" fontId="111" fillId="0" borderId="0" xfId="37696" applyFont="1" applyFill="1" applyAlignment="1">
      <alignment horizontal="center"/>
    </xf>
    <xf numFmtId="169" fontId="111" fillId="0" borderId="0" xfId="37696" applyFont="1" applyFill="1" applyAlignment="1">
      <alignment horizontal="right"/>
    </xf>
    <xf numFmtId="0" fontId="135" fillId="0" borderId="0" xfId="37696" applyNumberFormat="1" applyFont="1" applyFill="1" applyAlignment="1" applyProtection="1">
      <alignment horizontal="center"/>
      <protection locked="0"/>
    </xf>
    <xf numFmtId="0" fontId="98" fillId="0" borderId="0" xfId="37696" applyNumberFormat="1" applyFont="1" applyFill="1" applyAlignment="1"/>
    <xf numFmtId="0" fontId="111" fillId="0" borderId="7" xfId="37696" applyNumberFormat="1" applyFont="1" applyFill="1" applyBorder="1"/>
    <xf numFmtId="49" fontId="111" fillId="0" borderId="0" xfId="37696" applyNumberFormat="1" applyFont="1" applyFill="1" applyAlignment="1"/>
    <xf numFmtId="3" fontId="111" fillId="0" borderId="7" xfId="37696" applyNumberFormat="1" applyFont="1" applyFill="1" applyBorder="1" applyAlignment="1"/>
    <xf numFmtId="3" fontId="111" fillId="0" borderId="7" xfId="37696" applyNumberFormat="1" applyFont="1" applyFill="1" applyBorder="1" applyAlignment="1">
      <alignment horizontal="center"/>
    </xf>
    <xf numFmtId="43" fontId="111" fillId="0" borderId="0" xfId="382" applyNumberFormat="1" applyFont="1" applyFill="1" applyAlignment="1"/>
    <xf numFmtId="3" fontId="111" fillId="0" borderId="0" xfId="37695" applyNumberFormat="1" applyFont="1" applyFill="1" applyBorder="1" applyAlignment="1">
      <alignment horizontal="center"/>
    </xf>
    <xf numFmtId="0" fontId="111" fillId="0" borderId="7" xfId="37695" applyNumberFormat="1" applyFont="1" applyFill="1" applyBorder="1" applyAlignment="1">
      <alignment horizontal="center"/>
    </xf>
    <xf numFmtId="0" fontId="111" fillId="0" borderId="0" xfId="37695" applyNumberFormat="1" applyFont="1" applyFill="1" applyAlignment="1">
      <alignment horizontal="center"/>
    </xf>
    <xf numFmtId="192" fontId="111" fillId="0" borderId="0" xfId="382" applyNumberFormat="1" applyFont="1" applyFill="1" applyAlignment="1"/>
    <xf numFmtId="189" fontId="111" fillId="0" borderId="0" xfId="37696" applyNumberFormat="1" applyFont="1" applyFill="1" applyAlignment="1" applyProtection="1">
      <alignment horizontal="center"/>
      <protection locked="0"/>
    </xf>
    <xf numFmtId="0" fontId="111" fillId="0" borderId="0" xfId="37696" applyNumberFormat="1" applyFont="1" applyFill="1" applyAlignment="1">
      <alignment horizontal="left"/>
    </xf>
    <xf numFmtId="192" fontId="111" fillId="0" borderId="0" xfId="382" applyNumberFormat="1" applyFont="1" applyFill="1" applyAlignment="1">
      <alignment horizontal="center"/>
    </xf>
    <xf numFmtId="168" fontId="111" fillId="0" borderId="0" xfId="674" applyNumberFormat="1" applyFont="1" applyFill="1" applyAlignment="1"/>
    <xf numFmtId="3" fontId="111" fillId="0" borderId="0" xfId="37696" quotePrefix="1" applyNumberFormat="1" applyFont="1" applyFill="1" applyAlignment="1"/>
    <xf numFmtId="168" fontId="111" fillId="0" borderId="7" xfId="674" applyNumberFormat="1" applyFont="1" applyFill="1" applyBorder="1" applyAlignment="1"/>
    <xf numFmtId="164" fontId="111" fillId="0" borderId="0" xfId="382" applyNumberFormat="1" applyFont="1" applyFill="1" applyAlignment="1">
      <alignment horizontal="center"/>
    </xf>
    <xf numFmtId="0" fontId="136" fillId="0" borderId="0" xfId="37696" applyNumberFormat="1" applyFont="1" applyFill="1" applyProtection="1">
      <protection locked="0"/>
    </xf>
    <xf numFmtId="169" fontId="136" fillId="0" borderId="0" xfId="37696" applyFont="1" applyFill="1" applyAlignment="1"/>
    <xf numFmtId="169" fontId="111" fillId="0" borderId="0" xfId="37696" applyFont="1" applyFill="1" applyAlignment="1" applyProtection="1"/>
    <xf numFmtId="195" fontId="111" fillId="0" borderId="0" xfId="382" applyNumberFormat="1" applyFont="1" applyFill="1" applyBorder="1" applyProtection="1">
      <protection locked="0"/>
    </xf>
    <xf numFmtId="38" fontId="111" fillId="0" borderId="0" xfId="37696" applyNumberFormat="1" applyFont="1" applyFill="1" applyAlignment="1" applyProtection="1"/>
    <xf numFmtId="195" fontId="111" fillId="0" borderId="7" xfId="382" applyNumberFormat="1" applyFont="1" applyFill="1" applyBorder="1" applyProtection="1">
      <protection locked="0"/>
    </xf>
    <xf numFmtId="38" fontId="111" fillId="0" borderId="0" xfId="37696" applyNumberFormat="1" applyFont="1" applyFill="1" applyAlignment="1"/>
    <xf numFmtId="193" fontId="111" fillId="0" borderId="0" xfId="37696" applyNumberFormat="1" applyFont="1" applyFill="1" applyBorder="1" applyProtection="1"/>
    <xf numFmtId="196" fontId="111" fillId="0" borderId="0" xfId="37696" applyNumberFormat="1" applyFont="1" applyFill="1" applyProtection="1">
      <protection locked="0"/>
    </xf>
    <xf numFmtId="1" fontId="111" fillId="0" borderId="0" xfId="37696" applyNumberFormat="1" applyFont="1" applyFill="1" applyProtection="1"/>
    <xf numFmtId="1" fontId="111" fillId="0" borderId="0" xfId="37696" applyNumberFormat="1" applyFont="1" applyFill="1" applyAlignment="1" applyProtection="1"/>
    <xf numFmtId="3" fontId="111" fillId="0" borderId="0" xfId="37696" applyNumberFormat="1" applyFont="1" applyFill="1" applyAlignment="1" applyProtection="1"/>
    <xf numFmtId="164" fontId="111" fillId="0" borderId="0" xfId="382" applyNumberFormat="1" applyFont="1" applyFill="1" applyBorder="1" applyAlignment="1" applyProtection="1"/>
    <xf numFmtId="193" fontId="111" fillId="0" borderId="0" xfId="37696" applyNumberFormat="1" applyFont="1" applyFill="1" applyBorder="1" applyAlignment="1" applyProtection="1"/>
    <xf numFmtId="0" fontId="133" fillId="0" borderId="0" xfId="37698" applyNumberFormat="1" applyFont="1" applyFill="1" applyAlignment="1" applyProtection="1">
      <alignment vertical="top" wrapText="1"/>
      <protection locked="0"/>
    </xf>
    <xf numFmtId="0" fontId="137" fillId="0" borderId="0" xfId="37698" applyNumberFormat="1" applyFont="1" applyFill="1" applyAlignment="1" applyProtection="1">
      <alignment vertical="top" wrapText="1"/>
      <protection locked="0"/>
    </xf>
    <xf numFmtId="164" fontId="137" fillId="0" borderId="0" xfId="382" applyNumberFormat="1" applyFont="1" applyFill="1" applyAlignment="1" applyProtection="1">
      <alignment vertical="top" wrapText="1"/>
      <protection locked="0"/>
    </xf>
    <xf numFmtId="164" fontId="133" fillId="0" borderId="0" xfId="382" applyNumberFormat="1" applyFont="1" applyFill="1" applyAlignment="1" applyProtection="1">
      <alignment vertical="top" wrapText="1"/>
      <protection locked="0"/>
    </xf>
    <xf numFmtId="164" fontId="47" fillId="0" borderId="0" xfId="382" applyNumberFormat="1" applyFont="1"/>
    <xf numFmtId="0" fontId="45" fillId="0" borderId="0" xfId="0" applyFont="1" applyAlignment="1">
      <alignment horizontal="center"/>
    </xf>
    <xf numFmtId="3" fontId="47" fillId="0" borderId="0" xfId="0" applyNumberFormat="1" applyFont="1" applyFill="1" applyBorder="1"/>
    <xf numFmtId="0" fontId="47" fillId="0" borderId="17" xfId="0" applyFont="1" applyFill="1" applyBorder="1"/>
    <xf numFmtId="0" fontId="47" fillId="0" borderId="17" xfId="0" applyFont="1" applyFill="1" applyBorder="1" applyAlignment="1">
      <alignment horizontal="center"/>
    </xf>
    <xf numFmtId="3" fontId="45" fillId="0" borderId="36" xfId="0" applyNumberFormat="1" applyFont="1" applyFill="1" applyBorder="1" applyAlignment="1"/>
    <xf numFmtId="164" fontId="47" fillId="0" borderId="30" xfId="382" applyNumberFormat="1" applyFont="1" applyFill="1" applyBorder="1"/>
    <xf numFmtId="0" fontId="47" fillId="0" borderId="0" xfId="0" quotePrefix="1" applyFont="1" applyFill="1" applyBorder="1" applyAlignment="1">
      <alignment horizontal="center" wrapText="1"/>
    </xf>
    <xf numFmtId="0" fontId="47" fillId="0" borderId="18" xfId="0" applyFont="1" applyFill="1" applyBorder="1"/>
    <xf numFmtId="0" fontId="47" fillId="0" borderId="0" xfId="0" applyFont="1" applyFill="1" applyAlignment="1">
      <alignment horizontal="right"/>
    </xf>
    <xf numFmtId="0" fontId="45" fillId="0" borderId="17" xfId="0" applyFont="1" applyFill="1" applyBorder="1" applyAlignment="1"/>
    <xf numFmtId="3" fontId="45" fillId="0" borderId="47" xfId="0" applyNumberFormat="1" applyFont="1" applyFill="1" applyBorder="1" applyAlignment="1">
      <alignment horizontal="center"/>
    </xf>
    <xf numFmtId="0" fontId="45" fillId="0" borderId="6" xfId="0" applyNumberFormat="1" applyFont="1" applyFill="1" applyBorder="1" applyAlignment="1">
      <alignment horizontal="center"/>
    </xf>
    <xf numFmtId="0" fontId="45" fillId="0" borderId="6" xfId="0" applyFont="1" applyFill="1" applyBorder="1" applyAlignment="1">
      <alignment horizontal="center" wrapText="1"/>
    </xf>
    <xf numFmtId="0" fontId="110" fillId="0" borderId="0" xfId="11279" applyFont="1"/>
    <xf numFmtId="0" fontId="45" fillId="0" borderId="6" xfId="0" applyFont="1" applyFill="1" applyBorder="1" applyAlignment="1">
      <alignment horizontal="center"/>
    </xf>
    <xf numFmtId="43" fontId="45" fillId="0" borderId="0" xfId="382" applyFont="1" applyBorder="1"/>
    <xf numFmtId="0" fontId="45" fillId="35" borderId="46" xfId="0" applyFont="1" applyFill="1" applyBorder="1" applyAlignment="1">
      <alignment horizontal="center" wrapText="1"/>
    </xf>
    <xf numFmtId="0" fontId="47" fillId="50" borderId="32" xfId="0" applyFont="1" applyFill="1" applyBorder="1" applyAlignment="1">
      <alignment horizontal="center" wrapText="1"/>
    </xf>
    <xf numFmtId="0" fontId="47" fillId="50" borderId="42" xfId="0" applyFont="1" applyFill="1" applyBorder="1" applyAlignment="1">
      <alignment horizontal="center" wrapText="1"/>
    </xf>
    <xf numFmtId="0" fontId="59" fillId="35" borderId="31" xfId="0" applyFont="1" applyFill="1" applyBorder="1" applyAlignment="1">
      <alignment horizontal="left"/>
    </xf>
    <xf numFmtId="0" fontId="45" fillId="35" borderId="46" xfId="0" applyFont="1" applyFill="1" applyBorder="1" applyAlignment="1"/>
    <xf numFmtId="0" fontId="45" fillId="35" borderId="46" xfId="0" applyNumberFormat="1" applyFont="1" applyFill="1" applyBorder="1" applyAlignment="1">
      <alignment horizontal="center"/>
    </xf>
    <xf numFmtId="0" fontId="45" fillId="35" borderId="46" xfId="0" applyNumberFormat="1" applyFont="1" applyFill="1" applyBorder="1" applyAlignment="1">
      <alignment horizontal="center" wrapText="1"/>
    </xf>
    <xf numFmtId="3" fontId="47" fillId="0" borderId="41" xfId="0" applyNumberFormat="1" applyFont="1" applyBorder="1" applyAlignment="1"/>
    <xf numFmtId="43" fontId="45" fillId="0" borderId="35" xfId="382" applyFont="1" applyBorder="1"/>
    <xf numFmtId="43" fontId="45" fillId="0" borderId="41" xfId="382" applyFont="1" applyBorder="1"/>
    <xf numFmtId="164" fontId="122" fillId="0" borderId="0" xfId="382" applyNumberFormat="1" applyFont="1" applyFill="1"/>
    <xf numFmtId="43" fontId="123" fillId="0" borderId="0" xfId="382" applyFont="1" applyFill="1" applyAlignment="1">
      <alignment horizontal="center" wrapText="1"/>
    </xf>
    <xf numFmtId="0" fontId="44" fillId="0" borderId="0" xfId="0" applyFont="1" applyFill="1" applyAlignment="1">
      <alignment horizontal="center" vertical="center"/>
    </xf>
    <xf numFmtId="164" fontId="122" fillId="0" borderId="0" xfId="382" applyNumberFormat="1" applyFont="1" applyFill="1" applyBorder="1"/>
    <xf numFmtId="164" fontId="43" fillId="0" borderId="35" xfId="0" applyNumberFormat="1" applyFont="1" applyFill="1" applyBorder="1" applyAlignment="1"/>
    <xf numFmtId="0" fontId="43" fillId="0" borderId="35" xfId="0" applyFont="1" applyFill="1" applyBorder="1" applyAlignment="1"/>
    <xf numFmtId="164" fontId="122" fillId="0" borderId="35" xfId="382" applyNumberFormat="1" applyFont="1" applyFill="1" applyBorder="1"/>
    <xf numFmtId="0" fontId="44" fillId="0" borderId="19" xfId="0" applyFont="1" applyFill="1" applyBorder="1"/>
    <xf numFmtId="0" fontId="62" fillId="0" borderId="5" xfId="0" applyFont="1" applyFill="1" applyBorder="1"/>
    <xf numFmtId="197" fontId="44" fillId="0" borderId="0" xfId="434" applyNumberFormat="1" applyFont="1" applyFill="1" applyAlignment="1">
      <alignment horizontal="center"/>
    </xf>
    <xf numFmtId="164" fontId="43" fillId="37" borderId="35" xfId="0" applyNumberFormat="1" applyFont="1" applyFill="1" applyBorder="1" applyAlignment="1"/>
    <xf numFmtId="164" fontId="122" fillId="0" borderId="44" xfId="382" applyNumberFormat="1" applyFont="1" applyFill="1" applyBorder="1"/>
    <xf numFmtId="0" fontId="125" fillId="0" borderId="0" xfId="0" applyFont="1"/>
    <xf numFmtId="0" fontId="43" fillId="0" borderId="0" xfId="0" applyFont="1" applyFill="1" applyBorder="1" applyAlignment="1">
      <alignment horizontal="center"/>
    </xf>
    <xf numFmtId="164" fontId="122" fillId="0" borderId="0" xfId="382" applyNumberFormat="1" applyFont="1" applyFill="1" applyAlignment="1">
      <alignment horizontal="center"/>
    </xf>
    <xf numFmtId="17" fontId="43" fillId="0" borderId="0" xfId="0" applyNumberFormat="1" applyFont="1" applyFill="1" applyBorder="1"/>
    <xf numFmtId="166" fontId="43" fillId="0" borderId="0" xfId="678" applyNumberFormat="1" applyFont="1" applyBorder="1"/>
    <xf numFmtId="43" fontId="43" fillId="0" borderId="0" xfId="0" applyNumberFormat="1" applyFont="1" applyFill="1"/>
    <xf numFmtId="43" fontId="43" fillId="0" borderId="0" xfId="0" applyNumberFormat="1" applyFont="1" applyFill="1" applyBorder="1"/>
    <xf numFmtId="10" fontId="43" fillId="0" borderId="0" xfId="678" applyNumberFormat="1" applyFont="1" applyFill="1" applyBorder="1"/>
    <xf numFmtId="0" fontId="44" fillId="0" borderId="0" xfId="0" applyFont="1" applyBorder="1"/>
    <xf numFmtId="39" fontId="43" fillId="0" borderId="0" xfId="403" applyNumberFormat="1" applyFont="1" applyFill="1"/>
    <xf numFmtId="10" fontId="43" fillId="0" borderId="0" xfId="674" applyNumberFormat="1" applyFont="1" applyFill="1"/>
    <xf numFmtId="10" fontId="43" fillId="0" borderId="0" xfId="678" applyNumberFormat="1" applyFont="1" applyBorder="1"/>
    <xf numFmtId="43" fontId="43" fillId="0" borderId="0" xfId="0" applyNumberFormat="1" applyFont="1"/>
    <xf numFmtId="43" fontId="43" fillId="0" borderId="0" xfId="0" quotePrefix="1" applyNumberFormat="1" applyFont="1" applyFill="1"/>
    <xf numFmtId="164" fontId="63" fillId="0" borderId="0" xfId="382" applyNumberFormat="1" applyFont="1" applyFill="1"/>
    <xf numFmtId="0" fontId="63" fillId="0" borderId="0" xfId="0" applyFont="1" applyAlignment="1">
      <alignment horizontal="center"/>
    </xf>
    <xf numFmtId="164" fontId="63" fillId="0" borderId="0" xfId="382" applyNumberFormat="1" applyFont="1" applyAlignment="1">
      <alignment horizontal="center"/>
    </xf>
    <xf numFmtId="0" fontId="43" fillId="0" borderId="0" xfId="0" applyFont="1" applyAlignment="1">
      <alignment horizontal="center" wrapText="1"/>
    </xf>
    <xf numFmtId="0" fontId="63" fillId="0" borderId="0" xfId="0" quotePrefix="1" applyFont="1" applyAlignment="1">
      <alignment horizontal="center" wrapText="1"/>
    </xf>
    <xf numFmtId="0" fontId="63" fillId="0" borderId="0" xfId="0" applyFont="1" applyAlignment="1">
      <alignment horizontal="left"/>
    </xf>
    <xf numFmtId="37" fontId="63" fillId="0" borderId="0" xfId="0" applyNumberFormat="1" applyFont="1" applyAlignment="1">
      <alignment horizontal="center"/>
    </xf>
    <xf numFmtId="37" fontId="63" fillId="0" borderId="0" xfId="0" applyNumberFormat="1" applyFont="1" applyBorder="1" applyAlignment="1">
      <alignment horizontal="center"/>
    </xf>
    <xf numFmtId="0" fontId="124" fillId="0" borderId="0" xfId="0" quotePrefix="1" applyFont="1" applyAlignment="1">
      <alignment horizontal="left" wrapText="1"/>
    </xf>
    <xf numFmtId="0" fontId="91" fillId="0" borderId="0" xfId="0" applyFont="1" applyFill="1" applyBorder="1"/>
    <xf numFmtId="0" fontId="63" fillId="0" borderId="0" xfId="474" quotePrefix="1" applyFont="1" applyAlignment="1"/>
    <xf numFmtId="0" fontId="63" fillId="0" borderId="0" xfId="11272" applyFont="1" applyAlignment="1"/>
    <xf numFmtId="43" fontId="122" fillId="0" borderId="0" xfId="382" applyFont="1" applyFill="1" applyBorder="1" applyAlignment="1">
      <alignment horizontal="center" wrapText="1"/>
    </xf>
    <xf numFmtId="17" fontId="43" fillId="0" borderId="0" xfId="0" applyNumberFormat="1" applyFont="1" applyFill="1" applyBorder="1" applyAlignment="1">
      <alignment horizontal="left" vertical="top"/>
    </xf>
    <xf numFmtId="10" fontId="43" fillId="0" borderId="0" xfId="678" applyNumberFormat="1" applyFont="1" applyBorder="1" applyAlignment="1">
      <alignment horizontal="left" vertical="top"/>
    </xf>
    <xf numFmtId="166" fontId="43" fillId="0" borderId="0" xfId="678" applyNumberFormat="1" applyFont="1" applyBorder="1" applyAlignment="1">
      <alignment horizontal="left" vertical="top"/>
    </xf>
    <xf numFmtId="0" fontId="43" fillId="0" borderId="0" xfId="564" quotePrefix="1" applyFont="1" applyFill="1" applyBorder="1" applyAlignment="1">
      <alignment horizontal="center" vertical="top"/>
    </xf>
    <xf numFmtId="164" fontId="63" fillId="0" borderId="0" xfId="382" applyNumberFormat="1" applyFont="1" applyFill="1" applyBorder="1" applyAlignment="1">
      <alignment horizontal="left"/>
    </xf>
    <xf numFmtId="164" fontId="110" fillId="0" borderId="0" xfId="382" applyNumberFormat="1" applyFont="1"/>
    <xf numFmtId="164" fontId="122" fillId="0" borderId="0" xfId="382" applyNumberFormat="1" applyFont="1" applyFill="1" applyBorder="1" applyAlignment="1"/>
    <xf numFmtId="0" fontId="63" fillId="0" borderId="0" xfId="569" applyFont="1" applyAlignment="1">
      <alignment horizontal="center"/>
    </xf>
    <xf numFmtId="164" fontId="138" fillId="0" borderId="0" xfId="382" applyNumberFormat="1" applyFont="1"/>
    <xf numFmtId="0" fontId="43" fillId="0" borderId="0" xfId="474" applyFont="1"/>
    <xf numFmtId="43" fontId="123" fillId="0" borderId="0" xfId="382" applyFont="1" applyFill="1" applyBorder="1" applyAlignment="1">
      <alignment horizontal="center" wrapText="1"/>
    </xf>
    <xf numFmtId="0" fontId="43" fillId="0" borderId="0" xfId="11267" applyFont="1" applyFill="1" applyAlignment="1">
      <alignment horizontal="left" indent="1"/>
    </xf>
    <xf numFmtId="49" fontId="43" fillId="0" borderId="0" xfId="0" applyNumberFormat="1" applyFont="1"/>
    <xf numFmtId="43" fontId="130" fillId="0" borderId="0" xfId="382" applyFont="1"/>
    <xf numFmtId="0" fontId="43" fillId="0" borderId="0" xfId="474" applyFont="1" applyBorder="1"/>
    <xf numFmtId="164" fontId="43" fillId="0" borderId="0" xfId="382" applyNumberFormat="1" applyFont="1" applyBorder="1"/>
    <xf numFmtId="164" fontId="43" fillId="0" borderId="0" xfId="474" applyNumberFormat="1" applyFont="1" applyBorder="1"/>
    <xf numFmtId="0" fontId="43" fillId="0" borderId="0" xfId="517" applyNumberFormat="1" applyFont="1" applyFill="1" applyBorder="1" applyAlignment="1">
      <alignment horizontal="center"/>
    </xf>
    <xf numFmtId="0" fontId="43" fillId="0" borderId="0" xfId="474" applyFont="1" applyBorder="1" applyAlignment="1">
      <alignment horizontal="center"/>
    </xf>
    <xf numFmtId="164" fontId="43" fillId="0" borderId="0" xfId="474" applyNumberFormat="1" applyFont="1"/>
    <xf numFmtId="0" fontId="44" fillId="0" borderId="0" xfId="474" applyFont="1" applyAlignment="1"/>
    <xf numFmtId="17" fontId="43" fillId="0" borderId="0" xfId="517" applyNumberFormat="1" applyFont="1" applyBorder="1"/>
    <xf numFmtId="0" fontId="44" fillId="0" borderId="0" xfId="474" applyFont="1"/>
    <xf numFmtId="0" fontId="43" fillId="0" borderId="0" xfId="517" applyNumberFormat="1" applyFont="1" applyFill="1" applyBorder="1" applyAlignment="1">
      <alignment horizontal="right"/>
    </xf>
    <xf numFmtId="17" fontId="43" fillId="0" borderId="0" xfId="517" applyNumberFormat="1" applyFont="1" applyBorder="1" applyAlignment="1">
      <alignment horizontal="center"/>
    </xf>
    <xf numFmtId="43" fontId="43" fillId="0" borderId="0" xfId="382" applyFont="1" applyAlignment="1">
      <alignment wrapText="1"/>
    </xf>
    <xf numFmtId="43" fontId="43" fillId="0" borderId="0" xfId="382" applyFont="1" applyAlignment="1">
      <alignment horizontal="left"/>
    </xf>
    <xf numFmtId="43" fontId="45" fillId="0" borderId="26" xfId="382" applyFont="1" applyFill="1" applyBorder="1" applyAlignment="1">
      <alignment horizontal="center"/>
    </xf>
    <xf numFmtId="49" fontId="43" fillId="0" borderId="0" xfId="0" applyNumberFormat="1" applyFont="1" applyBorder="1"/>
    <xf numFmtId="164" fontId="43" fillId="0" borderId="0" xfId="382" applyNumberFormat="1" applyFont="1" applyFill="1" applyBorder="1" applyAlignment="1">
      <alignment horizontal="left"/>
    </xf>
    <xf numFmtId="43" fontId="122" fillId="0" borderId="0" xfId="382" applyFont="1" applyFill="1" applyBorder="1" applyAlignment="1">
      <alignment horizontal="center"/>
    </xf>
    <xf numFmtId="0" fontId="43" fillId="0" borderId="0" xfId="474" applyFont="1" applyBorder="1" applyProtection="1">
      <protection locked="0"/>
    </xf>
    <xf numFmtId="164" fontId="43" fillId="0" borderId="0" xfId="382" applyNumberFormat="1" applyFont="1" applyBorder="1" applyProtection="1">
      <protection locked="0"/>
    </xf>
    <xf numFmtId="43" fontId="63" fillId="0" borderId="0" xfId="382" applyFont="1" applyAlignment="1">
      <alignment horizontal="center"/>
    </xf>
    <xf numFmtId="0" fontId="43" fillId="0" borderId="0" xfId="504" applyFont="1" applyFill="1" applyBorder="1" applyAlignment="1">
      <alignment horizontal="center" wrapText="1"/>
    </xf>
    <xf numFmtId="0" fontId="44" fillId="0" borderId="0" xfId="569" applyFont="1" applyFill="1" applyBorder="1" applyAlignment="1">
      <alignment horizontal="center" vertical="top"/>
    </xf>
    <xf numFmtId="164" fontId="43" fillId="0" borderId="0" xfId="569" applyNumberFormat="1" applyFont="1" applyFill="1" applyBorder="1" applyAlignment="1">
      <alignment horizontal="center" vertical="top"/>
    </xf>
    <xf numFmtId="0" fontId="43" fillId="0" borderId="0" xfId="569" quotePrefix="1" applyFont="1" applyFill="1" applyBorder="1" applyAlignment="1">
      <alignment horizontal="left" vertical="top"/>
    </xf>
    <xf numFmtId="0" fontId="63" fillId="0" borderId="0" xfId="569" applyFont="1" applyFill="1" applyAlignment="1">
      <alignment horizontal="center"/>
    </xf>
    <xf numFmtId="0" fontId="43" fillId="0" borderId="0" xfId="530" applyFont="1" applyAlignment="1"/>
    <xf numFmtId="0" fontId="43" fillId="0" borderId="0" xfId="530" applyFont="1" applyBorder="1" applyAlignment="1"/>
    <xf numFmtId="0" fontId="63" fillId="0" borderId="0" xfId="530" applyFont="1" applyBorder="1" applyAlignment="1"/>
    <xf numFmtId="0" fontId="63" fillId="0" borderId="18" xfId="530" applyFont="1" applyBorder="1" applyAlignment="1"/>
    <xf numFmtId="0" fontId="122" fillId="0" borderId="18" xfId="0" applyFont="1" applyBorder="1"/>
    <xf numFmtId="0" fontId="43" fillId="0" borderId="18" xfId="0" applyFont="1" applyBorder="1"/>
    <xf numFmtId="0" fontId="63" fillId="0" borderId="18" xfId="530" applyFont="1" applyBorder="1" applyAlignment="1">
      <alignment horizontal="center"/>
    </xf>
    <xf numFmtId="164" fontId="43" fillId="0" borderId="18" xfId="0" applyNumberFormat="1" applyFont="1" applyBorder="1"/>
    <xf numFmtId="164" fontId="63" fillId="37" borderId="54" xfId="382" applyNumberFormat="1" applyFont="1" applyFill="1" applyBorder="1" applyAlignment="1">
      <alignment horizontal="left"/>
    </xf>
    <xf numFmtId="164" fontId="63" fillId="37" borderId="45" xfId="382" applyNumberFormat="1" applyFont="1" applyFill="1" applyBorder="1" applyAlignment="1">
      <alignment horizontal="left"/>
    </xf>
    <xf numFmtId="0" fontId="63" fillId="0" borderId="45" xfId="530" applyFont="1" applyBorder="1" applyAlignment="1">
      <alignment horizontal="center"/>
    </xf>
    <xf numFmtId="0" fontId="43" fillId="0" borderId="0" xfId="533" applyFont="1"/>
    <xf numFmtId="0" fontId="43" fillId="0" borderId="11" xfId="0" applyFont="1" applyFill="1" applyBorder="1"/>
    <xf numFmtId="0" fontId="43" fillId="0" borderId="0" xfId="0" applyFont="1" applyFill="1" applyBorder="1" applyAlignment="1">
      <alignment horizontal="center" wrapText="1"/>
    </xf>
    <xf numFmtId="0" fontId="43" fillId="0" borderId="0" xfId="0" applyFont="1" applyFill="1" applyAlignment="1">
      <alignment horizontal="center" vertical="top"/>
    </xf>
    <xf numFmtId="0" fontId="43" fillId="0" borderId="0" xfId="0" applyFont="1" applyFill="1" applyAlignment="1">
      <alignment vertical="top"/>
    </xf>
    <xf numFmtId="164" fontId="43" fillId="0" borderId="18" xfId="382" applyNumberFormat="1" applyFont="1" applyFill="1" applyBorder="1"/>
    <xf numFmtId="164" fontId="43" fillId="0" borderId="18" xfId="382" applyNumberFormat="1" applyFont="1" applyBorder="1"/>
    <xf numFmtId="164" fontId="55" fillId="0" borderId="0" xfId="382" applyNumberFormat="1" applyFont="1" applyFill="1" applyBorder="1" applyAlignment="1">
      <alignment horizontal="center"/>
    </xf>
    <xf numFmtId="164" fontId="44" fillId="0" borderId="0" xfId="403" applyNumberFormat="1" applyFont="1" applyFill="1" applyAlignment="1"/>
    <xf numFmtId="164" fontId="44" fillId="0" borderId="0" xfId="504" applyNumberFormat="1" applyFont="1"/>
    <xf numFmtId="0" fontId="44" fillId="0" borderId="0" xfId="504" applyFont="1" applyBorder="1"/>
    <xf numFmtId="0" fontId="27" fillId="0" borderId="0" xfId="496" applyFont="1"/>
    <xf numFmtId="0" fontId="43" fillId="0" borderId="0" xfId="504" applyFont="1" applyAlignment="1">
      <alignment vertical="center"/>
    </xf>
    <xf numFmtId="0" fontId="43" fillId="0" borderId="0" xfId="504" applyFont="1" applyAlignment="1">
      <alignment horizontal="center" vertical="center"/>
    </xf>
    <xf numFmtId="0" fontId="43" fillId="0" borderId="0" xfId="0" applyFont="1" applyFill="1" applyAlignment="1">
      <alignment horizontal="left" indent="1"/>
    </xf>
    <xf numFmtId="164" fontId="43" fillId="0" borderId="6" xfId="403" applyNumberFormat="1" applyFont="1" applyFill="1" applyBorder="1" applyAlignment="1"/>
    <xf numFmtId="0" fontId="27" fillId="0" borderId="0" xfId="496" applyFont="1" applyAlignment="1">
      <alignment horizontal="center"/>
    </xf>
    <xf numFmtId="43" fontId="43" fillId="0" borderId="18" xfId="382" applyFont="1" applyFill="1" applyBorder="1" applyAlignment="1">
      <alignment horizontal="center" wrapText="1"/>
    </xf>
    <xf numFmtId="0" fontId="45" fillId="0" borderId="19" xfId="0" applyNumberFormat="1" applyFont="1" applyBorder="1" applyAlignment="1">
      <alignment horizontal="center"/>
    </xf>
    <xf numFmtId="0" fontId="47" fillId="0" borderId="5" xfId="0" applyNumberFormat="1" applyFont="1" applyBorder="1" applyAlignment="1">
      <alignment horizontal="center"/>
    </xf>
    <xf numFmtId="0" fontId="45" fillId="0" borderId="5" xfId="0" applyNumberFormat="1" applyFont="1" applyFill="1" applyBorder="1" applyAlignment="1"/>
    <xf numFmtId="0" fontId="45" fillId="0" borderId="5" xfId="0" applyFont="1" applyFill="1" applyBorder="1" applyAlignment="1"/>
    <xf numFmtId="0" fontId="45" fillId="0" borderId="18" xfId="0" applyFont="1" applyFill="1" applyBorder="1" applyAlignment="1"/>
    <xf numFmtId="3" fontId="45" fillId="0" borderId="0" xfId="0" applyNumberFormat="1" applyFont="1" applyFill="1" applyBorder="1" applyAlignment="1">
      <alignment horizontal="center"/>
    </xf>
    <xf numFmtId="0" fontId="45" fillId="0" borderId="5" xfId="0" applyNumberFormat="1" applyFont="1" applyBorder="1" applyAlignment="1">
      <alignment horizontal="left"/>
    </xf>
    <xf numFmtId="0" fontId="45" fillId="0" borderId="5" xfId="0" applyFont="1" applyFill="1" applyBorder="1"/>
    <xf numFmtId="0" fontId="45" fillId="0" borderId="5" xfId="0" applyFont="1" applyBorder="1" applyAlignment="1">
      <alignment horizontal="center"/>
    </xf>
    <xf numFmtId="0" fontId="50" fillId="0" borderId="0" xfId="0" applyFont="1" applyFill="1" applyBorder="1" applyAlignment="1"/>
    <xf numFmtId="164" fontId="47" fillId="0" borderId="0" xfId="382" applyNumberFormat="1" applyFont="1" applyFill="1"/>
    <xf numFmtId="10" fontId="47" fillId="0" borderId="0" xfId="674" applyNumberFormat="1" applyFont="1" applyFill="1"/>
    <xf numFmtId="164" fontId="44" fillId="0" borderId="0" xfId="382" applyNumberFormat="1" applyFont="1" applyFill="1" applyAlignment="1">
      <alignment horizontal="center"/>
    </xf>
    <xf numFmtId="164" fontId="43" fillId="0" borderId="0" xfId="382" applyNumberFormat="1" applyFont="1" applyFill="1" applyAlignment="1">
      <alignment horizontal="right" wrapText="1"/>
    </xf>
    <xf numFmtId="164" fontId="43" fillId="0" borderId="0" xfId="382" quotePrefix="1" applyNumberFormat="1" applyFont="1" applyFill="1" applyBorder="1" applyAlignment="1">
      <alignment horizontal="center" vertical="top"/>
    </xf>
    <xf numFmtId="164" fontId="44" fillId="0" borderId="0" xfId="382" applyNumberFormat="1" applyFont="1" applyFill="1" applyBorder="1" applyAlignment="1">
      <alignment horizontal="center" vertical="top"/>
    </xf>
    <xf numFmtId="164" fontId="45" fillId="0" borderId="27" xfId="382" applyNumberFormat="1" applyFont="1" applyFill="1" applyBorder="1"/>
    <xf numFmtId="164" fontId="27" fillId="0" borderId="0" xfId="382" applyNumberFormat="1" applyFont="1" applyAlignment="1">
      <alignment horizontal="center"/>
    </xf>
    <xf numFmtId="0" fontId="43" fillId="0" borderId="0" xfId="0" applyFont="1" applyFill="1" applyAlignment="1">
      <alignment horizontal="center" vertical="center"/>
    </xf>
    <xf numFmtId="166" fontId="43" fillId="0" borderId="0" xfId="0" applyNumberFormat="1" applyFont="1" applyAlignment="1">
      <alignment horizontal="center" vertical="center"/>
    </xf>
    <xf numFmtId="39" fontId="43" fillId="0" borderId="0" xfId="403" applyNumberFormat="1" applyFont="1" applyAlignment="1">
      <alignment horizontal="center" vertical="center"/>
    </xf>
    <xf numFmtId="0" fontId="43" fillId="0" borderId="0" xfId="504" applyFont="1" applyFill="1" applyBorder="1" applyAlignment="1"/>
    <xf numFmtId="185" fontId="43" fillId="0" borderId="0" xfId="474" applyNumberFormat="1" applyFont="1" applyAlignment="1" applyProtection="1">
      <alignment horizontal="center"/>
      <protection locked="0"/>
    </xf>
    <xf numFmtId="164" fontId="63" fillId="0" borderId="18" xfId="382" applyNumberFormat="1" applyFont="1" applyFill="1" applyBorder="1"/>
    <xf numFmtId="0" fontId="63" fillId="0" borderId="0" xfId="569" applyFont="1" applyBorder="1"/>
    <xf numFmtId="164" fontId="43" fillId="0" borderId="4" xfId="382" applyNumberFormat="1" applyFont="1" applyFill="1" applyBorder="1" applyAlignment="1">
      <alignment horizontal="center"/>
    </xf>
    <xf numFmtId="43" fontId="63" fillId="0" borderId="21" xfId="382" applyFont="1" applyFill="1" applyBorder="1" applyAlignment="1">
      <alignment horizontal="center"/>
    </xf>
    <xf numFmtId="164" fontId="63" fillId="0" borderId="54" xfId="382" applyNumberFormat="1" applyFont="1" applyFill="1" applyBorder="1" applyAlignment="1">
      <alignment horizontal="left"/>
    </xf>
    <xf numFmtId="164" fontId="63" fillId="0" borderId="35" xfId="382" applyNumberFormat="1" applyFont="1" applyFill="1" applyBorder="1" applyAlignment="1">
      <alignment horizontal="left"/>
    </xf>
    <xf numFmtId="0" fontId="43" fillId="0" borderId="0" xfId="0" applyFont="1" applyAlignment="1">
      <alignment vertical="center" wrapText="1"/>
    </xf>
    <xf numFmtId="0" fontId="44" fillId="0" borderId="0" xfId="569" applyFont="1" applyFill="1" applyBorder="1" applyAlignment="1">
      <alignment vertical="top"/>
    </xf>
    <xf numFmtId="0" fontId="43" fillId="0" borderId="0" xfId="504" applyFont="1" applyBorder="1" applyAlignment="1">
      <alignment horizontal="center" wrapText="1"/>
    </xf>
    <xf numFmtId="0" fontId="43" fillId="0" borderId="0" xfId="504" applyFont="1" applyAlignment="1">
      <alignment horizontal="center" wrapText="1"/>
    </xf>
    <xf numFmtId="0" fontId="63" fillId="0" borderId="0" xfId="511" applyFont="1"/>
    <xf numFmtId="43" fontId="130" fillId="0" borderId="0" xfId="382" applyFont="1" applyFill="1" applyAlignment="1">
      <alignment horizontal="center"/>
    </xf>
    <xf numFmtId="0" fontId="63" fillId="0" borderId="0" xfId="511" applyFont="1" applyAlignment="1">
      <alignment horizontal="center"/>
    </xf>
    <xf numFmtId="0" fontId="63" fillId="0" borderId="0" xfId="0" applyFont="1" applyFill="1" applyAlignment="1"/>
    <xf numFmtId="0" fontId="43" fillId="0" borderId="0" xfId="484" applyFont="1" applyFill="1" applyAlignment="1">
      <alignment horizontal="left" vertical="top" indent="2"/>
    </xf>
    <xf numFmtId="0" fontId="43" fillId="0" borderId="0" xfId="484" applyFont="1" applyFill="1" applyBorder="1" applyAlignment="1">
      <alignment vertical="top"/>
    </xf>
    <xf numFmtId="41" fontId="43" fillId="0" borderId="0" xfId="484" applyNumberFormat="1" applyFont="1" applyBorder="1" applyAlignment="1">
      <alignment vertical="top"/>
    </xf>
    <xf numFmtId="0" fontId="43" fillId="0" borderId="0" xfId="484" applyFont="1" applyFill="1" applyBorder="1" applyAlignment="1">
      <alignment horizontal="center" vertical="top"/>
    </xf>
    <xf numFmtId="0" fontId="43" fillId="0" borderId="0" xfId="504" applyFont="1" applyBorder="1" applyAlignment="1">
      <alignment horizontal="left" indent="1"/>
    </xf>
    <xf numFmtId="0" fontId="43" fillId="0" borderId="0" xfId="504" applyNumberFormat="1" applyFont="1" applyFill="1" applyBorder="1" applyAlignment="1">
      <alignment horizontal="left" indent="1"/>
    </xf>
    <xf numFmtId="0" fontId="44" fillId="0" borderId="0" xfId="0" applyFont="1" applyAlignment="1">
      <alignment horizontal="center"/>
    </xf>
    <xf numFmtId="0" fontId="44" fillId="0" borderId="0" xfId="0" applyNumberFormat="1" applyFont="1" applyFill="1" applyBorder="1" applyAlignment="1"/>
    <xf numFmtId="43" fontId="43" fillId="0" borderId="0" xfId="382" applyFont="1" applyFill="1" applyBorder="1" applyAlignment="1">
      <alignment horizontal="center" wrapText="1"/>
    </xf>
    <xf numFmtId="43" fontId="63" fillId="0" borderId="0" xfId="425" applyFont="1"/>
    <xf numFmtId="0" fontId="44" fillId="50" borderId="6" xfId="0" applyFont="1" applyFill="1" applyBorder="1" applyAlignment="1"/>
    <xf numFmtId="0" fontId="43" fillId="50" borderId="6" xfId="0" applyFont="1" applyFill="1" applyBorder="1" applyAlignment="1"/>
    <xf numFmtId="0" fontId="44" fillId="50" borderId="6" xfId="0" applyNumberFormat="1" applyFont="1" applyFill="1" applyBorder="1" applyAlignment="1">
      <alignment horizontal="center"/>
    </xf>
    <xf numFmtId="0" fontId="44" fillId="50" borderId="4" xfId="0" applyFont="1" applyFill="1" applyBorder="1" applyAlignment="1">
      <alignment horizontal="left"/>
    </xf>
    <xf numFmtId="0" fontId="43" fillId="50" borderId="6" xfId="0" applyFont="1" applyFill="1" applyBorder="1"/>
    <xf numFmtId="0" fontId="43" fillId="50" borderId="6" xfId="0" applyFont="1" applyFill="1" applyBorder="1" applyAlignment="1">
      <alignment horizontal="center" wrapText="1"/>
    </xf>
    <xf numFmtId="43" fontId="123" fillId="0" borderId="35" xfId="382" applyFont="1" applyFill="1" applyBorder="1" applyAlignment="1">
      <alignment horizontal="center" wrapText="1"/>
    </xf>
    <xf numFmtId="0" fontId="61" fillId="0" borderId="35" xfId="0" applyFont="1" applyFill="1" applyBorder="1"/>
    <xf numFmtId="43" fontId="123" fillId="0" borderId="54" xfId="382" applyFont="1" applyFill="1" applyBorder="1" applyAlignment="1">
      <alignment horizontal="center" wrapText="1"/>
    </xf>
    <xf numFmtId="0" fontId="43" fillId="0" borderId="0" xfId="504" applyFont="1" applyFill="1" applyAlignment="1">
      <alignment horizontal="left" indent="1"/>
    </xf>
    <xf numFmtId="0" fontId="43" fillId="0" borderId="0" xfId="504" applyNumberFormat="1" applyFont="1" applyFill="1" applyBorder="1" applyAlignment="1">
      <alignment horizontal="left" indent="2"/>
    </xf>
    <xf numFmtId="0" fontId="47" fillId="0" borderId="16" xfId="0" applyNumberFormat="1" applyFont="1" applyFill="1" applyBorder="1" applyAlignment="1">
      <alignment horizontal="left"/>
    </xf>
    <xf numFmtId="164" fontId="47" fillId="0" borderId="26" xfId="382" applyNumberFormat="1" applyFont="1" applyFill="1" applyBorder="1" applyAlignment="1">
      <alignment horizontal="right"/>
    </xf>
    <xf numFmtId="0" fontId="63" fillId="0" borderId="4" xfId="530" applyFont="1" applyBorder="1" applyAlignment="1">
      <alignment horizontal="center"/>
    </xf>
    <xf numFmtId="164" fontId="63" fillId="37" borderId="43" xfId="382" applyNumberFormat="1" applyFont="1" applyFill="1" applyBorder="1" applyAlignment="1">
      <alignment horizontal="left"/>
    </xf>
    <xf numFmtId="0" fontId="122" fillId="0" borderId="45" xfId="0" applyFont="1" applyBorder="1"/>
    <xf numFmtId="0" fontId="63" fillId="0" borderId="6" xfId="530" applyFont="1" applyBorder="1" applyAlignment="1">
      <alignment horizontal="center"/>
    </xf>
    <xf numFmtId="0" fontId="63" fillId="0" borderId="21" xfId="530" applyFont="1" applyBorder="1" applyAlignment="1">
      <alignment horizontal="center"/>
    </xf>
    <xf numFmtId="43" fontId="43" fillId="0" borderId="0" xfId="382" applyFont="1" applyBorder="1" applyAlignment="1">
      <alignment horizontal="center" wrapText="1"/>
    </xf>
    <xf numFmtId="43" fontId="43" fillId="0" borderId="0" xfId="382" applyFont="1" applyAlignment="1">
      <alignment horizontal="center" wrapText="1"/>
    </xf>
    <xf numFmtId="0" fontId="91" fillId="0" borderId="0" xfId="0" applyFont="1" applyAlignment="1">
      <alignment horizontal="left"/>
    </xf>
    <xf numFmtId="43" fontId="43" fillId="0" borderId="0" xfId="382" applyFont="1" applyFill="1" applyBorder="1" applyAlignment="1">
      <alignment horizontal="left"/>
    </xf>
    <xf numFmtId="43" fontId="43" fillId="0" borderId="0" xfId="382" applyFont="1" applyBorder="1" applyAlignment="1">
      <alignment horizontal="left"/>
    </xf>
    <xf numFmtId="0" fontId="43" fillId="0" borderId="0" xfId="484" applyFont="1" applyFill="1" applyAlignment="1">
      <alignment horizontal="left" vertical="top"/>
    </xf>
    <xf numFmtId="41" fontId="43" fillId="0" borderId="17" xfId="484" applyNumberFormat="1" applyFont="1" applyFill="1" applyBorder="1" applyAlignment="1">
      <alignment vertical="top"/>
    </xf>
    <xf numFmtId="0" fontId="63" fillId="0" borderId="0" xfId="0" quotePrefix="1" applyFont="1" applyAlignment="1">
      <alignment horizontal="center"/>
    </xf>
    <xf numFmtId="0" fontId="44" fillId="0" borderId="0" xfId="0" applyFont="1" applyFill="1" applyBorder="1" applyAlignment="1"/>
    <xf numFmtId="0" fontId="44" fillId="0" borderId="0" xfId="0" applyNumberFormat="1" applyFont="1" applyFill="1" applyBorder="1" applyAlignment="1">
      <alignment horizontal="center"/>
    </xf>
    <xf numFmtId="164" fontId="27" fillId="0" borderId="17" xfId="382" applyNumberFormat="1" applyFont="1" applyBorder="1"/>
    <xf numFmtId="0" fontId="63" fillId="0" borderId="18" xfId="0" applyFont="1" applyBorder="1" applyAlignment="1">
      <alignment horizontal="left"/>
    </xf>
    <xf numFmtId="164" fontId="63" fillId="37" borderId="18" xfId="382" applyNumberFormat="1" applyFont="1" applyFill="1" applyBorder="1" applyAlignment="1"/>
    <xf numFmtId="164" fontId="47" fillId="0" borderId="26" xfId="382" applyNumberFormat="1" applyFont="1" applyFill="1" applyBorder="1"/>
    <xf numFmtId="164" fontId="47" fillId="0" borderId="30" xfId="382" applyNumberFormat="1" applyFont="1" applyFill="1" applyBorder="1" applyAlignment="1">
      <alignment horizontal="right"/>
    </xf>
    <xf numFmtId="164" fontId="45" fillId="0" borderId="26" xfId="382" applyNumberFormat="1" applyFont="1" applyFill="1" applyBorder="1"/>
    <xf numFmtId="164" fontId="45" fillId="0" borderId="26" xfId="382" applyNumberFormat="1" applyFont="1" applyFill="1" applyBorder="1" applyAlignment="1">
      <alignment horizontal="right"/>
    </xf>
    <xf numFmtId="164" fontId="47" fillId="0" borderId="26" xfId="382" applyNumberFormat="1" applyFont="1" applyBorder="1"/>
    <xf numFmtId="164" fontId="45" fillId="0" borderId="27" xfId="382" applyNumberFormat="1" applyFont="1" applyBorder="1"/>
    <xf numFmtId="164" fontId="47" fillId="50" borderId="21" xfId="382" applyNumberFormat="1" applyFont="1" applyFill="1" applyBorder="1" applyAlignment="1">
      <alignment horizontal="center" wrapText="1"/>
    </xf>
    <xf numFmtId="164" fontId="47" fillId="0" borderId="26" xfId="382" applyNumberFormat="1" applyFont="1" applyFill="1" applyBorder="1" applyAlignment="1">
      <alignment horizontal="center" wrapText="1"/>
    </xf>
    <xf numFmtId="164" fontId="47" fillId="0" borderId="26" xfId="382" applyNumberFormat="1" applyFont="1" applyBorder="1" applyAlignment="1"/>
    <xf numFmtId="164" fontId="47" fillId="0" borderId="30" xfId="382" applyNumberFormat="1" applyFont="1" applyFill="1" applyBorder="1" applyAlignment="1"/>
    <xf numFmtId="164" fontId="49" fillId="0" borderId="26" xfId="382" applyNumberFormat="1" applyFont="1" applyFill="1" applyBorder="1" applyAlignment="1">
      <alignment horizontal="right"/>
    </xf>
    <xf numFmtId="164" fontId="45" fillId="0" borderId="27" xfId="382" applyNumberFormat="1" applyFont="1" applyFill="1" applyBorder="1" applyAlignment="1"/>
    <xf numFmtId="164" fontId="47" fillId="37" borderId="30" xfId="382" applyNumberFormat="1" applyFont="1" applyFill="1" applyBorder="1" applyAlignment="1">
      <alignment horizontal="right"/>
    </xf>
    <xf numFmtId="164" fontId="45" fillId="0" borderId="26" xfId="382" applyNumberFormat="1" applyFont="1" applyBorder="1" applyAlignment="1"/>
    <xf numFmtId="164" fontId="47" fillId="0" borderId="28" xfId="382" applyNumberFormat="1" applyFont="1" applyFill="1" applyBorder="1" applyAlignment="1">
      <alignment horizontal="right"/>
    </xf>
    <xf numFmtId="164" fontId="47" fillId="0" borderId="26" xfId="382" applyNumberFormat="1" applyFont="1" applyBorder="1" applyAlignment="1">
      <alignment horizontal="right"/>
    </xf>
    <xf numFmtId="164" fontId="45" fillId="0" borderId="28" xfId="382" applyNumberFormat="1" applyFont="1" applyBorder="1"/>
    <xf numFmtId="164" fontId="45" fillId="0" borderId="26" xfId="382" applyNumberFormat="1" applyFont="1" applyBorder="1"/>
    <xf numFmtId="164" fontId="45" fillId="0" borderId="29" xfId="382" applyNumberFormat="1" applyFont="1" applyFill="1" applyBorder="1"/>
    <xf numFmtId="164" fontId="45" fillId="0" borderId="33" xfId="382" applyNumberFormat="1" applyFont="1" applyBorder="1" applyAlignment="1"/>
    <xf numFmtId="164" fontId="47" fillId="0" borderId="35" xfId="382" applyNumberFormat="1" applyFont="1" applyBorder="1"/>
    <xf numFmtId="164" fontId="45" fillId="0" borderId="35" xfId="382" applyNumberFormat="1" applyFont="1" applyBorder="1"/>
    <xf numFmtId="0" fontId="43" fillId="0" borderId="0" xfId="504" quotePrefix="1" applyFont="1" applyFill="1" applyBorder="1"/>
    <xf numFmtId="164" fontId="130" fillId="0" borderId="0" xfId="382" applyNumberFormat="1" applyFont="1" applyFill="1"/>
    <xf numFmtId="3" fontId="47" fillId="0" borderId="37" xfId="0" quotePrefix="1" applyNumberFormat="1" applyFont="1" applyFill="1" applyBorder="1" applyAlignment="1">
      <alignment horizontal="left"/>
    </xf>
    <xf numFmtId="171" fontId="47" fillId="0" borderId="30" xfId="674" applyNumberFormat="1" applyFont="1" applyFill="1" applyBorder="1" applyAlignment="1">
      <alignment horizontal="right"/>
    </xf>
    <xf numFmtId="0" fontId="72" fillId="0" borderId="0" xfId="11272" applyFont="1" applyAlignment="1">
      <alignment horizontal="center"/>
    </xf>
    <xf numFmtId="0" fontId="43" fillId="0" borderId="0" xfId="11272" applyAlignment="1">
      <alignment horizontal="center" vertical="top"/>
    </xf>
    <xf numFmtId="0" fontId="0" fillId="0" borderId="0" xfId="0" applyAlignment="1">
      <alignment vertical="top"/>
    </xf>
    <xf numFmtId="164" fontId="67" fillId="0" borderId="26" xfId="382" applyNumberFormat="1" applyFont="1" applyFill="1" applyBorder="1"/>
    <xf numFmtId="3" fontId="139" fillId="0" borderId="0" xfId="11265" quotePrefix="1" applyNumberFormat="1" applyFont="1" applyFill="1" applyAlignment="1">
      <alignment horizontal="left"/>
    </xf>
    <xf numFmtId="177" fontId="43" fillId="0" borderId="0" xfId="0" applyNumberFormat="1" applyFont="1" applyBorder="1" applyAlignment="1">
      <alignment horizontal="center" wrapText="1"/>
    </xf>
    <xf numFmtId="0" fontId="43" fillId="0" borderId="0" xfId="0" applyNumberFormat="1" applyFont="1" applyBorder="1"/>
    <xf numFmtId="0" fontId="43" fillId="0" borderId="0" xfId="0" applyFont="1" applyBorder="1" applyAlignment="1">
      <alignment horizontal="center"/>
    </xf>
    <xf numFmtId="0" fontId="43" fillId="0" borderId="0" xfId="0" applyFont="1" applyBorder="1" applyAlignment="1">
      <alignment vertical="top"/>
    </xf>
    <xf numFmtId="0" fontId="47" fillId="0" borderId="0" xfId="0" applyNumberFormat="1" applyFont="1" applyFill="1" applyBorder="1" applyAlignment="1">
      <alignment wrapText="1"/>
    </xf>
    <xf numFmtId="0" fontId="43" fillId="0" borderId="0" xfId="0" applyFont="1" applyAlignment="1">
      <alignment horizontal="center" vertical="top"/>
    </xf>
    <xf numFmtId="0" fontId="44" fillId="0" borderId="0" xfId="564" quotePrefix="1" applyFont="1" applyFill="1" applyBorder="1" applyAlignment="1">
      <alignment horizontal="center" vertical="top"/>
    </xf>
    <xf numFmtId="0" fontId="43" fillId="0" borderId="0" xfId="504" applyFont="1" applyAlignment="1">
      <alignment horizontal="left"/>
    </xf>
    <xf numFmtId="0" fontId="43" fillId="50" borderId="21" xfId="0" applyFont="1" applyFill="1" applyBorder="1" applyAlignment="1">
      <alignment horizontal="left" wrapText="1"/>
    </xf>
    <xf numFmtId="0" fontId="43" fillId="0" borderId="18" xfId="504" applyFont="1" applyBorder="1" applyAlignment="1">
      <alignment horizontal="left"/>
    </xf>
    <xf numFmtId="0" fontId="44" fillId="0" borderId="0" xfId="504" applyFont="1" applyAlignment="1">
      <alignment horizontal="left"/>
    </xf>
    <xf numFmtId="0" fontId="52" fillId="0" borderId="0" xfId="0" applyFont="1" applyBorder="1" applyAlignment="1">
      <alignment horizontal="left"/>
    </xf>
    <xf numFmtId="0" fontId="43" fillId="0" borderId="0" xfId="504" applyFont="1" applyBorder="1" applyAlignment="1">
      <alignment horizontal="left" wrapText="1"/>
    </xf>
    <xf numFmtId="0" fontId="43" fillId="50" borderId="6" xfId="0" applyFont="1" applyFill="1" applyBorder="1" applyAlignment="1">
      <alignment horizontal="left" wrapText="1"/>
    </xf>
    <xf numFmtId="0" fontId="43" fillId="0" borderId="0" xfId="0" applyFont="1" applyAlignment="1">
      <alignment horizontal="left"/>
    </xf>
    <xf numFmtId="0" fontId="43" fillId="0" borderId="0" xfId="0" applyFont="1" applyFill="1" applyBorder="1" applyAlignment="1">
      <alignment horizontal="left" wrapText="1"/>
    </xf>
    <xf numFmtId="3" fontId="43" fillId="0" borderId="0" xfId="0" applyNumberFormat="1" applyFont="1" applyFill="1" applyBorder="1" applyAlignment="1">
      <alignment horizontal="left" indent="1"/>
    </xf>
    <xf numFmtId="164" fontId="122" fillId="0" borderId="44" xfId="382" applyNumberFormat="1" applyFont="1" applyFill="1" applyBorder="1" applyAlignment="1"/>
    <xf numFmtId="164" fontId="122" fillId="0" borderId="35" xfId="382" applyNumberFormat="1" applyFont="1" applyFill="1" applyBorder="1" applyAlignment="1"/>
    <xf numFmtId="0" fontId="43" fillId="0" borderId="0" xfId="504" applyFont="1" applyFill="1" applyBorder="1" applyAlignment="1">
      <alignment horizontal="center" vertical="top"/>
    </xf>
    <xf numFmtId="164" fontId="43" fillId="0" borderId="0" xfId="13644" applyNumberFormat="1" applyFont="1"/>
    <xf numFmtId="164" fontId="43" fillId="0" borderId="17" xfId="382" applyNumberFormat="1" applyFont="1" applyBorder="1"/>
    <xf numFmtId="43" fontId="43" fillId="0" borderId="0" xfId="382" applyFont="1" applyFill="1" applyAlignment="1">
      <alignment horizontal="center" wrapText="1"/>
    </xf>
    <xf numFmtId="0" fontId="47" fillId="0" borderId="0" xfId="0" applyFont="1" applyAlignment="1">
      <alignment vertical="top"/>
    </xf>
    <xf numFmtId="43" fontId="43" fillId="0" borderId="0" xfId="382" applyFont="1" applyFill="1" applyBorder="1" applyAlignment="1">
      <alignment horizontal="center"/>
    </xf>
    <xf numFmtId="10" fontId="47" fillId="37" borderId="26" xfId="0" applyNumberFormat="1" applyFont="1" applyFill="1" applyBorder="1" applyAlignment="1"/>
    <xf numFmtId="0" fontId="43" fillId="0" borderId="0" xfId="504" quotePrefix="1" applyFont="1" applyAlignment="1">
      <alignment horizontal="center"/>
    </xf>
    <xf numFmtId="176" fontId="43" fillId="0" borderId="18" xfId="0" applyNumberFormat="1" applyFont="1" applyBorder="1" applyAlignment="1">
      <alignment horizontal="center" wrapText="1"/>
    </xf>
    <xf numFmtId="0" fontId="125" fillId="0" borderId="0" xfId="504" applyFont="1"/>
    <xf numFmtId="164" fontId="43" fillId="37" borderId="0" xfId="404" applyNumberFormat="1" applyFont="1" applyFill="1" applyBorder="1"/>
    <xf numFmtId="164" fontId="43" fillId="37" borderId="0" xfId="382" applyNumberFormat="1" applyFont="1" applyFill="1" applyBorder="1" applyAlignment="1">
      <alignment horizontal="right"/>
    </xf>
    <xf numFmtId="164" fontId="122" fillId="37" borderId="0" xfId="382" applyNumberFormat="1" applyFont="1" applyFill="1"/>
    <xf numFmtId="164" fontId="47" fillId="37" borderId="30" xfId="382" applyNumberFormat="1" applyFont="1" applyFill="1" applyBorder="1" applyAlignment="1"/>
    <xf numFmtId="0" fontId="44" fillId="0" borderId="0" xfId="504" applyFont="1" applyBorder="1" applyAlignment="1">
      <alignment horizontal="left" indent="2"/>
    </xf>
    <xf numFmtId="0" fontId="44" fillId="0" borderId="0" xfId="0" applyNumberFormat="1" applyFont="1" applyFill="1" applyBorder="1" applyAlignment="1">
      <alignment horizontal="left"/>
    </xf>
    <xf numFmtId="0" fontId="43" fillId="0" borderId="0" xfId="517" applyFont="1" applyBorder="1" applyAlignment="1">
      <alignment horizontal="center" vertical="center"/>
    </xf>
    <xf numFmtId="0" fontId="43" fillId="0" borderId="0" xfId="474" applyFont="1" applyAlignment="1">
      <alignment vertical="center"/>
    </xf>
    <xf numFmtId="0" fontId="43" fillId="0" borderId="0" xfId="0" applyFont="1" applyFill="1" applyBorder="1" applyAlignment="1">
      <alignment wrapText="1"/>
    </xf>
    <xf numFmtId="37" fontId="43" fillId="0" borderId="0" xfId="0" applyNumberFormat="1" applyFont="1" applyFill="1" applyBorder="1" applyAlignment="1">
      <alignment wrapText="1"/>
    </xf>
    <xf numFmtId="37" fontId="43" fillId="0" borderId="0" xfId="0" applyNumberFormat="1" applyFont="1" applyFill="1" applyBorder="1" applyAlignment="1">
      <alignment horizontal="left" wrapText="1"/>
    </xf>
    <xf numFmtId="0" fontId="110" fillId="0" borderId="0" xfId="35689" applyFont="1" applyFill="1"/>
    <xf numFmtId="0" fontId="110" fillId="0" borderId="0" xfId="496" applyFont="1" applyFill="1"/>
    <xf numFmtId="0" fontId="43" fillId="0" borderId="0" xfId="530" applyFont="1" applyAlignment="1">
      <alignment horizontal="left"/>
    </xf>
    <xf numFmtId="0" fontId="63" fillId="0" borderId="0" xfId="11275" applyFont="1" applyAlignment="1">
      <alignment horizontal="left"/>
    </xf>
    <xf numFmtId="43" fontId="63" fillId="0" borderId="0" xfId="0" applyNumberFormat="1" applyFont="1" applyFill="1" applyAlignment="1">
      <alignment horizontal="left"/>
    </xf>
    <xf numFmtId="43" fontId="63" fillId="0" borderId="0" xfId="511" applyNumberFormat="1" applyFont="1" applyAlignment="1">
      <alignment horizontal="left"/>
    </xf>
    <xf numFmtId="43" fontId="43" fillId="0" borderId="0" xfId="484" applyNumberFormat="1" applyFont="1" applyAlignment="1">
      <alignment horizontal="left" vertical="top"/>
    </xf>
    <xf numFmtId="43" fontId="63" fillId="0" borderId="0" xfId="425" applyNumberFormat="1" applyFont="1" applyAlignment="1">
      <alignment horizontal="left"/>
    </xf>
    <xf numFmtId="43" fontId="63" fillId="0" borderId="0" xfId="511" quotePrefix="1" applyNumberFormat="1" applyFont="1" applyAlignment="1">
      <alignment horizontal="left" vertical="top"/>
    </xf>
    <xf numFmtId="164" fontId="47" fillId="0" borderId="37" xfId="382" applyNumberFormat="1" applyFont="1" applyFill="1" applyBorder="1"/>
    <xf numFmtId="164" fontId="47" fillId="0" borderId="35" xfId="382" applyNumberFormat="1" applyFont="1" applyFill="1" applyBorder="1" applyAlignment="1"/>
    <xf numFmtId="0" fontId="142" fillId="0" borderId="0" xfId="0" applyFont="1"/>
    <xf numFmtId="0" fontId="44" fillId="0" borderId="16" xfId="0" applyFont="1" applyBorder="1" applyAlignment="1">
      <alignment horizontal="left" indent="1"/>
    </xf>
    <xf numFmtId="0" fontId="129" fillId="0" borderId="0" xfId="0" applyFont="1" applyAlignment="1">
      <alignment horizontal="left"/>
    </xf>
    <xf numFmtId="0" fontId="129" fillId="0" borderId="0" xfId="0" applyFont="1"/>
    <xf numFmtId="164" fontId="129" fillId="0" borderId="0" xfId="382" applyNumberFormat="1" applyFont="1"/>
    <xf numFmtId="164" fontId="129" fillId="0" borderId="0" xfId="382" applyNumberFormat="1" applyFont="1" applyFill="1"/>
    <xf numFmtId="0" fontId="43" fillId="0" borderId="0" xfId="0" applyFont="1" applyAlignment="1">
      <alignment horizontal="left" vertical="top"/>
    </xf>
    <xf numFmtId="164" fontId="43" fillId="37" borderId="0" xfId="382" applyNumberFormat="1" applyFont="1" applyFill="1" applyAlignment="1">
      <alignment vertical="top"/>
    </xf>
    <xf numFmtId="0" fontId="43" fillId="0" borderId="0" xfId="0" applyFont="1" applyAlignment="1">
      <alignment vertical="top" wrapText="1"/>
    </xf>
    <xf numFmtId="164" fontId="63" fillId="0" borderId="0" xfId="401" applyNumberFormat="1" applyFont="1" applyFill="1" applyBorder="1"/>
    <xf numFmtId="164" fontId="111" fillId="0" borderId="0" xfId="382" applyNumberFormat="1" applyFont="1" applyFill="1" applyBorder="1" applyAlignment="1">
      <alignment vertical="top"/>
    </xf>
    <xf numFmtId="164" fontId="111" fillId="0" borderId="0" xfId="382" applyNumberFormat="1" applyFont="1" applyFill="1" applyAlignment="1">
      <alignment vertical="top"/>
    </xf>
    <xf numFmtId="0" fontId="111" fillId="0" borderId="0" xfId="37694" applyNumberFormat="1" applyFont="1" applyFill="1" applyAlignment="1">
      <alignment vertical="top" wrapText="1"/>
    </xf>
    <xf numFmtId="3" fontId="111" fillId="0" borderId="0" xfId="37694" applyNumberFormat="1" applyFont="1" applyFill="1" applyAlignment="1">
      <alignment vertical="top" wrapText="1"/>
    </xf>
    <xf numFmtId="164" fontId="111" fillId="0" borderId="0" xfId="382" applyNumberFormat="1" applyFont="1" applyFill="1" applyBorder="1" applyAlignment="1">
      <alignment vertical="top" wrapText="1"/>
    </xf>
    <xf numFmtId="164" fontId="111" fillId="0" borderId="0" xfId="382" applyNumberFormat="1" applyFont="1" applyFill="1" applyAlignment="1">
      <alignment vertical="top" wrapText="1"/>
    </xf>
    <xf numFmtId="169" fontId="111" fillId="0" borderId="0" xfId="37694" applyFont="1" applyFill="1" applyAlignment="1">
      <alignment vertical="top"/>
    </xf>
    <xf numFmtId="164" fontId="111" fillId="0" borderId="0" xfId="382" applyNumberFormat="1" applyFont="1" applyAlignment="1">
      <alignment vertical="top"/>
    </xf>
    <xf numFmtId="169" fontId="111" fillId="0" borderId="0" xfId="37694" applyFont="1" applyAlignment="1">
      <alignment vertical="top"/>
    </xf>
    <xf numFmtId="0" fontId="111" fillId="0" borderId="0" xfId="37696" applyNumberFormat="1" applyFont="1" applyFill="1" applyAlignment="1" applyProtection="1">
      <alignment horizontal="left" indent="1"/>
      <protection locked="0"/>
    </xf>
    <xf numFmtId="0" fontId="111" fillId="0" borderId="0" xfId="37696" applyNumberFormat="1" applyFont="1" applyFill="1" applyAlignment="1">
      <alignment horizontal="left" indent="1"/>
    </xf>
    <xf numFmtId="168" fontId="111" fillId="0" borderId="0" xfId="37696" applyNumberFormat="1" applyFont="1" applyFill="1" applyAlignment="1" applyProtection="1">
      <alignment horizontal="left" indent="1"/>
      <protection locked="0"/>
    </xf>
    <xf numFmtId="0" fontId="111" fillId="0" borderId="0" xfId="37696" quotePrefix="1" applyNumberFormat="1" applyFont="1" applyFill="1" applyAlignment="1">
      <alignment horizontal="left" indent="1"/>
    </xf>
    <xf numFmtId="0" fontId="111" fillId="0" borderId="0" xfId="37694" applyNumberFormat="1" applyFont="1" applyFill="1" applyAlignment="1">
      <alignment horizontal="left" indent="1"/>
    </xf>
    <xf numFmtId="0" fontId="111" fillId="0" borderId="7" xfId="37696" applyNumberFormat="1" applyFont="1" applyFill="1" applyBorder="1" applyAlignment="1">
      <alignment horizontal="left" indent="1"/>
    </xf>
    <xf numFmtId="0" fontId="133" fillId="0" borderId="0" xfId="37698" applyNumberFormat="1" applyFont="1" applyFill="1" applyAlignment="1" applyProtection="1">
      <alignment horizontal="left" vertical="top" wrapText="1" indent="1"/>
      <protection locked="0"/>
    </xf>
    <xf numFmtId="0" fontId="111" fillId="0" borderId="0" xfId="474" applyFont="1" applyFill="1" applyBorder="1" applyAlignment="1">
      <alignment horizontal="left" indent="1"/>
    </xf>
    <xf numFmtId="0" fontId="44" fillId="0" borderId="0" xfId="0" applyFont="1" applyAlignment="1">
      <alignment horizontal="center"/>
    </xf>
    <xf numFmtId="0" fontId="43" fillId="0" borderId="0" xfId="0" applyFont="1" applyFill="1" applyAlignment="1">
      <alignment horizontal="center"/>
    </xf>
    <xf numFmtId="0" fontId="43" fillId="0" borderId="0" xfId="0" applyFont="1" applyAlignment="1">
      <alignment horizontal="center" vertical="top"/>
    </xf>
    <xf numFmtId="0" fontId="63" fillId="0" borderId="0" xfId="11272" applyFont="1" applyAlignment="1">
      <alignment horizontal="center"/>
    </xf>
    <xf numFmtId="0" fontId="43" fillId="0" borderId="0" xfId="0" applyFont="1" applyAlignment="1">
      <alignment horizontal="center"/>
    </xf>
    <xf numFmtId="3" fontId="43" fillId="0" borderId="0" xfId="11265" quotePrefix="1" applyNumberFormat="1" applyFont="1" applyFill="1" applyAlignment="1">
      <alignment horizontal="center"/>
    </xf>
    <xf numFmtId="0" fontId="43" fillId="0" borderId="0" xfId="569" applyFont="1" applyFill="1" applyBorder="1" applyAlignment="1">
      <alignment horizontal="center" vertical="top"/>
    </xf>
    <xf numFmtId="0" fontId="43" fillId="0" borderId="0" xfId="564" quotePrefix="1" applyFont="1" applyFill="1" applyBorder="1" applyAlignment="1">
      <alignment horizontal="center" vertical="top"/>
    </xf>
    <xf numFmtId="43" fontId="123" fillId="0" borderId="0" xfId="382" applyFont="1" applyFill="1" applyAlignment="1">
      <alignment horizontal="center"/>
    </xf>
    <xf numFmtId="0" fontId="43" fillId="0" borderId="0" xfId="0" applyFont="1" applyFill="1" applyBorder="1" applyAlignment="1">
      <alignment horizontal="left"/>
    </xf>
    <xf numFmtId="0" fontId="43" fillId="0" borderId="0" xfId="0" applyFont="1" applyFill="1" applyBorder="1" applyAlignment="1">
      <alignment horizontal="left" wrapText="1"/>
    </xf>
    <xf numFmtId="0" fontId="72" fillId="0" borderId="0" xfId="11271" applyFont="1" applyAlignment="1">
      <alignment horizontal="center"/>
    </xf>
    <xf numFmtId="0" fontId="43" fillId="0" borderId="0" xfId="0" applyFont="1" applyAlignment="1">
      <alignment horizontal="center" vertical="center"/>
    </xf>
    <xf numFmtId="0" fontId="43" fillId="0" borderId="0" xfId="484" applyFont="1" applyAlignment="1">
      <alignment horizontal="center" vertical="top"/>
    </xf>
    <xf numFmtId="3" fontId="111" fillId="0" borderId="0" xfId="37696" applyNumberFormat="1" applyFont="1" applyFill="1" applyAlignment="1">
      <alignment vertical="top"/>
    </xf>
    <xf numFmtId="170" fontId="111" fillId="0" borderId="0" xfId="382" applyNumberFormat="1" applyFont="1" applyFill="1" applyAlignment="1">
      <alignment vertical="top"/>
    </xf>
    <xf numFmtId="3" fontId="111" fillId="0" borderId="0" xfId="37695" applyNumberFormat="1" applyFont="1" applyFill="1" applyAlignment="1">
      <alignment vertical="top"/>
    </xf>
    <xf numFmtId="0" fontId="111" fillId="0" borderId="0" xfId="37696" quotePrefix="1" applyNumberFormat="1" applyFont="1" applyFill="1" applyAlignment="1">
      <alignment vertical="top"/>
    </xf>
    <xf numFmtId="10" fontId="111" fillId="0" borderId="0" xfId="674" applyNumberFormat="1" applyFont="1" applyAlignment="1">
      <alignment vertical="top"/>
    </xf>
    <xf numFmtId="193" fontId="111" fillId="0" borderId="0" xfId="37694" applyNumberFormat="1" applyFont="1" applyAlignment="1">
      <alignment vertical="top"/>
    </xf>
    <xf numFmtId="0" fontId="111" fillId="0" borderId="0" xfId="37696" applyNumberFormat="1" applyFont="1" applyFill="1" applyAlignment="1">
      <alignment horizontal="left" vertical="top" wrapText="1" indent="1"/>
    </xf>
    <xf numFmtId="0" fontId="26" fillId="0" borderId="0" xfId="496" applyFont="1"/>
    <xf numFmtId="164" fontId="26" fillId="0" borderId="0" xfId="382" applyNumberFormat="1" applyFont="1"/>
    <xf numFmtId="0" fontId="43" fillId="0" borderId="0" xfId="0" quotePrefix="1" applyFont="1" applyAlignment="1">
      <alignment horizontal="center" vertical="top"/>
    </xf>
    <xf numFmtId="0" fontId="63" fillId="0" borderId="0" xfId="474" applyFont="1"/>
    <xf numFmtId="0" fontId="63" fillId="0" borderId="0" xfId="0" applyFont="1"/>
    <xf numFmtId="0" fontId="63" fillId="0" borderId="0" xfId="0" applyFont="1" applyAlignment="1">
      <alignment horizontal="center" wrapText="1"/>
    </xf>
    <xf numFmtId="164" fontId="43" fillId="0" borderId="35" xfId="382" applyNumberFormat="1" applyFont="1" applyFill="1" applyBorder="1"/>
    <xf numFmtId="37" fontId="43" fillId="0" borderId="35" xfId="0" applyNumberFormat="1" applyFont="1" applyFill="1" applyBorder="1"/>
    <xf numFmtId="37" fontId="43" fillId="0" borderId="43" xfId="0" applyNumberFormat="1" applyFont="1" applyFill="1" applyBorder="1"/>
    <xf numFmtId="37" fontId="43" fillId="0" borderId="16" xfId="0" applyNumberFormat="1" applyFont="1" applyFill="1" applyBorder="1"/>
    <xf numFmtId="37" fontId="43" fillId="0" borderId="20" xfId="0" applyNumberFormat="1" applyFont="1" applyFill="1" applyBorder="1"/>
    <xf numFmtId="164" fontId="43" fillId="0" borderId="5" xfId="382" applyNumberFormat="1" applyFont="1" applyFill="1" applyBorder="1"/>
    <xf numFmtId="164" fontId="43" fillId="0" borderId="44" xfId="382" applyNumberFormat="1" applyFont="1" applyFill="1" applyBorder="1"/>
    <xf numFmtId="0" fontId="43" fillId="0" borderId="0" xfId="0" applyFont="1" applyBorder="1" applyAlignment="1">
      <alignment horizontal="left"/>
    </xf>
    <xf numFmtId="37" fontId="43" fillId="0" borderId="0" xfId="0" applyNumberFormat="1" applyFont="1" applyFill="1" applyBorder="1" applyAlignment="1">
      <alignment horizontal="center"/>
    </xf>
    <xf numFmtId="0" fontId="43" fillId="37" borderId="0" xfId="0" applyFont="1" applyFill="1"/>
    <xf numFmtId="1" fontId="43" fillId="0" borderId="0" xfId="0" applyNumberFormat="1" applyFont="1" applyFill="1" applyAlignment="1">
      <alignment horizontal="left" vertical="top"/>
    </xf>
    <xf numFmtId="2" fontId="43" fillId="0" borderId="0" xfId="0" applyNumberFormat="1" applyFont="1" applyFill="1" applyAlignment="1">
      <alignment horizontal="left" vertical="top"/>
    </xf>
    <xf numFmtId="0" fontId="43" fillId="0" borderId="0" xfId="0" quotePrefix="1" applyFont="1" applyAlignment="1">
      <alignment horizontal="center"/>
    </xf>
    <xf numFmtId="0" fontId="26" fillId="0" borderId="0" xfId="514" applyFont="1"/>
    <xf numFmtId="0" fontId="26" fillId="0" borderId="0" xfId="514" applyFont="1" applyAlignment="1">
      <alignment horizontal="center"/>
    </xf>
    <xf numFmtId="164" fontId="26" fillId="0" borderId="0" xfId="382" applyNumberFormat="1" applyFont="1" applyAlignment="1">
      <alignment horizontal="center"/>
    </xf>
    <xf numFmtId="0" fontId="26" fillId="0" borderId="0" xfId="514" applyFont="1" applyBorder="1"/>
    <xf numFmtId="164" fontId="26" fillId="0" borderId="0" xfId="382" applyNumberFormat="1" applyFont="1" applyBorder="1"/>
    <xf numFmtId="0" fontId="26" fillId="0" borderId="0" xfId="514" quotePrefix="1" applyFont="1" applyAlignment="1">
      <alignment horizontal="center"/>
    </xf>
    <xf numFmtId="0" fontId="26" fillId="0" borderId="0" xfId="513" applyFont="1"/>
    <xf numFmtId="43" fontId="26" fillId="0" borderId="0" xfId="382" applyFont="1"/>
    <xf numFmtId="0" fontId="63" fillId="0" borderId="0" xfId="513" applyFont="1" applyAlignment="1"/>
    <xf numFmtId="0" fontId="63" fillId="0" borderId="0" xfId="11271" applyFont="1" applyAlignment="1"/>
    <xf numFmtId="0" fontId="63" fillId="0" borderId="0" xfId="11271" applyFont="1" applyAlignment="1">
      <alignment horizontal="center"/>
    </xf>
    <xf numFmtId="0" fontId="46" fillId="0" borderId="0" xfId="0" applyFont="1" applyAlignment="1">
      <alignment horizontal="center"/>
    </xf>
    <xf numFmtId="0" fontId="139" fillId="0" borderId="0" xfId="496" applyFont="1"/>
    <xf numFmtId="0" fontId="139" fillId="0" borderId="0" xfId="0" applyFont="1"/>
    <xf numFmtId="14" fontId="43" fillId="0" borderId="0" xfId="382" applyNumberFormat="1" applyFont="1" applyBorder="1" applyAlignment="1">
      <alignment horizontal="center"/>
    </xf>
    <xf numFmtId="164" fontId="43" fillId="0" borderId="0" xfId="0" applyNumberFormat="1" applyFont="1"/>
    <xf numFmtId="0" fontId="63" fillId="0" borderId="0" xfId="569" applyFont="1" applyFill="1"/>
    <xf numFmtId="49" fontId="63" fillId="0" borderId="0" xfId="569" applyNumberFormat="1" applyFont="1"/>
    <xf numFmtId="164" fontId="63" fillId="0" borderId="0" xfId="569" applyNumberFormat="1" applyFont="1"/>
    <xf numFmtId="200" fontId="63" fillId="0" borderId="0" xfId="569" applyNumberFormat="1" applyFont="1"/>
    <xf numFmtId="0" fontId="139" fillId="0" borderId="0" xfId="569" applyFont="1"/>
    <xf numFmtId="0" fontId="43" fillId="0" borderId="0" xfId="569" quotePrefix="1" applyFont="1" applyFill="1" applyBorder="1" applyAlignment="1">
      <alignment horizontal="center" vertical="top"/>
    </xf>
    <xf numFmtId="0" fontId="139" fillId="0" borderId="0" xfId="569" applyFont="1" applyFill="1"/>
    <xf numFmtId="0" fontId="43" fillId="0" borderId="0" xfId="11266" quotePrefix="1" applyFont="1" applyFill="1" applyAlignment="1"/>
    <xf numFmtId="0" fontId="43" fillId="0" borderId="0" xfId="474" applyFont="1" applyAlignment="1">
      <alignment horizontal="left"/>
    </xf>
    <xf numFmtId="0" fontId="43" fillId="0" borderId="0" xfId="474" applyFont="1" applyFill="1" applyAlignment="1">
      <alignment horizontal="left"/>
    </xf>
    <xf numFmtId="0" fontId="43" fillId="0" borderId="0" xfId="474" applyFont="1" applyAlignment="1">
      <alignment horizontal="left" vertical="top"/>
    </xf>
    <xf numFmtId="0" fontId="43" fillId="0" borderId="30" xfId="0" applyFont="1" applyBorder="1"/>
    <xf numFmtId="0" fontId="43" fillId="0" borderId="30" xfId="0" applyFont="1" applyFill="1" applyBorder="1"/>
    <xf numFmtId="0" fontId="139" fillId="0" borderId="0" xfId="474" applyFont="1"/>
    <xf numFmtId="0" fontId="26" fillId="0" borderId="0" xfId="11271" applyFont="1"/>
    <xf numFmtId="164" fontId="26" fillId="0" borderId="0" xfId="11271" applyNumberFormat="1" applyFont="1"/>
    <xf numFmtId="43" fontId="26" fillId="0" borderId="0" xfId="11271" applyNumberFormat="1" applyFont="1"/>
    <xf numFmtId="0" fontId="26" fillId="0" borderId="0" xfId="11271" applyFont="1" applyFill="1" applyAlignment="1">
      <alignment horizontal="left"/>
    </xf>
    <xf numFmtId="164" fontId="26" fillId="0" borderId="0" xfId="11271" applyNumberFormat="1" applyFont="1" applyFill="1"/>
    <xf numFmtId="43" fontId="26" fillId="0" borderId="0" xfId="11271" applyNumberFormat="1" applyFont="1" applyFill="1"/>
    <xf numFmtId="0" fontId="26" fillId="0" borderId="0" xfId="11271" applyFont="1" applyFill="1"/>
    <xf numFmtId="0" fontId="26" fillId="0" borderId="0" xfId="11271" applyFont="1" applyAlignment="1">
      <alignment horizontal="center"/>
    </xf>
    <xf numFmtId="0" fontId="26" fillId="0" borderId="0" xfId="11271" quotePrefix="1" applyFont="1" applyAlignment="1">
      <alignment horizontal="center" vertical="top"/>
    </xf>
    <xf numFmtId="0" fontId="26" fillId="0" borderId="0" xfId="0" applyFont="1"/>
    <xf numFmtId="43" fontId="26" fillId="0" borderId="0" xfId="423" applyNumberFormat="1" applyFont="1" applyFill="1" applyAlignment="1">
      <alignment horizontal="left"/>
    </xf>
    <xf numFmtId="0" fontId="26" fillId="0" borderId="0" xfId="0" applyFont="1" applyFill="1" applyAlignment="1">
      <alignment horizontal="center"/>
    </xf>
    <xf numFmtId="43" fontId="26" fillId="0" borderId="0" xfId="423" applyFont="1" applyFill="1" applyAlignment="1">
      <alignment horizontal="center"/>
    </xf>
    <xf numFmtId="0" fontId="26" fillId="0" borderId="0" xfId="0" applyFont="1" applyFill="1"/>
    <xf numFmtId="164" fontId="26" fillId="0" borderId="0" xfId="423" applyNumberFormat="1" applyFont="1" applyFill="1"/>
    <xf numFmtId="0" fontId="26" fillId="0" borderId="0" xfId="0" applyFont="1" applyFill="1" applyAlignment="1">
      <alignment horizontal="left" indent="1"/>
    </xf>
    <xf numFmtId="164" fontId="26" fillId="0" borderId="0" xfId="0" applyNumberFormat="1" applyFont="1" applyFill="1"/>
    <xf numFmtId="164" fontId="26" fillId="0" borderId="0" xfId="0" applyNumberFormat="1" applyFont="1" applyFill="1" applyBorder="1"/>
    <xf numFmtId="164" fontId="26" fillId="0" borderId="18" xfId="0" applyNumberFormat="1" applyFont="1" applyFill="1" applyBorder="1"/>
    <xf numFmtId="164" fontId="26" fillId="0" borderId="17" xfId="0" applyNumberFormat="1" applyFont="1" applyFill="1" applyBorder="1"/>
    <xf numFmtId="43" fontId="26" fillId="0" borderId="0" xfId="423" applyFont="1" applyFill="1"/>
    <xf numFmtId="0" fontId="43" fillId="0" borderId="0" xfId="0" applyFont="1" applyFill="1" applyBorder="1" applyAlignment="1">
      <alignment vertical="top"/>
    </xf>
    <xf numFmtId="0" fontId="139" fillId="0" borderId="0" xfId="511" applyFont="1"/>
    <xf numFmtId="0" fontId="43" fillId="0" borderId="0" xfId="0" quotePrefix="1" applyFont="1" applyFill="1" applyBorder="1" applyAlignment="1">
      <alignment vertical="top"/>
    </xf>
    <xf numFmtId="0" fontId="43" fillId="0" borderId="0" xfId="484" applyFont="1" applyAlignment="1">
      <alignment horizontal="left" vertical="top"/>
    </xf>
    <xf numFmtId="0" fontId="139" fillId="0" borderId="0" xfId="484" applyFont="1" applyAlignment="1">
      <alignment vertical="top"/>
    </xf>
    <xf numFmtId="0" fontId="43" fillId="0" borderId="0" xfId="511" applyFont="1" applyFill="1" applyBorder="1" applyAlignment="1">
      <alignment vertical="top"/>
    </xf>
    <xf numFmtId="0" fontId="63" fillId="0" borderId="0" xfId="0" applyFont="1" applyFill="1" applyAlignment="1" applyProtection="1">
      <alignment horizontal="left"/>
      <protection locked="0"/>
    </xf>
    <xf numFmtId="43" fontId="26" fillId="0" borderId="18" xfId="382" applyFont="1" applyFill="1" applyBorder="1" applyAlignment="1">
      <alignment horizontal="center"/>
    </xf>
    <xf numFmtId="164" fontId="26" fillId="0" borderId="0" xfId="382" applyNumberFormat="1" applyFont="1" applyFill="1"/>
    <xf numFmtId="164" fontId="26" fillId="0" borderId="17" xfId="382" applyNumberFormat="1" applyFont="1" applyFill="1" applyBorder="1"/>
    <xf numFmtId="164" fontId="26" fillId="0" borderId="0" xfId="382" applyNumberFormat="1" applyFont="1" applyFill="1" applyBorder="1"/>
    <xf numFmtId="0" fontId="43" fillId="0" borderId="0" xfId="0" applyFont="1" applyFill="1" applyBorder="1" applyAlignment="1">
      <alignment horizontal="left" wrapText="1"/>
    </xf>
    <xf numFmtId="0" fontId="43" fillId="0" borderId="45" xfId="0" applyFont="1" applyFill="1" applyBorder="1" applyAlignment="1">
      <alignment horizontal="center"/>
    </xf>
    <xf numFmtId="0" fontId="63" fillId="0" borderId="0" xfId="0" applyFont="1" applyFill="1" applyAlignment="1">
      <alignment horizontal="center"/>
    </xf>
    <xf numFmtId="0" fontId="111" fillId="0" borderId="0" xfId="37698" applyNumberFormat="1" applyFont="1" applyFill="1" applyAlignment="1" applyProtection="1">
      <alignment vertical="top"/>
      <protection locked="0"/>
    </xf>
    <xf numFmtId="0" fontId="27" fillId="0" borderId="0" xfId="496" applyFont="1" applyFill="1" applyAlignment="1">
      <alignment horizontal="left"/>
    </xf>
    <xf numFmtId="2" fontId="43" fillId="0" borderId="0" xfId="512" applyNumberFormat="1" applyFont="1" applyFill="1" applyAlignment="1">
      <alignment horizontal="left"/>
    </xf>
    <xf numFmtId="0" fontId="43" fillId="0" borderId="0" xfId="512" applyNumberFormat="1" applyFont="1" applyFill="1" applyAlignment="1">
      <alignment horizontal="left"/>
    </xf>
    <xf numFmtId="0" fontId="46" fillId="0" borderId="0" xfId="474" applyFont="1" applyFill="1" applyAlignment="1">
      <alignment horizontal="center"/>
    </xf>
    <xf numFmtId="0" fontId="43" fillId="0" borderId="0" xfId="474" quotePrefix="1" applyFont="1" applyFill="1" applyAlignment="1">
      <alignment horizontal="center" vertical="top"/>
    </xf>
    <xf numFmtId="0" fontId="25" fillId="0" borderId="0" xfId="496" applyFont="1" applyFill="1" applyAlignment="1">
      <alignment vertical="top"/>
    </xf>
    <xf numFmtId="0" fontId="27" fillId="0" borderId="0" xfId="496" applyFont="1" applyFill="1" applyAlignment="1">
      <alignment vertical="top"/>
    </xf>
    <xf numFmtId="198" fontId="63" fillId="0" borderId="0" xfId="382" applyNumberFormat="1" applyFont="1" applyFill="1"/>
    <xf numFmtId="164" fontId="43" fillId="0" borderId="0" xfId="0" applyNumberFormat="1" applyFont="1" applyFill="1"/>
    <xf numFmtId="1" fontId="43" fillId="0" borderId="0" xfId="510" applyNumberFormat="1" applyFont="1" applyFill="1" applyBorder="1" applyAlignment="1">
      <alignment horizontal="left" vertical="center"/>
    </xf>
    <xf numFmtId="1" fontId="43" fillId="0" borderId="0" xfId="0" applyNumberFormat="1" applyFont="1" applyFill="1" applyAlignment="1">
      <alignment horizontal="left" vertical="center"/>
    </xf>
    <xf numFmtId="187" fontId="43" fillId="0" borderId="0" xfId="510" applyNumberFormat="1" applyFont="1" applyFill="1" applyBorder="1" applyAlignment="1">
      <alignment horizontal="left" vertical="center"/>
    </xf>
    <xf numFmtId="0" fontId="43" fillId="0" borderId="0" xfId="504" applyFont="1" applyAlignment="1"/>
    <xf numFmtId="0" fontId="43" fillId="0" borderId="0" xfId="504" applyFont="1" applyBorder="1" applyAlignment="1"/>
    <xf numFmtId="164" fontId="125" fillId="0" borderId="0" xfId="382" applyNumberFormat="1" applyFont="1" applyFill="1"/>
    <xf numFmtId="0" fontId="63" fillId="0" borderId="0" xfId="474" applyFont="1" applyFill="1"/>
    <xf numFmtId="0" fontId="63" fillId="0" borderId="0" xfId="0" quotePrefix="1" applyFont="1" applyFill="1" applyAlignment="1"/>
    <xf numFmtId="0" fontId="63" fillId="0" borderId="0" xfId="0" applyFont="1" applyFill="1" applyAlignment="1">
      <alignment horizontal="center" wrapText="1"/>
    </xf>
    <xf numFmtId="0" fontId="63" fillId="0" borderId="0" xfId="0" quotePrefix="1" applyFont="1" applyFill="1" applyAlignment="1">
      <alignment horizontal="center" wrapText="1"/>
    </xf>
    <xf numFmtId="37" fontId="63" fillId="0" borderId="0" xfId="0" applyNumberFormat="1" applyFont="1" applyFill="1" applyAlignment="1">
      <alignment horizontal="center"/>
    </xf>
    <xf numFmtId="164" fontId="125" fillId="0" borderId="0" xfId="382" applyNumberFormat="1" applyFont="1" applyFill="1" applyBorder="1"/>
    <xf numFmtId="164" fontId="43" fillId="0" borderId="18" xfId="504" applyNumberFormat="1" applyFont="1" applyFill="1" applyBorder="1" applyAlignment="1">
      <alignment wrapText="1"/>
    </xf>
    <xf numFmtId="16" fontId="111" fillId="0" borderId="0" xfId="37696" quotePrefix="1" applyNumberFormat="1" applyFont="1" applyFill="1" applyAlignment="1" applyProtection="1">
      <alignment horizontal="center"/>
      <protection locked="0"/>
    </xf>
    <xf numFmtId="0" fontId="111" fillId="0" borderId="0" xfId="37696" quotePrefix="1" applyNumberFormat="1" applyFont="1" applyFill="1" applyAlignment="1" applyProtection="1">
      <alignment horizontal="center"/>
      <protection locked="0"/>
    </xf>
    <xf numFmtId="0" fontId="111" fillId="0" borderId="0" xfId="37696" applyNumberFormat="1" applyFont="1" applyFill="1" applyAlignment="1">
      <alignment horizontal="right"/>
    </xf>
    <xf numFmtId="169" fontId="111" fillId="0" borderId="0" xfId="37694" applyNumberFormat="1" applyFont="1" applyFill="1" applyAlignment="1" applyProtection="1">
      <protection locked="0"/>
    </xf>
    <xf numFmtId="0" fontId="111" fillId="0" borderId="0" xfId="37698" applyNumberFormat="1" applyFont="1" applyFill="1" applyAlignment="1" applyProtection="1">
      <alignment horizontal="center" vertical="top"/>
      <protection locked="0"/>
    </xf>
    <xf numFmtId="0" fontId="111" fillId="0" borderId="0" xfId="37694" applyNumberFormat="1" applyFont="1" applyFill="1" applyAlignment="1" applyProtection="1">
      <alignment horizontal="center" vertical="top"/>
      <protection locked="0"/>
    </xf>
    <xf numFmtId="0" fontId="111" fillId="0" borderId="0" xfId="37694" applyNumberFormat="1" applyFont="1" applyFill="1" applyAlignment="1" applyProtection="1">
      <alignment horizontal="center" vertical="top" wrapText="1"/>
      <protection locked="0"/>
    </xf>
    <xf numFmtId="3" fontId="111" fillId="0" borderId="0" xfId="37694" applyNumberFormat="1" applyFont="1" applyFill="1" applyAlignment="1">
      <alignment vertical="top"/>
    </xf>
    <xf numFmtId="0" fontId="44" fillId="0" borderId="0" xfId="0" applyFont="1" applyFill="1" applyAlignment="1"/>
    <xf numFmtId="164" fontId="43" fillId="0" borderId="0" xfId="11645" applyNumberFormat="1" applyFont="1" applyFill="1" applyBorder="1"/>
    <xf numFmtId="164" fontId="43" fillId="0" borderId="54" xfId="382" applyNumberFormat="1" applyFont="1" applyFill="1" applyBorder="1"/>
    <xf numFmtId="164" fontId="130" fillId="0" borderId="0" xfId="382" applyNumberFormat="1" applyFont="1" applyFill="1" applyBorder="1"/>
    <xf numFmtId="164" fontId="43" fillId="0" borderId="45" xfId="382" applyNumberFormat="1" applyFont="1" applyFill="1" applyBorder="1"/>
    <xf numFmtId="0" fontId="63" fillId="0" borderId="0" xfId="569" applyFont="1" applyFill="1" applyAlignment="1">
      <alignment horizontal="left"/>
    </xf>
    <xf numFmtId="2" fontId="43" fillId="0" borderId="0" xfId="0" applyNumberFormat="1" applyFont="1" applyFill="1" applyAlignment="1">
      <alignment horizontal="left"/>
    </xf>
    <xf numFmtId="0" fontId="43" fillId="0" borderId="0" xfId="0" quotePrefix="1" applyFont="1" applyFill="1" applyAlignment="1">
      <alignment horizontal="center" vertical="top"/>
    </xf>
    <xf numFmtId="1" fontId="43" fillId="0" borderId="0" xfId="0" applyNumberFormat="1" applyFont="1" applyFill="1" applyAlignment="1">
      <alignment horizontal="left"/>
    </xf>
    <xf numFmtId="1" fontId="26" fillId="0" borderId="0" xfId="11271" applyNumberFormat="1" applyFont="1" applyFill="1" applyAlignment="1">
      <alignment horizontal="left"/>
    </xf>
    <xf numFmtId="2" fontId="26" fillId="0" borderId="0" xfId="11271" applyNumberFormat="1" applyFont="1" applyFill="1" applyAlignment="1">
      <alignment horizontal="left"/>
    </xf>
    <xf numFmtId="0" fontId="49" fillId="0" borderId="18" xfId="0" applyFont="1" applyFill="1" applyBorder="1" applyAlignment="1">
      <alignment horizontal="left"/>
    </xf>
    <xf numFmtId="3" fontId="47" fillId="0" borderId="20" xfId="0" applyNumberFormat="1" applyFont="1" applyFill="1" applyBorder="1" applyAlignment="1"/>
    <xf numFmtId="0" fontId="45" fillId="50" borderId="6" xfId="0" applyNumberFormat="1" applyFont="1" applyFill="1" applyBorder="1" applyAlignment="1">
      <alignment horizontal="left"/>
    </xf>
    <xf numFmtId="0" fontId="47" fillId="0" borderId="17" xfId="0" applyNumberFormat="1" applyFont="1" applyFill="1" applyBorder="1" applyAlignment="1">
      <alignment horizontal="center"/>
    </xf>
    <xf numFmtId="0" fontId="45" fillId="35" borderId="52" xfId="0" applyFont="1" applyFill="1" applyBorder="1" applyAlignment="1">
      <alignment horizontal="center" wrapText="1"/>
    </xf>
    <xf numFmtId="3" fontId="47" fillId="0" borderId="21" xfId="0" applyNumberFormat="1" applyFont="1" applyFill="1" applyBorder="1" applyAlignment="1"/>
    <xf numFmtId="3" fontId="47" fillId="0" borderId="39" xfId="0" applyNumberFormat="1" applyFont="1" applyFill="1" applyBorder="1" applyAlignment="1"/>
    <xf numFmtId="164" fontId="47" fillId="0" borderId="28" xfId="382" applyNumberFormat="1" applyFont="1" applyFill="1" applyBorder="1" applyAlignment="1"/>
    <xf numFmtId="164" fontId="47" fillId="0" borderId="11" xfId="382" applyNumberFormat="1" applyFont="1" applyFill="1" applyBorder="1" applyAlignment="1">
      <alignment horizontal="right"/>
    </xf>
    <xf numFmtId="0" fontId="45" fillId="0" borderId="47" xfId="0" applyNumberFormat="1" applyFont="1" applyFill="1" applyBorder="1" applyAlignment="1">
      <alignment horizontal="left"/>
    </xf>
    <xf numFmtId="0" fontId="45" fillId="0" borderId="47" xfId="0" applyFont="1" applyFill="1" applyBorder="1" applyAlignment="1">
      <alignment horizontal="left"/>
    </xf>
    <xf numFmtId="0" fontId="45" fillId="0" borderId="47" xfId="0" applyFont="1" applyFill="1" applyBorder="1" applyAlignment="1">
      <alignment horizontal="center"/>
    </xf>
    <xf numFmtId="0" fontId="47" fillId="0" borderId="37" xfId="0" applyNumberFormat="1" applyFont="1" applyFill="1" applyBorder="1" applyAlignment="1">
      <alignment horizontal="left"/>
    </xf>
    <xf numFmtId="0" fontId="47" fillId="0" borderId="0" xfId="0" applyFont="1" applyFill="1" applyBorder="1" applyAlignment="1">
      <alignment horizontal="right"/>
    </xf>
    <xf numFmtId="0" fontId="47" fillId="0" borderId="0" xfId="0" applyFont="1" applyFill="1" applyAlignment="1">
      <alignment horizontal="left" indent="1"/>
    </xf>
    <xf numFmtId="164" fontId="47" fillId="0" borderId="0" xfId="0" applyNumberFormat="1" applyFont="1" applyFill="1"/>
    <xf numFmtId="0" fontId="26" fillId="0" borderId="0" xfId="513" applyFont="1" applyFill="1" applyAlignment="1">
      <alignment horizontal="center"/>
    </xf>
    <xf numFmtId="0" fontId="26" fillId="0" borderId="0" xfId="513" applyFont="1" applyFill="1" applyBorder="1"/>
    <xf numFmtId="0" fontId="26" fillId="0" borderId="0" xfId="513" applyFont="1" applyFill="1"/>
    <xf numFmtId="0" fontId="26" fillId="0" borderId="0" xfId="513" quotePrefix="1" applyFont="1" applyFill="1" applyAlignment="1">
      <alignment horizontal="center" vertical="top"/>
    </xf>
    <xf numFmtId="0" fontId="47" fillId="0" borderId="18" xfId="0" applyNumberFormat="1" applyFont="1" applyFill="1" applyBorder="1" applyAlignment="1">
      <alignment horizontal="left" indent="1"/>
    </xf>
    <xf numFmtId="0" fontId="47" fillId="0" borderId="0" xfId="0" applyFont="1" applyFill="1" applyBorder="1" applyAlignment="1">
      <alignment horizontal="left" indent="1"/>
    </xf>
    <xf numFmtId="0" fontId="47" fillId="0" borderId="0" xfId="0" applyFont="1" applyFill="1" applyBorder="1" applyAlignment="1">
      <alignment horizontal="left" indent="2"/>
    </xf>
    <xf numFmtId="0" fontId="47" fillId="0" borderId="0" xfId="0" applyFont="1" applyFill="1" applyAlignment="1">
      <alignment horizontal="center"/>
    </xf>
    <xf numFmtId="37" fontId="47" fillId="0" borderId="30" xfId="382" applyNumberFormat="1" applyFont="1" applyFill="1" applyBorder="1" applyAlignment="1">
      <alignment horizontal="right"/>
    </xf>
    <xf numFmtId="164" fontId="47" fillId="0" borderId="0" xfId="382" applyNumberFormat="1" applyFont="1" applyFill="1" applyBorder="1"/>
    <xf numFmtId="164" fontId="63" fillId="0" borderId="0" xfId="382" applyNumberFormat="1" applyFont="1" applyFill="1" applyAlignment="1">
      <alignment horizontal="left"/>
    </xf>
    <xf numFmtId="164" fontId="45" fillId="0" borderId="0" xfId="0" applyNumberFormat="1" applyFont="1" applyFill="1"/>
    <xf numFmtId="1" fontId="63" fillId="0" borderId="0" xfId="511" applyNumberFormat="1" applyFont="1" applyFill="1" applyAlignment="1">
      <alignment horizontal="left"/>
    </xf>
    <xf numFmtId="0" fontId="43" fillId="0" borderId="0" xfId="504" applyFont="1" applyFill="1" applyBorder="1" applyAlignment="1">
      <alignment horizontal="right"/>
    </xf>
    <xf numFmtId="43" fontId="122" fillId="0" borderId="0" xfId="382" applyFont="1" applyFill="1" applyAlignment="1">
      <alignment horizontal="center"/>
    </xf>
    <xf numFmtId="0" fontId="43" fillId="0" borderId="0" xfId="0" applyFont="1" applyFill="1" applyAlignment="1">
      <alignment horizontal="right"/>
    </xf>
    <xf numFmtId="43" fontId="43" fillId="0" borderId="0" xfId="0" applyNumberFormat="1" applyFont="1" applyFill="1" applyAlignment="1">
      <alignment horizontal="right"/>
    </xf>
    <xf numFmtId="43" fontId="43" fillId="0" borderId="0" xfId="382" applyFont="1" applyFill="1" applyAlignment="1">
      <alignment horizontal="left"/>
    </xf>
    <xf numFmtId="43" fontId="43" fillId="0" borderId="0" xfId="382" applyNumberFormat="1" applyFont="1" applyFill="1" applyBorder="1"/>
    <xf numFmtId="43" fontId="43" fillId="0" borderId="0" xfId="504" applyNumberFormat="1" applyFont="1" applyFill="1" applyBorder="1"/>
    <xf numFmtId="0" fontId="44" fillId="0" borderId="0" xfId="0" applyFont="1" applyFill="1" applyAlignment="1">
      <alignment horizontal="left"/>
    </xf>
    <xf numFmtId="0" fontId="44" fillId="0" borderId="0" xfId="0" applyFont="1" applyFill="1" applyAlignment="1">
      <alignment horizontal="left" indent="2"/>
    </xf>
    <xf numFmtId="0" fontId="44" fillId="0" borderId="0" xfId="504" applyFont="1" applyFill="1" applyBorder="1" applyAlignment="1">
      <alignment horizontal="left" indent="2"/>
    </xf>
    <xf numFmtId="0" fontId="44" fillId="0" borderId="0" xfId="504" applyNumberFormat="1" applyFont="1" applyFill="1" applyBorder="1" applyAlignment="1">
      <alignment horizontal="left" wrapText="1" indent="2"/>
    </xf>
    <xf numFmtId="0" fontId="44" fillId="0" borderId="0" xfId="504" applyFont="1" applyFill="1" applyAlignment="1">
      <alignment horizontal="left" indent="2"/>
    </xf>
    <xf numFmtId="0" fontId="43" fillId="0" borderId="0" xfId="504" applyFont="1" applyFill="1" applyAlignment="1">
      <alignment horizontal="center" wrapText="1"/>
    </xf>
    <xf numFmtId="164" fontId="139" fillId="0" borderId="0" xfId="382" applyNumberFormat="1" applyFont="1" applyBorder="1"/>
    <xf numFmtId="164" fontId="139" fillId="0" borderId="0" xfId="474" applyNumberFormat="1" applyFont="1" applyBorder="1"/>
    <xf numFmtId="43" fontId="130" fillId="0" borderId="0" xfId="382" applyFont="1" applyFill="1"/>
    <xf numFmtId="164" fontId="26" fillId="0" borderId="0" xfId="382" quotePrefix="1" applyNumberFormat="1" applyFont="1" applyBorder="1" applyAlignment="1">
      <alignment horizontal="center"/>
    </xf>
    <xf numFmtId="0" fontId="43" fillId="0" borderId="0" xfId="512" applyNumberFormat="1" applyFont="1" applyFill="1" applyAlignment="1">
      <alignment horizontal="left" vertical="top"/>
    </xf>
    <xf numFmtId="0" fontId="129" fillId="0" borderId="0" xfId="504" applyFont="1"/>
    <xf numFmtId="0" fontId="129" fillId="0" borderId="0" xfId="504" applyFont="1" applyBorder="1"/>
    <xf numFmtId="0" fontId="129" fillId="0" borderId="0" xfId="504" applyFont="1" applyFill="1" applyBorder="1" applyAlignment="1">
      <alignment horizontal="center" wrapText="1"/>
    </xf>
    <xf numFmtId="0" fontId="129" fillId="0" borderId="0" xfId="0" applyFont="1" applyFill="1" applyBorder="1"/>
    <xf numFmtId="164" fontId="129" fillId="0" borderId="0" xfId="382" applyNumberFormat="1" applyFont="1" applyBorder="1"/>
    <xf numFmtId="164" fontId="129" fillId="0" borderId="0" xfId="382" applyNumberFormat="1" applyFont="1" applyFill="1" applyBorder="1"/>
    <xf numFmtId="0" fontId="129" fillId="0" borderId="0" xfId="504" applyFont="1" applyFill="1" applyBorder="1"/>
    <xf numFmtId="0" fontId="141" fillId="0" borderId="0" xfId="0" applyFont="1" applyFill="1" applyBorder="1" applyAlignment="1">
      <alignment horizontal="left"/>
    </xf>
    <xf numFmtId="0" fontId="129" fillId="0" borderId="0" xfId="0" applyFont="1" applyFill="1" applyBorder="1" applyAlignment="1"/>
    <xf numFmtId="0" fontId="141" fillId="0" borderId="0" xfId="0" applyNumberFormat="1" applyFont="1" applyFill="1" applyBorder="1" applyAlignment="1">
      <alignment horizontal="center"/>
    </xf>
    <xf numFmtId="0" fontId="129" fillId="0" borderId="0" xfId="0" applyFont="1" applyFill="1" applyBorder="1" applyAlignment="1">
      <alignment horizontal="center" wrapText="1"/>
    </xf>
    <xf numFmtId="0" fontId="43" fillId="0" borderId="0" xfId="0" applyFont="1" applyFill="1" applyBorder="1" applyAlignment="1">
      <alignment horizontal="left" vertical="top"/>
    </xf>
    <xf numFmtId="0" fontId="43" fillId="0" borderId="16" xfId="0" applyFont="1" applyFill="1" applyBorder="1"/>
    <xf numFmtId="164" fontId="43" fillId="0" borderId="16" xfId="382" applyNumberFormat="1" applyFont="1" applyFill="1" applyBorder="1"/>
    <xf numFmtId="0" fontId="142" fillId="0" borderId="0" xfId="0" applyFont="1" applyFill="1"/>
    <xf numFmtId="164" fontId="43" fillId="0" borderId="0" xfId="382" applyNumberFormat="1" applyFont="1" applyBorder="1" applyAlignment="1">
      <alignment vertical="top"/>
    </xf>
    <xf numFmtId="170" fontId="55" fillId="0" borderId="0" xfId="382" applyNumberFormat="1" applyFont="1" applyFill="1" applyBorder="1" applyAlignment="1">
      <alignment horizontal="center"/>
    </xf>
    <xf numFmtId="164" fontId="43" fillId="0" borderId="0" xfId="382" applyNumberFormat="1" applyFont="1" applyFill="1" applyAlignment="1">
      <alignment vertical="top"/>
    </xf>
    <xf numFmtId="0" fontId="43" fillId="0" borderId="0" xfId="0" quotePrefix="1" applyFont="1" applyFill="1" applyAlignment="1">
      <alignment horizontal="left" vertical="top"/>
    </xf>
    <xf numFmtId="3" fontId="43" fillId="0" borderId="0" xfId="11265" quotePrefix="1" applyNumberFormat="1" applyFont="1" applyFill="1" applyAlignment="1"/>
    <xf numFmtId="43" fontId="63" fillId="0" borderId="0" xfId="511" applyNumberFormat="1" applyFont="1" applyFill="1" applyAlignment="1">
      <alignment horizontal="left"/>
    </xf>
    <xf numFmtId="0" fontId="63" fillId="0" borderId="0" xfId="511" applyFont="1" applyFill="1" applyAlignment="1">
      <alignment horizontal="center"/>
    </xf>
    <xf numFmtId="0" fontId="63" fillId="0" borderId="0" xfId="511" applyFont="1" applyFill="1" applyAlignment="1">
      <alignment horizontal="left"/>
    </xf>
    <xf numFmtId="2" fontId="63" fillId="0" borderId="0" xfId="511" applyNumberFormat="1" applyFont="1" applyFill="1" applyAlignment="1">
      <alignment horizontal="left"/>
    </xf>
    <xf numFmtId="0" fontId="63" fillId="0" borderId="0" xfId="511" applyFont="1" applyFill="1"/>
    <xf numFmtId="0" fontId="128" fillId="0" borderId="0" xfId="0" applyFont="1" applyFill="1"/>
    <xf numFmtId="2" fontId="43" fillId="0" borderId="0" xfId="0" applyNumberFormat="1" applyFont="1" applyFill="1" applyAlignment="1">
      <alignment horizontal="center"/>
    </xf>
    <xf numFmtId="193" fontId="43" fillId="0" borderId="0" xfId="0" applyNumberFormat="1" applyFont="1" applyFill="1" applyBorder="1"/>
    <xf numFmtId="170" fontId="111" fillId="0" borderId="0" xfId="382" applyNumberFormat="1" applyFont="1" applyFill="1" applyBorder="1" applyAlignment="1"/>
    <xf numFmtId="164" fontId="111" fillId="0" borderId="0" xfId="382" applyNumberFormat="1" applyFont="1" applyFill="1" applyBorder="1" applyAlignment="1">
      <alignment horizontal="right"/>
    </xf>
    <xf numFmtId="0" fontId="43" fillId="0" borderId="0" xfId="0" applyNumberFormat="1" applyFont="1" applyFill="1" applyBorder="1" applyAlignment="1"/>
    <xf numFmtId="164" fontId="63" fillId="0" borderId="0" xfId="382" applyNumberFormat="1" applyFont="1" applyFill="1" applyAlignment="1"/>
    <xf numFmtId="0" fontId="43" fillId="0" borderId="0" xfId="0" applyFont="1" applyFill="1" applyBorder="1" applyAlignment="1">
      <alignment horizontal="left" wrapText="1" indent="1"/>
    </xf>
    <xf numFmtId="0" fontId="43" fillId="0" borderId="0" xfId="0" applyFont="1" applyFill="1" applyBorder="1" applyAlignment="1">
      <alignment horizontal="left" wrapText="1"/>
    </xf>
    <xf numFmtId="164" fontId="43" fillId="0" borderId="0" xfId="382" applyNumberFormat="1" applyFont="1" applyFill="1" applyBorder="1" applyAlignment="1">
      <alignment vertical="top"/>
    </xf>
    <xf numFmtId="164" fontId="26" fillId="0" borderId="18" xfId="382" applyNumberFormat="1" applyFont="1" applyFill="1" applyBorder="1"/>
    <xf numFmtId="164" fontId="43" fillId="37" borderId="0" xfId="382" applyNumberFormat="1" applyFont="1" applyFill="1" applyAlignment="1">
      <alignment horizontal="left" vertical="top" indent="2"/>
    </xf>
    <xf numFmtId="164" fontId="43" fillId="37" borderId="18" xfId="382" applyNumberFormat="1" applyFont="1" applyFill="1" applyBorder="1" applyAlignment="1">
      <alignment horizontal="left" vertical="top" indent="2"/>
    </xf>
    <xf numFmtId="0" fontId="43" fillId="0" borderId="0" xfId="474" quotePrefix="1" applyFont="1" applyAlignment="1">
      <alignment horizontal="center" vertical="top"/>
    </xf>
    <xf numFmtId="0" fontId="43" fillId="52" borderId="0" xfId="0" applyFont="1" applyFill="1" applyBorder="1" applyAlignment="1">
      <alignment horizontal="left" wrapText="1"/>
    </xf>
    <xf numFmtId="0" fontId="43" fillId="0" borderId="0" xfId="0" applyFont="1" applyFill="1" applyAlignment="1">
      <alignment horizontal="left" vertical="top" wrapText="1"/>
    </xf>
    <xf numFmtId="0" fontId="43" fillId="0" borderId="0" xfId="0" applyFont="1" applyFill="1" applyAlignment="1">
      <alignment horizontal="center"/>
    </xf>
    <xf numFmtId="0" fontId="43" fillId="0" borderId="0" xfId="0" applyFont="1" applyFill="1" applyBorder="1" applyAlignment="1">
      <alignment horizontal="left" wrapText="1"/>
    </xf>
    <xf numFmtId="0" fontId="43" fillId="0" borderId="0" xfId="0" applyFont="1" applyFill="1" applyAlignment="1">
      <alignment horizontal="left" vertical="top"/>
    </xf>
    <xf numFmtId="0" fontId="144" fillId="0" borderId="0" xfId="0" applyFont="1"/>
    <xf numFmtId="0" fontId="146" fillId="0" borderId="0" xfId="0" applyFont="1" applyFill="1"/>
    <xf numFmtId="0" fontId="145" fillId="0" borderId="0" xfId="511" applyFont="1" applyFill="1"/>
    <xf numFmtId="43" fontId="63" fillId="0" borderId="0" xfId="425" applyFont="1" applyFill="1"/>
    <xf numFmtId="164" fontId="145" fillId="0" borderId="0" xfId="382" applyNumberFormat="1" applyFont="1" applyFill="1" applyBorder="1"/>
    <xf numFmtId="0" fontId="43" fillId="0" borderId="0" xfId="474" applyFont="1" applyFill="1" applyAlignment="1">
      <alignment horizontal="left" vertical="top"/>
    </xf>
    <xf numFmtId="0" fontId="43" fillId="0" borderId="0" xfId="474" quotePrefix="1" applyFont="1" applyFill="1" applyAlignment="1">
      <alignment horizontal="left" vertical="top"/>
    </xf>
    <xf numFmtId="0" fontId="129" fillId="0" borderId="0" xfId="0" applyFont="1" applyFill="1"/>
    <xf numFmtId="0" fontId="147" fillId="0" borderId="0" xfId="496" applyFont="1"/>
    <xf numFmtId="0" fontId="125" fillId="0" borderId="0" xfId="484" applyFont="1" applyFill="1" applyBorder="1" applyAlignment="1">
      <alignment vertical="top"/>
    </xf>
    <xf numFmtId="0" fontId="63" fillId="0" borderId="0" xfId="511" applyFont="1" applyAlignment="1">
      <alignment horizontal="left" vertical="top"/>
    </xf>
    <xf numFmtId="0" fontId="148" fillId="0" borderId="0" xfId="0" applyFont="1" applyFill="1" applyBorder="1" applyAlignment="1">
      <alignment horizontal="left"/>
    </xf>
    <xf numFmtId="0" fontId="140" fillId="0" borderId="0" xfId="0" applyFont="1" applyFill="1" applyBorder="1" applyAlignment="1">
      <alignment horizontal="center"/>
    </xf>
    <xf numFmtId="199" fontId="43" fillId="0" borderId="11" xfId="382" applyNumberFormat="1" applyFont="1" applyFill="1" applyBorder="1" applyAlignment="1">
      <alignment horizontal="right"/>
    </xf>
    <xf numFmtId="199" fontId="43" fillId="0" borderId="11" xfId="382" applyNumberFormat="1" applyFont="1" applyFill="1" applyBorder="1"/>
    <xf numFmtId="199" fontId="43" fillId="0" borderId="30" xfId="382" applyNumberFormat="1" applyFont="1" applyFill="1" applyBorder="1"/>
    <xf numFmtId="199" fontId="43" fillId="0" borderId="30" xfId="382" applyNumberFormat="1" applyFont="1" applyFill="1" applyBorder="1" applyAlignment="1">
      <alignment horizontal="right"/>
    </xf>
    <xf numFmtId="199" fontId="43" fillId="0" borderId="11" xfId="382" applyNumberFormat="1" applyFont="1" applyBorder="1"/>
    <xf numFmtId="199" fontId="43" fillId="0" borderId="11" xfId="382" applyNumberFormat="1" applyFont="1" applyBorder="1" applyAlignment="1">
      <alignment horizontal="right"/>
    </xf>
    <xf numFmtId="169" fontId="111" fillId="0" borderId="0" xfId="37694" applyFont="1" applyAlignment="1">
      <alignment horizontal="center"/>
    </xf>
    <xf numFmtId="49" fontId="111" fillId="0" borderId="0" xfId="37696" applyNumberFormat="1" applyFont="1" applyFill="1" applyAlignment="1" applyProtection="1">
      <protection locked="0"/>
    </xf>
    <xf numFmtId="0" fontId="111" fillId="0" borderId="0" xfId="37696" applyNumberFormat="1" applyFont="1" applyFill="1" applyAlignment="1">
      <alignment wrapText="1"/>
    </xf>
    <xf numFmtId="0" fontId="111" fillId="0" borderId="0" xfId="37696" applyNumberFormat="1" applyFont="1" applyFill="1" applyAlignment="1" applyProtection="1">
      <alignment horizontal="left"/>
      <protection locked="0"/>
    </xf>
    <xf numFmtId="164" fontId="111" fillId="0" borderId="6" xfId="382" applyNumberFormat="1" applyFont="1" applyBorder="1" applyAlignment="1"/>
    <xf numFmtId="0" fontId="45" fillId="0" borderId="5" xfId="0" applyNumberFormat="1" applyFont="1" applyFill="1" applyBorder="1" applyAlignment="1">
      <alignment horizontal="left"/>
    </xf>
    <xf numFmtId="0" fontId="45" fillId="0" borderId="5" xfId="0" applyFont="1" applyFill="1" applyBorder="1" applyAlignment="1">
      <alignment horizontal="center"/>
    </xf>
    <xf numFmtId="0" fontId="60" fillId="0" borderId="0" xfId="0" applyFont="1" applyFill="1" applyBorder="1"/>
    <xf numFmtId="3" fontId="47" fillId="0" borderId="35" xfId="0" quotePrefix="1" applyNumberFormat="1" applyFont="1" applyFill="1" applyBorder="1" applyAlignment="1">
      <alignment horizontal="left"/>
    </xf>
    <xf numFmtId="0" fontId="45" fillId="0" borderId="0" xfId="0" applyFont="1" applyFill="1" applyBorder="1" applyAlignment="1">
      <alignment horizontal="left"/>
    </xf>
    <xf numFmtId="3" fontId="47" fillId="0" borderId="18" xfId="0" applyNumberFormat="1" applyFont="1" applyFill="1" applyBorder="1" applyAlignment="1">
      <alignment horizontal="center"/>
    </xf>
    <xf numFmtId="168" fontId="128" fillId="0" borderId="0" xfId="0" applyNumberFormat="1" applyFont="1" applyFill="1" applyBorder="1" applyAlignment="1">
      <alignment horizontal="left"/>
    </xf>
    <xf numFmtId="3" fontId="45" fillId="0" borderId="38" xfId="0" applyNumberFormat="1" applyFont="1" applyFill="1" applyBorder="1" applyAlignment="1">
      <alignment horizontal="right"/>
    </xf>
    <xf numFmtId="168" fontId="47" fillId="0" borderId="0" xfId="0" applyNumberFormat="1" applyFont="1" applyFill="1" applyBorder="1" applyAlignment="1">
      <alignment horizontal="left" indent="1"/>
    </xf>
    <xf numFmtId="168" fontId="47" fillId="0" borderId="18" xfId="0" applyNumberFormat="1" applyFont="1" applyFill="1" applyBorder="1" applyAlignment="1">
      <alignment horizontal="left" indent="1"/>
    </xf>
    <xf numFmtId="0" fontId="128" fillId="0" borderId="0" xfId="0" applyFont="1"/>
    <xf numFmtId="3" fontId="47" fillId="0" borderId="35" xfId="0" applyNumberFormat="1" applyFont="1" applyFill="1" applyBorder="1"/>
    <xf numFmtId="3" fontId="47" fillId="0" borderId="36" xfId="0" applyNumberFormat="1" applyFont="1" applyFill="1" applyBorder="1" applyAlignment="1">
      <alignment horizontal="right"/>
    </xf>
    <xf numFmtId="0" fontId="47" fillId="50" borderId="0" xfId="0" applyFont="1" applyFill="1" applyBorder="1" applyAlignment="1">
      <alignment horizontal="center"/>
    </xf>
    <xf numFmtId="3" fontId="47" fillId="0" borderId="35" xfId="0" applyNumberFormat="1" applyFont="1" applyFill="1" applyBorder="1" applyAlignment="1">
      <alignment wrapText="1"/>
    </xf>
    <xf numFmtId="37" fontId="47" fillId="0" borderId="35" xfId="0" quotePrefix="1" applyNumberFormat="1" applyFont="1" applyFill="1" applyBorder="1" applyAlignment="1"/>
    <xf numFmtId="169" fontId="111" fillId="0" borderId="7" xfId="37696" applyFont="1" applyFill="1" applyBorder="1" applyAlignment="1"/>
    <xf numFmtId="0" fontId="111" fillId="0" borderId="7" xfId="37696" applyNumberFormat="1" applyFont="1" applyFill="1" applyBorder="1" applyProtection="1">
      <protection locked="0"/>
    </xf>
    <xf numFmtId="0" fontId="111" fillId="51" borderId="0" xfId="37695" applyFont="1" applyFill="1"/>
    <xf numFmtId="0" fontId="111" fillId="51" borderId="0" xfId="37696" applyNumberFormat="1" applyFont="1" applyFill="1"/>
    <xf numFmtId="169" fontId="111" fillId="51" borderId="0" xfId="37694" applyFont="1" applyFill="1" applyAlignment="1"/>
    <xf numFmtId="0" fontId="111" fillId="51" borderId="0" xfId="37695" applyFont="1" applyFill="1" applyAlignment="1">
      <alignment horizontal="right"/>
    </xf>
    <xf numFmtId="169" fontId="132" fillId="51" borderId="0" xfId="37694" applyFont="1" applyFill="1" applyAlignment="1">
      <alignment horizontal="center" vertical="center"/>
    </xf>
    <xf numFmtId="170" fontId="111" fillId="0" borderId="0" xfId="382" applyNumberFormat="1" applyFont="1" applyFill="1" applyAlignment="1">
      <alignment horizontal="center" vertical="top"/>
    </xf>
    <xf numFmtId="0" fontId="111" fillId="0" borderId="0" xfId="37694" applyNumberFormat="1" applyFont="1" applyFill="1" applyAlignment="1">
      <alignment vertical="top"/>
    </xf>
    <xf numFmtId="1" fontId="43" fillId="0" borderId="0" xfId="510" applyNumberFormat="1" applyFont="1" applyFill="1" applyBorder="1" applyAlignment="1">
      <alignment horizontal="left"/>
    </xf>
    <xf numFmtId="0" fontId="43" fillId="0" borderId="6" xfId="0" applyFont="1" applyFill="1" applyBorder="1" applyAlignment="1">
      <alignment horizontal="left" wrapText="1"/>
    </xf>
    <xf numFmtId="0" fontId="43" fillId="0" borderId="0" xfId="504" quotePrefix="1" applyFont="1" applyAlignment="1">
      <alignment horizontal="center" vertical="top"/>
    </xf>
    <xf numFmtId="0" fontId="26" fillId="0" borderId="18" xfId="0" applyFont="1" applyFill="1" applyBorder="1" applyAlignment="1">
      <alignment horizontal="left" indent="1"/>
    </xf>
    <xf numFmtId="164" fontId="24" fillId="0" borderId="18" xfId="382" applyNumberFormat="1" applyFont="1" applyFill="1" applyBorder="1"/>
    <xf numFmtId="0" fontId="26" fillId="0" borderId="0" xfId="0" applyFont="1" applyFill="1" applyAlignment="1">
      <alignment horizontal="left"/>
    </xf>
    <xf numFmtId="164" fontId="43" fillId="0" borderId="17" xfId="382" applyNumberFormat="1" applyFont="1" applyFill="1" applyBorder="1" applyAlignment="1">
      <alignment vertical="top"/>
    </xf>
    <xf numFmtId="164" fontId="43" fillId="0" borderId="0" xfId="382" applyNumberFormat="1" applyFont="1" applyFill="1" applyAlignment="1">
      <alignment horizontal="left" vertical="top" indent="2"/>
    </xf>
    <xf numFmtId="0" fontId="63" fillId="0" borderId="0" xfId="511" quotePrefix="1" applyFont="1" applyFill="1" applyAlignment="1">
      <alignment horizontal="center"/>
    </xf>
    <xf numFmtId="0" fontId="63" fillId="0" borderId="0" xfId="511" quotePrefix="1" applyFont="1" applyFill="1" applyAlignment="1">
      <alignment horizontal="center" vertical="top"/>
    </xf>
    <xf numFmtId="0" fontId="139" fillId="0" borderId="0" xfId="0" applyFont="1" applyFill="1"/>
    <xf numFmtId="0" fontId="139" fillId="0" borderId="0" xfId="511" applyFont="1" applyFill="1"/>
    <xf numFmtId="0" fontId="43" fillId="0" borderId="0" xfId="484" quotePrefix="1" applyFont="1" applyFill="1" applyAlignment="1">
      <alignment vertical="top"/>
    </xf>
    <xf numFmtId="0" fontId="91" fillId="0" borderId="0" xfId="0" applyFont="1" applyFill="1" applyAlignment="1">
      <alignment horizontal="left"/>
    </xf>
    <xf numFmtId="0" fontId="91" fillId="0" borderId="0" xfId="0" applyFont="1" applyFill="1"/>
    <xf numFmtId="0" fontId="44" fillId="0" borderId="16" xfId="0" applyFont="1" applyFill="1" applyBorder="1" applyAlignment="1">
      <alignment horizontal="left" indent="1"/>
    </xf>
    <xf numFmtId="1" fontId="63" fillId="0" borderId="0" xfId="11275" applyNumberFormat="1" applyFont="1" applyFill="1" applyAlignment="1">
      <alignment horizontal="left"/>
    </xf>
    <xf numFmtId="0" fontId="63" fillId="0" borderId="0" xfId="11275" applyFont="1" applyFill="1" applyAlignment="1">
      <alignment horizontal="left"/>
    </xf>
    <xf numFmtId="0" fontId="63" fillId="0" borderId="0" xfId="11275" quotePrefix="1" applyFont="1" applyFill="1" applyAlignment="1">
      <alignment horizontal="left"/>
    </xf>
    <xf numFmtId="0" fontId="26" fillId="0" borderId="0" xfId="11271" quotePrefix="1" applyFont="1" applyFill="1" applyAlignment="1">
      <alignment horizontal="center"/>
    </xf>
    <xf numFmtId="2" fontId="43" fillId="0" borderId="0" xfId="474" applyNumberFormat="1" applyFont="1" applyFill="1" applyAlignment="1">
      <alignment horizontal="left" vertical="top"/>
    </xf>
    <xf numFmtId="0" fontId="43" fillId="0" borderId="0" xfId="0" applyFont="1" applyAlignment="1">
      <alignment horizontal="center" vertical="center"/>
    </xf>
    <xf numFmtId="0" fontId="23" fillId="0" borderId="0" xfId="0" applyFont="1" applyFill="1" applyAlignment="1">
      <alignment horizontal="center"/>
    </xf>
    <xf numFmtId="0" fontId="23" fillId="0" borderId="0" xfId="0" applyFont="1"/>
    <xf numFmtId="164" fontId="23" fillId="0" borderId="17" xfId="382" applyNumberFormat="1" applyFont="1" applyBorder="1"/>
    <xf numFmtId="164" fontId="43" fillId="0" borderId="17" xfId="382" applyNumberFormat="1" applyFont="1" applyFill="1" applyBorder="1"/>
    <xf numFmtId="0" fontId="23" fillId="0" borderId="0" xfId="0" applyFont="1" applyFill="1"/>
    <xf numFmtId="164" fontId="23" fillId="0" borderId="0" xfId="423" applyNumberFormat="1" applyFont="1" applyFill="1"/>
    <xf numFmtId="164" fontId="23" fillId="0" borderId="0" xfId="382" applyNumberFormat="1" applyFont="1" applyFill="1"/>
    <xf numFmtId="0" fontId="23" fillId="0" borderId="0" xfId="0" applyFont="1" applyFill="1" applyAlignment="1">
      <alignment horizontal="left" indent="1"/>
    </xf>
    <xf numFmtId="164" fontId="23" fillId="0" borderId="0" xfId="382" applyNumberFormat="1" applyFont="1"/>
    <xf numFmtId="164" fontId="23" fillId="0" borderId="17" xfId="382" applyNumberFormat="1" applyFont="1" applyFill="1" applyBorder="1"/>
    <xf numFmtId="0" fontId="23" fillId="0" borderId="0" xfId="0" quotePrefix="1" applyFont="1" applyAlignment="1">
      <alignment horizontal="center" vertical="top"/>
    </xf>
    <xf numFmtId="0" fontId="23" fillId="0" borderId="0" xfId="0" applyFont="1" applyAlignment="1">
      <alignment horizontal="center"/>
    </xf>
    <xf numFmtId="0" fontId="23" fillId="0" borderId="0" xfId="0" applyFont="1" applyFill="1" applyAlignment="1">
      <alignment horizontal="left"/>
    </xf>
    <xf numFmtId="3" fontId="111" fillId="0" borderId="0" xfId="37696" applyNumberFormat="1" applyFont="1" applyFill="1" applyAlignment="1">
      <alignment vertical="top" wrapText="1"/>
    </xf>
    <xf numFmtId="0" fontId="111" fillId="0" borderId="0" xfId="37696" applyNumberFormat="1" applyFont="1" applyFill="1" applyAlignment="1">
      <alignment horizontal="left" vertical="top"/>
    </xf>
    <xf numFmtId="169" fontId="111" fillId="0" borderId="0" xfId="37694" quotePrefix="1" applyFont="1" applyFill="1" applyAlignment="1">
      <alignment vertical="top"/>
    </xf>
    <xf numFmtId="0" fontId="43" fillId="0" borderId="0" xfId="513" applyFont="1"/>
    <xf numFmtId="0" fontId="63" fillId="0" borderId="0" xfId="0" applyFont="1" applyFill="1" applyAlignment="1">
      <alignment horizontal="center"/>
    </xf>
    <xf numFmtId="0" fontId="22" fillId="0" borderId="0" xfId="0" applyFont="1" applyFill="1" applyAlignment="1">
      <alignment horizontal="center"/>
    </xf>
    <xf numFmtId="0" fontId="22" fillId="0" borderId="0" xfId="0" applyFont="1" applyFill="1"/>
    <xf numFmtId="164" fontId="22" fillId="0" borderId="0" xfId="423" applyNumberFormat="1" applyFont="1" applyFill="1"/>
    <xf numFmtId="0" fontId="22" fillId="0" borderId="0" xfId="0" applyFont="1" applyFill="1" applyAlignment="1">
      <alignment horizontal="left" indent="1"/>
    </xf>
    <xf numFmtId="164" fontId="22" fillId="0" borderId="0" xfId="382" applyNumberFormat="1" applyFont="1" applyFill="1"/>
    <xf numFmtId="0" fontId="22" fillId="0" borderId="0" xfId="0" applyFont="1" applyFill="1" applyAlignment="1">
      <alignment horizontal="left"/>
    </xf>
    <xf numFmtId="164" fontId="22" fillId="0" borderId="0" xfId="0" applyNumberFormat="1" applyFont="1" applyFill="1"/>
    <xf numFmtId="164" fontId="22" fillId="0" borderId="0" xfId="0" applyNumberFormat="1" applyFont="1" applyFill="1" applyBorder="1"/>
    <xf numFmtId="164" fontId="22" fillId="0" borderId="17" xfId="0" applyNumberFormat="1" applyFont="1" applyFill="1" applyBorder="1"/>
    <xf numFmtId="43" fontId="22" fillId="0" borderId="0" xfId="423" applyFont="1" applyFill="1"/>
    <xf numFmtId="9" fontId="63" fillId="0" borderId="0" xfId="674" applyFont="1"/>
    <xf numFmtId="164" fontId="21" fillId="0" borderId="18" xfId="382" applyNumberFormat="1" applyFont="1" applyFill="1" applyBorder="1"/>
    <xf numFmtId="0" fontId="45" fillId="0" borderId="56" xfId="0" applyFont="1" applyFill="1" applyBorder="1" applyAlignment="1">
      <alignment horizontal="center"/>
    </xf>
    <xf numFmtId="0" fontId="45" fillId="50" borderId="57" xfId="0" applyFont="1" applyFill="1" applyBorder="1" applyAlignment="1">
      <alignment horizontal="left"/>
    </xf>
    <xf numFmtId="0" fontId="45" fillId="50" borderId="56" xfId="0" applyFont="1" applyFill="1" applyBorder="1" applyAlignment="1">
      <alignment horizontal="left"/>
    </xf>
    <xf numFmtId="0" fontId="45" fillId="50" borderId="56" xfId="0" applyFont="1" applyFill="1" applyBorder="1" applyAlignment="1"/>
    <xf numFmtId="0" fontId="47" fillId="0" borderId="22" xfId="0" applyFont="1" applyBorder="1"/>
    <xf numFmtId="0" fontId="47" fillId="0" borderId="59" xfId="0" applyFont="1" applyFill="1" applyBorder="1" applyAlignment="1">
      <alignment horizontal="center" wrapText="1"/>
    </xf>
    <xf numFmtId="3" fontId="47" fillId="0" borderId="60" xfId="0" applyNumberFormat="1" applyFont="1" applyBorder="1" applyAlignment="1"/>
    <xf numFmtId="164" fontId="47" fillId="0" borderId="60" xfId="382" applyNumberFormat="1" applyFont="1" applyFill="1" applyBorder="1" applyAlignment="1"/>
    <xf numFmtId="164" fontId="47" fillId="0" borderId="61" xfId="382" applyNumberFormat="1" applyFont="1" applyFill="1" applyBorder="1" applyAlignment="1"/>
    <xf numFmtId="164" fontId="47" fillId="0" borderId="62" xfId="382" applyNumberFormat="1" applyFont="1" applyFill="1" applyBorder="1" applyAlignment="1"/>
    <xf numFmtId="171" fontId="45" fillId="0" borderId="60" xfId="674" applyNumberFormat="1" applyFont="1" applyFill="1" applyBorder="1" applyAlignment="1"/>
    <xf numFmtId="0" fontId="47" fillId="0" borderId="60" xfId="0" applyFont="1" applyFill="1" applyBorder="1"/>
    <xf numFmtId="164" fontId="47" fillId="0" borderId="60" xfId="382" applyNumberFormat="1" applyFont="1" applyFill="1" applyBorder="1"/>
    <xf numFmtId="171" fontId="45" fillId="0" borderId="60" xfId="674" applyNumberFormat="1" applyFont="1" applyBorder="1" applyAlignment="1"/>
    <xf numFmtId="0" fontId="47" fillId="50" borderId="64" xfId="0" applyFont="1" applyFill="1" applyBorder="1" applyAlignment="1">
      <alignment horizontal="center" wrapText="1"/>
    </xf>
    <xf numFmtId="0" fontId="47" fillId="0" borderId="60" xfId="0" applyFont="1" applyFill="1" applyBorder="1" applyAlignment="1">
      <alignment horizontal="center" wrapText="1"/>
    </xf>
    <xf numFmtId="3" fontId="47" fillId="0" borderId="60" xfId="0" applyNumberFormat="1" applyFont="1" applyFill="1" applyBorder="1" applyAlignment="1"/>
    <xf numFmtId="164" fontId="45" fillId="0" borderId="60" xfId="382" applyNumberFormat="1" applyFont="1" applyFill="1" applyBorder="1" applyAlignment="1"/>
    <xf numFmtId="171" fontId="47" fillId="0" borderId="61" xfId="674" applyNumberFormat="1" applyFont="1" applyFill="1" applyBorder="1" applyAlignment="1"/>
    <xf numFmtId="164" fontId="45" fillId="0" borderId="63" xfId="382" applyNumberFormat="1" applyFont="1" applyFill="1" applyBorder="1"/>
    <xf numFmtId="164" fontId="67" fillId="0" borderId="60" xfId="382" applyNumberFormat="1" applyFont="1" applyFill="1" applyBorder="1"/>
    <xf numFmtId="3" fontId="47" fillId="0" borderId="60" xfId="0" applyNumberFormat="1" applyFont="1" applyBorder="1"/>
    <xf numFmtId="171" fontId="47" fillId="0" borderId="61" xfId="0" applyNumberFormat="1" applyFont="1" applyFill="1" applyBorder="1" applyAlignment="1">
      <alignment horizontal="right"/>
    </xf>
    <xf numFmtId="164" fontId="47" fillId="0" borderId="60" xfId="382" applyNumberFormat="1" applyFont="1" applyFill="1" applyBorder="1" applyAlignment="1">
      <alignment horizontal="right"/>
    </xf>
    <xf numFmtId="164" fontId="47" fillId="0" borderId="65" xfId="382" applyNumberFormat="1" applyFont="1" applyFill="1" applyBorder="1" applyAlignment="1">
      <alignment horizontal="right"/>
    </xf>
    <xf numFmtId="3" fontId="47" fillId="0" borderId="60" xfId="0" applyNumberFormat="1" applyFont="1" applyFill="1" applyBorder="1" applyAlignment="1">
      <alignment horizontal="right"/>
    </xf>
    <xf numFmtId="164" fontId="47" fillId="37" borderId="60" xfId="382" applyNumberFormat="1" applyFont="1" applyFill="1" applyBorder="1" applyAlignment="1"/>
    <xf numFmtId="3" fontId="45" fillId="0" borderId="60" xfId="0" applyNumberFormat="1" applyFont="1" applyFill="1" applyBorder="1" applyAlignment="1"/>
    <xf numFmtId="171" fontId="47" fillId="0" borderId="60" xfId="0" applyNumberFormat="1" applyFont="1" applyFill="1" applyBorder="1" applyAlignment="1">
      <alignment horizontal="right"/>
    </xf>
    <xf numFmtId="164" fontId="47" fillId="0" borderId="61" xfId="382" applyNumberFormat="1" applyFont="1" applyFill="1" applyBorder="1" applyAlignment="1">
      <alignment horizontal="right"/>
    </xf>
    <xf numFmtId="164" fontId="47" fillId="0" borderId="58" xfId="382" applyNumberFormat="1" applyFont="1" applyFill="1" applyBorder="1" applyAlignment="1">
      <alignment horizontal="right"/>
    </xf>
    <xf numFmtId="164" fontId="45" fillId="0" borderId="60" xfId="382" applyNumberFormat="1" applyFont="1" applyFill="1" applyBorder="1"/>
    <xf numFmtId="0" fontId="47" fillId="0" borderId="60" xfId="0" applyFont="1" applyBorder="1"/>
    <xf numFmtId="164" fontId="45" fillId="0" borderId="60" xfId="382" applyNumberFormat="1" applyFont="1" applyFill="1" applyBorder="1" applyAlignment="1">
      <alignment horizontal="right"/>
    </xf>
    <xf numFmtId="164" fontId="47" fillId="37" borderId="61" xfId="382" applyNumberFormat="1" applyFont="1" applyFill="1" applyBorder="1" applyAlignment="1"/>
    <xf numFmtId="164" fontId="47" fillId="0" borderId="60" xfId="382" applyNumberFormat="1" applyFont="1" applyBorder="1"/>
    <xf numFmtId="164" fontId="45" fillId="0" borderId="63" xfId="382" applyNumberFormat="1" applyFont="1" applyBorder="1"/>
    <xf numFmtId="164" fontId="47" fillId="50" borderId="65" xfId="382" applyNumberFormat="1" applyFont="1" applyFill="1" applyBorder="1" applyAlignment="1">
      <alignment horizontal="center" wrapText="1"/>
    </xf>
    <xf numFmtId="164" fontId="47" fillId="0" borderId="60" xfId="382" applyNumberFormat="1" applyFont="1" applyFill="1" applyBorder="1" applyAlignment="1">
      <alignment horizontal="center" wrapText="1"/>
    </xf>
    <xf numFmtId="164" fontId="47" fillId="0" borderId="60" xfId="382" applyNumberFormat="1" applyFont="1" applyBorder="1" applyAlignment="1"/>
    <xf numFmtId="164" fontId="49" fillId="0" borderId="60" xfId="382" applyNumberFormat="1" applyFont="1" applyFill="1" applyBorder="1" applyAlignment="1">
      <alignment horizontal="right"/>
    </xf>
    <xf numFmtId="164" fontId="45" fillId="0" borderId="63" xfId="382" applyNumberFormat="1" applyFont="1" applyFill="1" applyBorder="1" applyAlignment="1"/>
    <xf numFmtId="171" fontId="49" fillId="0" borderId="60" xfId="0" applyNumberFormat="1" applyFont="1" applyFill="1" applyBorder="1" applyAlignment="1">
      <alignment horizontal="right"/>
    </xf>
    <xf numFmtId="164" fontId="47" fillId="37" borderId="61" xfId="382" applyNumberFormat="1" applyFont="1" applyFill="1" applyBorder="1" applyAlignment="1">
      <alignment horizontal="right"/>
    </xf>
    <xf numFmtId="37" fontId="47" fillId="0" borderId="61" xfId="382" applyNumberFormat="1" applyFont="1" applyFill="1" applyBorder="1" applyAlignment="1">
      <alignment horizontal="right"/>
    </xf>
    <xf numFmtId="164" fontId="45" fillId="0" borderId="63" xfId="382" applyNumberFormat="1" applyFont="1" applyFill="1" applyBorder="1" applyAlignment="1">
      <alignment horizontal="right"/>
    </xf>
    <xf numFmtId="164" fontId="47" fillId="50" borderId="64" xfId="382" applyNumberFormat="1" applyFont="1" applyFill="1" applyBorder="1" applyAlignment="1">
      <alignment horizontal="center" wrapText="1"/>
    </xf>
    <xf numFmtId="164" fontId="45" fillId="0" borderId="60" xfId="382" applyNumberFormat="1" applyFont="1" applyBorder="1" applyAlignment="1"/>
    <xf numFmtId="164" fontId="47" fillId="0" borderId="61" xfId="382" applyNumberFormat="1" applyFont="1" applyFill="1" applyBorder="1"/>
    <xf numFmtId="0" fontId="47" fillId="50" borderId="65" xfId="0" applyFont="1" applyFill="1" applyBorder="1" applyAlignment="1">
      <alignment horizontal="center" wrapText="1"/>
    </xf>
    <xf numFmtId="37" fontId="47" fillId="0" borderId="60" xfId="0" applyNumberFormat="1" applyFont="1" applyFill="1" applyBorder="1"/>
    <xf numFmtId="10" fontId="47" fillId="0" borderId="60" xfId="674" applyNumberFormat="1" applyFont="1" applyFill="1" applyBorder="1" applyAlignment="1"/>
    <xf numFmtId="10" fontId="47" fillId="0" borderId="60" xfId="0" applyNumberFormat="1" applyFont="1" applyFill="1" applyBorder="1" applyAlignment="1"/>
    <xf numFmtId="10" fontId="47" fillId="0" borderId="61" xfId="674" applyNumberFormat="1" applyFont="1" applyFill="1" applyBorder="1" applyAlignment="1"/>
    <xf numFmtId="10" fontId="45" fillId="0" borderId="60" xfId="674" applyNumberFormat="1" applyFont="1" applyFill="1" applyBorder="1" applyAlignment="1"/>
    <xf numFmtId="166" fontId="45" fillId="0" borderId="60" xfId="0" applyNumberFormat="1" applyFont="1" applyBorder="1" applyAlignment="1"/>
    <xf numFmtId="3" fontId="45" fillId="0" borderId="66" xfId="0" applyNumberFormat="1" applyFont="1" applyBorder="1" applyAlignment="1"/>
    <xf numFmtId="166" fontId="47" fillId="0" borderId="60" xfId="0" applyNumberFormat="1" applyFont="1" applyBorder="1" applyAlignment="1"/>
    <xf numFmtId="10" fontId="47" fillId="37" borderId="60" xfId="0" applyNumberFormat="1" applyFont="1" applyFill="1" applyBorder="1" applyAlignment="1"/>
    <xf numFmtId="10" fontId="47" fillId="0" borderId="60" xfId="0" applyNumberFormat="1" applyFont="1" applyFill="1" applyBorder="1"/>
    <xf numFmtId="10" fontId="47" fillId="0" borderId="60" xfId="0" applyNumberFormat="1" applyFont="1" applyFill="1" applyBorder="1" applyAlignment="1">
      <alignment horizontal="right"/>
    </xf>
    <xf numFmtId="10" fontId="47" fillId="0" borderId="60" xfId="674" applyNumberFormat="1" applyFont="1" applyBorder="1" applyAlignment="1"/>
    <xf numFmtId="164" fontId="47" fillId="0" borderId="60" xfId="382" applyNumberFormat="1" applyFont="1" applyBorder="1" applyAlignment="1">
      <alignment horizontal="right"/>
    </xf>
    <xf numFmtId="164" fontId="45" fillId="0" borderId="62" xfId="382" applyNumberFormat="1" applyFont="1" applyBorder="1"/>
    <xf numFmtId="164" fontId="45" fillId="0" borderId="67" xfId="382" applyNumberFormat="1" applyFont="1" applyFill="1" applyBorder="1"/>
    <xf numFmtId="164" fontId="45" fillId="0" borderId="60" xfId="382" applyNumberFormat="1" applyFont="1" applyBorder="1"/>
    <xf numFmtId="164" fontId="45" fillId="0" borderId="69" xfId="382" applyNumberFormat="1" applyFont="1" applyFill="1" applyBorder="1"/>
    <xf numFmtId="43" fontId="45" fillId="0" borderId="69" xfId="382" applyFont="1" applyBorder="1"/>
    <xf numFmtId="0" fontId="43" fillId="0" borderId="0" xfId="0" applyFont="1" applyFill="1" applyAlignment="1">
      <alignment horizontal="center"/>
    </xf>
    <xf numFmtId="0" fontId="47" fillId="0" borderId="0" xfId="0" applyNumberFormat="1" applyFont="1" applyFill="1" applyAlignment="1">
      <alignment horizontal="left" vertical="top" wrapText="1"/>
    </xf>
    <xf numFmtId="0" fontId="43" fillId="0" borderId="0" xfId="0" applyFont="1" applyFill="1" applyBorder="1" applyAlignment="1">
      <alignment horizontal="left" wrapText="1"/>
    </xf>
    <xf numFmtId="0" fontId="63" fillId="0" borderId="0" xfId="0" applyFont="1" applyFill="1" applyAlignment="1">
      <alignment horizontal="center"/>
    </xf>
    <xf numFmtId="0" fontId="139" fillId="0" borderId="0" xfId="513" applyFont="1" applyFill="1"/>
    <xf numFmtId="43" fontId="43" fillId="0" borderId="0" xfId="382" applyFont="1" applyFill="1" applyBorder="1" applyAlignment="1">
      <alignment horizontal="right"/>
    </xf>
    <xf numFmtId="0" fontId="43" fillId="0" borderId="0" xfId="484" quotePrefix="1" applyFont="1" applyFill="1" applyAlignment="1">
      <alignment horizontal="center" vertical="top"/>
    </xf>
    <xf numFmtId="0" fontId="20" fillId="0" borderId="0" xfId="0" applyFont="1" applyFill="1" applyAlignment="1">
      <alignment horizontal="left"/>
    </xf>
    <xf numFmtId="0" fontId="63" fillId="0" borderId="0" xfId="511" quotePrefix="1" applyFont="1" applyAlignment="1">
      <alignment horizontal="center"/>
    </xf>
    <xf numFmtId="0" fontId="43" fillId="0" borderId="0" xfId="511" quotePrefix="1" applyFont="1" applyFill="1" applyAlignment="1">
      <alignment horizontal="center"/>
    </xf>
    <xf numFmtId="0" fontId="23" fillId="0" borderId="0" xfId="0" quotePrefix="1" applyFont="1" applyFill="1" applyAlignment="1">
      <alignment horizontal="center" vertical="top"/>
    </xf>
    <xf numFmtId="0" fontId="25" fillId="0" borderId="0" xfId="0" applyFont="1" applyFill="1"/>
    <xf numFmtId="0" fontId="63" fillId="0" borderId="0" xfId="511" applyFont="1" applyFill="1" applyAlignment="1">
      <alignment vertical="top" wrapText="1"/>
    </xf>
    <xf numFmtId="43" fontId="26" fillId="0" borderId="18" xfId="382" applyFont="1" applyFill="1" applyBorder="1" applyAlignment="1">
      <alignment horizontal="center" wrapText="1"/>
    </xf>
    <xf numFmtId="0" fontId="139" fillId="0" borderId="0" xfId="511" applyFont="1" applyFill="1" applyAlignment="1">
      <alignment vertical="top" wrapText="1"/>
    </xf>
    <xf numFmtId="0" fontId="26" fillId="0" borderId="0" xfId="11271" applyFont="1" applyFill="1" applyAlignment="1">
      <alignment horizontal="center"/>
    </xf>
    <xf numFmtId="0" fontId="43" fillId="0" borderId="0" xfId="0" applyFont="1" applyFill="1" applyBorder="1" applyAlignment="1">
      <alignment vertical="top" wrapText="1"/>
    </xf>
    <xf numFmtId="0" fontId="63" fillId="0" borderId="0" xfId="11275" applyFont="1" applyFill="1"/>
    <xf numFmtId="0" fontId="63" fillId="0" borderId="0" xfId="569" applyFont="1" applyFill="1" applyBorder="1"/>
    <xf numFmtId="0" fontId="63" fillId="0" borderId="0" xfId="11275" quotePrefix="1" applyFont="1" applyFill="1" applyAlignment="1">
      <alignment horizontal="center"/>
    </xf>
    <xf numFmtId="0" fontId="63" fillId="0" borderId="0" xfId="11275" quotePrefix="1" applyFont="1" applyFill="1" applyAlignment="1">
      <alignment horizontal="center" vertical="top"/>
    </xf>
    <xf numFmtId="0" fontId="43" fillId="0" borderId="16" xfId="0" applyFont="1" applyFill="1" applyBorder="1" applyAlignment="1"/>
    <xf numFmtId="164" fontId="63" fillId="0" borderId="0" xfId="382" applyNumberFormat="1" applyFont="1" applyFill="1" applyBorder="1"/>
    <xf numFmtId="0" fontId="0" fillId="0" borderId="0" xfId="0" applyFill="1" applyAlignment="1">
      <alignment horizontal="center"/>
    </xf>
    <xf numFmtId="0" fontId="63" fillId="0" borderId="0" xfId="0" applyFont="1" applyFill="1" applyAlignment="1">
      <alignment horizontal="left"/>
    </xf>
    <xf numFmtId="0" fontId="0" fillId="0" borderId="0" xfId="0" quotePrefix="1" applyFill="1" applyAlignment="1">
      <alignment horizontal="center" vertical="top"/>
    </xf>
    <xf numFmtId="0" fontId="43" fillId="0" borderId="0" xfId="504" quotePrefix="1" applyFont="1" applyFill="1" applyAlignment="1">
      <alignment horizontal="center" vertical="top"/>
    </xf>
    <xf numFmtId="0" fontId="43" fillId="0" borderId="0" xfId="504" applyFont="1" applyFill="1" applyBorder="1" applyAlignment="1">
      <alignment horizontal="left" wrapText="1"/>
    </xf>
    <xf numFmtId="43" fontId="43" fillId="0" borderId="18" xfId="382" applyFont="1" applyFill="1" applyBorder="1" applyAlignment="1">
      <alignment horizontal="center"/>
    </xf>
    <xf numFmtId="166" fontId="43" fillId="0" borderId="0" xfId="678" applyNumberFormat="1" applyFont="1" applyFill="1" applyBorder="1"/>
    <xf numFmtId="0" fontId="45" fillId="0" borderId="17" xfId="0" applyNumberFormat="1" applyFont="1" applyFill="1" applyBorder="1" applyAlignment="1">
      <alignment horizontal="left"/>
    </xf>
    <xf numFmtId="37" fontId="47" fillId="0" borderId="0" xfId="0" applyNumberFormat="1" applyFont="1" applyFill="1" applyBorder="1" applyAlignment="1">
      <alignment horizontal="center"/>
    </xf>
    <xf numFmtId="3" fontId="45" fillId="0" borderId="5" xfId="0" applyNumberFormat="1" applyFont="1" applyFill="1" applyBorder="1" applyAlignment="1">
      <alignment horizontal="center"/>
    </xf>
    <xf numFmtId="3" fontId="45" fillId="0" borderId="35" xfId="0" applyNumberFormat="1" applyFont="1" applyFill="1" applyBorder="1" applyAlignment="1"/>
    <xf numFmtId="3" fontId="45" fillId="0" borderId="18" xfId="0" applyNumberFormat="1" applyFont="1" applyFill="1" applyBorder="1" applyAlignment="1">
      <alignment horizontal="center"/>
    </xf>
    <xf numFmtId="0" fontId="47" fillId="0" borderId="0" xfId="0" applyNumberFormat="1" applyFont="1" applyFill="1" applyBorder="1" applyAlignment="1">
      <alignment horizontal="left" indent="2"/>
    </xf>
    <xf numFmtId="164" fontId="47" fillId="0" borderId="35" xfId="382" applyNumberFormat="1" applyFont="1" applyFill="1" applyBorder="1"/>
    <xf numFmtId="164" fontId="47" fillId="0" borderId="58" xfId="382" applyNumberFormat="1" applyFont="1" applyFill="1" applyBorder="1"/>
    <xf numFmtId="164" fontId="47" fillId="0" borderId="68" xfId="382" applyNumberFormat="1" applyFont="1" applyFill="1" applyBorder="1"/>
    <xf numFmtId="3" fontId="149" fillId="0" borderId="0" xfId="0" applyNumberFormat="1" applyFont="1" applyFill="1" applyBorder="1" applyAlignment="1">
      <alignment horizontal="center"/>
    </xf>
    <xf numFmtId="164" fontId="45" fillId="0" borderId="35" xfId="382" applyNumberFormat="1" applyFont="1" applyFill="1" applyBorder="1"/>
    <xf numFmtId="0" fontId="47" fillId="0" borderId="18" xfId="0" applyFont="1" applyFill="1" applyBorder="1" applyAlignment="1">
      <alignment horizontal="left" indent="1"/>
    </xf>
    <xf numFmtId="0" fontId="151" fillId="0" borderId="0" xfId="37698" applyFont="1" applyFill="1" applyAlignment="1"/>
    <xf numFmtId="164" fontId="134" fillId="0" borderId="0" xfId="382" applyNumberFormat="1" applyFont="1" applyFill="1" applyAlignment="1"/>
    <xf numFmtId="3" fontId="134" fillId="0" borderId="0" xfId="37698" applyNumberFormat="1" applyFont="1" applyFill="1" applyBorder="1" applyAlignment="1"/>
    <xf numFmtId="192" fontId="111" fillId="0" borderId="0" xfId="382" applyNumberFormat="1" applyFont="1" applyFill="1" applyBorder="1" applyAlignment="1"/>
    <xf numFmtId="0" fontId="111" fillId="0" borderId="0" xfId="37698" applyFont="1" applyFill="1" applyBorder="1" applyAlignment="1">
      <alignment horizontal="left" indent="1"/>
    </xf>
    <xf numFmtId="0" fontId="111" fillId="0" borderId="0" xfId="0" applyNumberFormat="1" applyFont="1" applyFill="1" applyBorder="1" applyAlignment="1">
      <alignment horizontal="left" indent="1"/>
    </xf>
    <xf numFmtId="3" fontId="111" fillId="0" borderId="0" xfId="37696" applyNumberFormat="1" applyFont="1" applyFill="1" applyBorder="1" applyAlignment="1"/>
    <xf numFmtId="0" fontId="111" fillId="0" borderId="0" xfId="382" applyNumberFormat="1" applyFont="1" applyFill="1" applyAlignment="1"/>
    <xf numFmtId="164" fontId="111" fillId="0" borderId="7" xfId="382" applyNumberFormat="1" applyFont="1" applyFill="1" applyBorder="1" applyAlignment="1">
      <alignment vertical="top"/>
    </xf>
    <xf numFmtId="49" fontId="111" fillId="0" borderId="0" xfId="37696" applyNumberFormat="1" applyFont="1" applyFill="1" applyAlignment="1">
      <alignment horizontal="right"/>
    </xf>
    <xf numFmtId="195" fontId="111" fillId="0" borderId="0" xfId="382" applyNumberFormat="1" applyFont="1" applyFill="1" applyBorder="1" applyProtection="1"/>
    <xf numFmtId="169" fontId="111" fillId="0" borderId="0" xfId="37694" quotePrefix="1" applyFont="1" applyFill="1" applyAlignment="1">
      <alignment horizontal="center"/>
    </xf>
    <xf numFmtId="0" fontId="43" fillId="0" borderId="0" xfId="0" applyFont="1" applyFill="1" applyBorder="1" applyAlignment="1">
      <alignment horizontal="left" wrapText="1"/>
    </xf>
    <xf numFmtId="0" fontId="43" fillId="0" borderId="0" xfId="0" applyFont="1" applyFill="1" applyAlignment="1">
      <alignment horizontal="left"/>
    </xf>
    <xf numFmtId="0" fontId="98"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3" fontId="43" fillId="0" borderId="0" xfId="11265" quotePrefix="1" applyNumberFormat="1" applyFont="1" applyFill="1" applyAlignment="1">
      <alignment horizontal="center"/>
    </xf>
    <xf numFmtId="0" fontId="43" fillId="0" borderId="0" xfId="0" applyFont="1" applyFill="1" applyAlignment="1">
      <alignment horizontal="left"/>
    </xf>
    <xf numFmtId="164" fontId="19" fillId="0" borderId="0" xfId="382" applyNumberFormat="1" applyFont="1" applyFill="1"/>
    <xf numFmtId="164" fontId="19" fillId="0" borderId="0" xfId="382" applyNumberFormat="1" applyFont="1" applyFill="1" applyBorder="1"/>
    <xf numFmtId="164" fontId="19" fillId="0" borderId="18" xfId="382" applyNumberFormat="1" applyFont="1" applyFill="1" applyBorder="1"/>
    <xf numFmtId="164" fontId="63" fillId="0" borderId="0" xfId="674" applyNumberFormat="1" applyFont="1"/>
    <xf numFmtId="0" fontId="43" fillId="0" borderId="0" xfId="0" quotePrefix="1" applyFont="1" applyFill="1" applyAlignment="1">
      <alignment horizontal="left"/>
    </xf>
    <xf numFmtId="0" fontId="19" fillId="0" borderId="11" xfId="0" applyFont="1" applyFill="1" applyBorder="1" applyAlignment="1">
      <alignment horizontal="center"/>
    </xf>
    <xf numFmtId="0" fontId="19" fillId="0" borderId="11" xfId="0" applyFont="1" applyBorder="1"/>
    <xf numFmtId="199" fontId="19" fillId="0" borderId="30" xfId="382" applyNumberFormat="1" applyFont="1" applyFill="1" applyBorder="1"/>
    <xf numFmtId="0" fontId="19" fillId="0" borderId="11" xfId="0" applyFont="1" applyFill="1" applyBorder="1"/>
    <xf numFmtId="199" fontId="19" fillId="0" borderId="55" xfId="382" applyNumberFormat="1" applyFont="1" applyFill="1" applyBorder="1"/>
    <xf numFmtId="199" fontId="19" fillId="0" borderId="11" xfId="382" applyNumberFormat="1" applyFont="1" applyFill="1" applyBorder="1"/>
    <xf numFmtId="164" fontId="43" fillId="0" borderId="0" xfId="11275" applyNumberFormat="1" applyFont="1" applyFill="1" applyBorder="1" applyAlignment="1">
      <alignment horizontal="center" vertical="top"/>
    </xf>
    <xf numFmtId="164" fontId="43" fillId="0" borderId="43" xfId="11275" applyNumberFormat="1" applyFont="1" applyFill="1" applyBorder="1" applyAlignment="1">
      <alignment horizontal="center" vertical="top"/>
    </xf>
    <xf numFmtId="164" fontId="43" fillId="0" borderId="54" xfId="11275" applyNumberFormat="1" applyFont="1" applyFill="1" applyBorder="1" applyAlignment="1">
      <alignment horizontal="center" vertical="top"/>
    </xf>
    <xf numFmtId="40" fontId="63" fillId="0" borderId="0" xfId="11275" quotePrefix="1" applyNumberFormat="1" applyFont="1" applyFill="1" applyBorder="1" applyAlignment="1">
      <alignment horizontal="left" vertical="top"/>
    </xf>
    <xf numFmtId="164" fontId="43" fillId="0" borderId="18" xfId="11275" applyNumberFormat="1" applyFont="1" applyFill="1" applyBorder="1" applyAlignment="1">
      <alignment horizontal="center" vertical="top"/>
    </xf>
    <xf numFmtId="0" fontId="63" fillId="0" borderId="18" xfId="11275" applyFont="1" applyFill="1" applyBorder="1"/>
    <xf numFmtId="164" fontId="43" fillId="0" borderId="6" xfId="382" applyNumberFormat="1" applyFont="1" applyFill="1" applyBorder="1" applyAlignment="1">
      <alignment horizontal="center"/>
    </xf>
    <xf numFmtId="43" fontId="63" fillId="0" borderId="6" xfId="382" applyFont="1" applyFill="1" applyBorder="1" applyAlignment="1">
      <alignment horizontal="center"/>
    </xf>
    <xf numFmtId="164" fontId="43" fillId="0" borderId="54" xfId="403" applyNumberFormat="1" applyFont="1" applyFill="1" applyBorder="1"/>
    <xf numFmtId="0" fontId="63" fillId="0" borderId="35" xfId="11275" applyFont="1" applyBorder="1"/>
    <xf numFmtId="0" fontId="63" fillId="0" borderId="35" xfId="11275" applyFont="1" applyFill="1" applyBorder="1"/>
    <xf numFmtId="164" fontId="63" fillId="0" borderId="35" xfId="11275" applyNumberFormat="1" applyFont="1" applyBorder="1"/>
    <xf numFmtId="164" fontId="63" fillId="0" borderId="0" xfId="11275" applyNumberFormat="1" applyFont="1" applyFill="1"/>
    <xf numFmtId="164" fontId="63" fillId="0" borderId="17" xfId="11275" applyNumberFormat="1" applyFont="1" applyBorder="1" applyAlignment="1">
      <alignment horizontal="left"/>
    </xf>
    <xf numFmtId="164" fontId="19" fillId="0" borderId="0" xfId="382" quotePrefix="1" applyNumberFormat="1" applyFont="1" applyFill="1"/>
    <xf numFmtId="164" fontId="19" fillId="0" borderId="0" xfId="382" applyNumberFormat="1" applyFont="1" applyAlignment="1">
      <alignment horizontal="center"/>
    </xf>
    <xf numFmtId="0" fontId="19" fillId="0" borderId="0" xfId="35689" applyFont="1"/>
    <xf numFmtId="164" fontId="19" fillId="0" borderId="0" xfId="382" applyNumberFormat="1" applyFont="1"/>
    <xf numFmtId="0" fontId="124" fillId="0" borderId="0" xfId="35689" applyFont="1"/>
    <xf numFmtId="164" fontId="19" fillId="0" borderId="0" xfId="382" applyNumberFormat="1" applyFont="1" applyFill="1" applyAlignment="1">
      <alignment horizontal="center"/>
    </xf>
    <xf numFmtId="0" fontId="125" fillId="0" borderId="0" xfId="35689" applyFont="1"/>
    <xf numFmtId="164" fontId="43" fillId="0" borderId="54" xfId="382" applyNumberFormat="1" applyFont="1" applyFill="1" applyBorder="1" applyAlignment="1"/>
    <xf numFmtId="164" fontId="43" fillId="0" borderId="54" xfId="0" applyNumberFormat="1" applyFont="1" applyFill="1" applyBorder="1" applyAlignment="1"/>
    <xf numFmtId="0" fontId="44" fillId="37" borderId="0" xfId="0" applyFont="1" applyFill="1" applyAlignment="1"/>
    <xf numFmtId="0" fontId="44" fillId="37" borderId="0" xfId="0" applyFont="1" applyFill="1" applyAlignment="1">
      <alignment wrapText="1"/>
    </xf>
    <xf numFmtId="0" fontId="43" fillId="0" borderId="0" xfId="0" applyFont="1" applyFill="1" applyAlignment="1">
      <alignment horizontal="center"/>
    </xf>
    <xf numFmtId="0" fontId="43" fillId="0" borderId="0" xfId="0" applyFont="1" applyAlignment="1">
      <alignment horizontal="center"/>
    </xf>
    <xf numFmtId="0" fontId="44" fillId="0" borderId="0" xfId="0" applyFont="1" applyAlignment="1">
      <alignment horizontal="center"/>
    </xf>
    <xf numFmtId="0" fontId="43" fillId="0" borderId="0" xfId="0" applyFont="1" applyFill="1" applyAlignment="1">
      <alignment horizontal="left"/>
    </xf>
    <xf numFmtId="43" fontId="130" fillId="0" borderId="0" xfId="382" applyFont="1" applyFill="1" applyAlignment="1">
      <alignment horizontal="center"/>
    </xf>
    <xf numFmtId="0" fontId="63" fillId="0" borderId="0" xfId="0" applyFont="1" applyFill="1" applyAlignment="1">
      <alignment horizontal="center"/>
    </xf>
    <xf numFmtId="0" fontId="43" fillId="0" borderId="0" xfId="484" applyFont="1" applyFill="1" applyAlignment="1">
      <alignment horizontal="center" vertical="top"/>
    </xf>
    <xf numFmtId="0" fontId="18" fillId="0" borderId="0" xfId="11271" applyFont="1" applyFill="1"/>
    <xf numFmtId="0" fontId="18" fillId="0" borderId="0" xfId="11271" applyFont="1" applyFill="1" applyAlignment="1">
      <alignment horizontal="left"/>
    </xf>
    <xf numFmtId="0" fontId="18" fillId="0" borderId="0" xfId="11271" applyFont="1"/>
    <xf numFmtId="2" fontId="18" fillId="0" borderId="0" xfId="11271" applyNumberFormat="1" applyFont="1" applyFill="1" applyAlignment="1">
      <alignment horizontal="left"/>
    </xf>
    <xf numFmtId="49" fontId="18" fillId="0" borderId="0" xfId="11271" applyNumberFormat="1" applyFont="1" applyFill="1"/>
    <xf numFmtId="0" fontId="18" fillId="0" borderId="0" xfId="11271" applyFont="1" applyBorder="1"/>
    <xf numFmtId="164" fontId="18" fillId="0" borderId="0" xfId="382" applyNumberFormat="1" applyFont="1" applyFill="1" applyBorder="1"/>
    <xf numFmtId="164" fontId="18" fillId="0" borderId="0" xfId="382" applyNumberFormat="1" applyFont="1" applyBorder="1"/>
    <xf numFmtId="49" fontId="18" fillId="0" borderId="0" xfId="11271" applyNumberFormat="1" applyFont="1" applyBorder="1"/>
    <xf numFmtId="0" fontId="18" fillId="0" borderId="0" xfId="11271" quotePrefix="1" applyFont="1" applyFill="1" applyAlignment="1">
      <alignment horizontal="center"/>
    </xf>
    <xf numFmtId="43" fontId="18" fillId="0" borderId="0" xfId="382" applyFont="1"/>
    <xf numFmtId="167" fontId="18" fillId="0" borderId="0" xfId="11271" applyNumberFormat="1" applyFont="1"/>
    <xf numFmtId="164" fontId="18" fillId="0" borderId="0" xfId="382" applyNumberFormat="1" applyFont="1" applyFill="1"/>
    <xf numFmtId="164" fontId="18" fillId="0" borderId="0" xfId="11271" applyNumberFormat="1" applyFont="1" applyFill="1"/>
    <xf numFmtId="0" fontId="18" fillId="0" borderId="0" xfId="11271" quotePrefix="1" applyFont="1" applyFill="1" applyAlignment="1">
      <alignment horizontal="center" vertical="top"/>
    </xf>
    <xf numFmtId="0" fontId="18" fillId="0" borderId="0" xfId="11271" applyFont="1" applyFill="1" applyAlignment="1">
      <alignment horizontal="center"/>
    </xf>
    <xf numFmtId="0" fontId="18" fillId="0" borderId="0" xfId="11271" applyFont="1" applyAlignment="1">
      <alignment horizontal="center"/>
    </xf>
    <xf numFmtId="0" fontId="18" fillId="0" borderId="0" xfId="496" applyFont="1" applyAlignment="1">
      <alignment horizontal="left" vertical="top"/>
    </xf>
    <xf numFmtId="164" fontId="18" fillId="0" borderId="0" xfId="382" applyNumberFormat="1" applyFont="1" applyAlignment="1">
      <alignment horizontal="left" vertical="top"/>
    </xf>
    <xf numFmtId="164" fontId="18" fillId="0" borderId="0" xfId="382" applyNumberFormat="1" applyFont="1"/>
    <xf numFmtId="0" fontId="18" fillId="0" borderId="0" xfId="496" applyFont="1" applyAlignment="1">
      <alignment horizontal="center"/>
    </xf>
    <xf numFmtId="0" fontId="18" fillId="0" borderId="0" xfId="496" applyFont="1"/>
    <xf numFmtId="164" fontId="18" fillId="0" borderId="18" xfId="11645" applyNumberFormat="1" applyFont="1" applyFill="1" applyBorder="1"/>
    <xf numFmtId="0" fontId="18" fillId="0" borderId="0" xfId="35157" applyFont="1" applyFill="1" applyBorder="1"/>
    <xf numFmtId="0" fontId="63" fillId="0" borderId="0" xfId="11275" applyFont="1" applyFill="1" applyBorder="1" applyAlignment="1">
      <alignment horizontal="left"/>
    </xf>
    <xf numFmtId="43" fontId="130" fillId="0" borderId="0" xfId="382" applyFont="1" applyFill="1" applyAlignment="1">
      <alignment horizontal="center"/>
    </xf>
    <xf numFmtId="0" fontId="43" fillId="0" borderId="0" xfId="484" applyFont="1" applyFill="1" applyAlignment="1">
      <alignment horizontal="center" vertical="top"/>
    </xf>
    <xf numFmtId="0" fontId="145" fillId="0" borderId="0" xfId="35688" applyFont="1" applyFill="1"/>
    <xf numFmtId="0" fontId="63" fillId="0" borderId="0" xfId="35688" applyFont="1" applyAlignment="1">
      <alignment horizontal="center"/>
    </xf>
    <xf numFmtId="1" fontId="63" fillId="0" borderId="0" xfId="35688" applyNumberFormat="1" applyFont="1" applyFill="1" applyAlignment="1">
      <alignment horizontal="left"/>
    </xf>
    <xf numFmtId="2" fontId="63" fillId="0" borderId="0" xfId="35688" applyNumberFormat="1" applyFont="1" applyFill="1" applyAlignment="1">
      <alignment horizontal="left"/>
    </xf>
    <xf numFmtId="164" fontId="0" fillId="0" borderId="0" xfId="382" applyNumberFormat="1" applyFont="1" applyAlignment="1">
      <alignment horizontal="left"/>
    </xf>
    <xf numFmtId="164" fontId="0" fillId="0" borderId="0" xfId="382" applyNumberFormat="1" applyFont="1"/>
    <xf numFmtId="0" fontId="17" fillId="0" borderId="0" xfId="0" applyFont="1" applyFill="1"/>
    <xf numFmtId="164" fontId="17" fillId="0" borderId="0" xfId="11622" applyNumberFormat="1" applyFont="1" applyFill="1"/>
    <xf numFmtId="0" fontId="63" fillId="0" borderId="0" xfId="35688" applyFont="1"/>
    <xf numFmtId="0" fontId="17" fillId="0" borderId="0" xfId="0" applyFont="1" applyFill="1" applyAlignment="1">
      <alignment horizontal="left" indent="1"/>
    </xf>
    <xf numFmtId="164" fontId="17" fillId="0" borderId="0" xfId="382" applyNumberFormat="1" applyFont="1" applyFill="1"/>
    <xf numFmtId="0" fontId="17" fillId="0" borderId="0" xfId="0" applyFont="1" applyFill="1" applyAlignment="1">
      <alignment horizontal="left"/>
    </xf>
    <xf numFmtId="0" fontId="63" fillId="0" borderId="0" xfId="35688" applyFont="1" applyFill="1"/>
    <xf numFmtId="0" fontId="17" fillId="0" borderId="0" xfId="0" applyFont="1"/>
    <xf numFmtId="164" fontId="17" fillId="0" borderId="0" xfId="0" applyNumberFormat="1" applyFont="1" applyFill="1"/>
    <xf numFmtId="164" fontId="17" fillId="0" borderId="0" xfId="0" applyNumberFormat="1" applyFont="1" applyFill="1" applyBorder="1"/>
    <xf numFmtId="164" fontId="17" fillId="0" borderId="17" xfId="0" applyNumberFormat="1" applyFont="1" applyFill="1" applyBorder="1"/>
    <xf numFmtId="0" fontId="63" fillId="0" borderId="0" xfId="35688" applyFont="1" applyFill="1" applyAlignment="1">
      <alignment horizontal="left"/>
    </xf>
    <xf numFmtId="43" fontId="17" fillId="0" borderId="0" xfId="11622" applyFont="1" applyFill="1"/>
    <xf numFmtId="41" fontId="43" fillId="0" borderId="0" xfId="484" applyNumberFormat="1" applyFont="1" applyAlignment="1">
      <alignment vertical="top"/>
    </xf>
    <xf numFmtId="43" fontId="63" fillId="0" borderId="0" xfId="11622" applyFont="1"/>
    <xf numFmtId="164" fontId="43" fillId="37" borderId="54" xfId="0" applyNumberFormat="1" applyFont="1" applyFill="1" applyBorder="1" applyAlignment="1"/>
    <xf numFmtId="164" fontId="43" fillId="37" borderId="45" xfId="0" applyNumberFormat="1" applyFont="1" applyFill="1" applyBorder="1" applyAlignment="1"/>
    <xf numFmtId="0" fontId="43" fillId="37" borderId="18" xfId="0" applyFont="1" applyFill="1" applyBorder="1" applyAlignment="1"/>
    <xf numFmtId="0" fontId="43" fillId="37" borderId="37" xfId="0" applyFont="1" applyFill="1" applyBorder="1" applyAlignment="1"/>
    <xf numFmtId="164" fontId="43" fillId="37" borderId="18" xfId="382" applyNumberFormat="1" applyFont="1" applyFill="1" applyBorder="1" applyAlignment="1"/>
    <xf numFmtId="164" fontId="44" fillId="37" borderId="0" xfId="0" applyNumberFormat="1" applyFont="1" applyFill="1" applyBorder="1" applyAlignment="1"/>
    <xf numFmtId="164" fontId="44" fillId="37" borderId="54" xfId="0" applyNumberFormat="1" applyFont="1" applyFill="1" applyBorder="1" applyAlignment="1"/>
    <xf numFmtId="0" fontId="44" fillId="37" borderId="35" xfId="0" applyFont="1" applyFill="1" applyBorder="1" applyAlignment="1"/>
    <xf numFmtId="164" fontId="44" fillId="37" borderId="54" xfId="382" applyNumberFormat="1" applyFont="1" applyFill="1" applyBorder="1" applyAlignment="1"/>
    <xf numFmtId="0" fontId="44" fillId="37" borderId="0" xfId="0" applyFont="1" applyFill="1" applyBorder="1" applyAlignment="1"/>
    <xf numFmtId="0" fontId="43" fillId="37" borderId="35" xfId="0" applyFont="1" applyFill="1" applyBorder="1" applyAlignment="1"/>
    <xf numFmtId="164" fontId="43" fillId="37" borderId="54" xfId="382" applyNumberFormat="1" applyFont="1" applyFill="1" applyBorder="1" applyAlignment="1"/>
    <xf numFmtId="187" fontId="43" fillId="0" borderId="0" xfId="0" applyNumberFormat="1" applyFont="1" applyFill="1" applyBorder="1" applyAlignment="1">
      <alignment horizontal="left" vertical="top"/>
    </xf>
    <xf numFmtId="0" fontId="43" fillId="0" borderId="28" xfId="0" applyFont="1" applyFill="1" applyBorder="1"/>
    <xf numFmtId="164" fontId="26" fillId="0" borderId="18" xfId="11271" applyNumberFormat="1" applyFont="1" applyBorder="1"/>
    <xf numFmtId="0" fontId="43" fillId="37" borderId="18" xfId="0" applyFont="1" applyFill="1" applyBorder="1"/>
    <xf numFmtId="0" fontId="43" fillId="0" borderId="0" xfId="35688" applyFont="1" applyFill="1" applyAlignment="1">
      <alignment horizontal="left"/>
    </xf>
    <xf numFmtId="169" fontId="43" fillId="0" borderId="0" xfId="512" applyFont="1" applyFill="1" applyAlignment="1">
      <alignment horizontal="left"/>
    </xf>
    <xf numFmtId="169" fontId="43" fillId="0" borderId="0" xfId="512" quotePrefix="1" applyFont="1" applyFill="1" applyAlignment="1">
      <alignment horizontal="left"/>
    </xf>
    <xf numFmtId="0" fontId="43" fillId="0" borderId="0" xfId="0" applyFont="1" applyFill="1" applyAlignment="1">
      <alignment horizontal="center"/>
    </xf>
    <xf numFmtId="0" fontId="43" fillId="0" borderId="0" xfId="0" applyFont="1" applyFill="1" applyAlignment="1">
      <alignment horizontal="left"/>
    </xf>
    <xf numFmtId="0" fontId="16" fillId="0" borderId="0" xfId="0" applyFont="1" applyFill="1" applyAlignment="1">
      <alignment horizontal="left" indent="1"/>
    </xf>
    <xf numFmtId="0" fontId="16" fillId="0" borderId="0" xfId="0" applyFont="1" applyFill="1" applyAlignment="1">
      <alignment horizontal="left"/>
    </xf>
    <xf numFmtId="0" fontId="43" fillId="0" borderId="0" xfId="0" applyFont="1" applyFill="1" applyAlignment="1">
      <alignment horizontal="left"/>
    </xf>
    <xf numFmtId="164" fontId="150" fillId="0" borderId="0" xfId="382" applyNumberFormat="1" applyFont="1" applyFill="1" applyAlignment="1"/>
    <xf numFmtId="164" fontId="111" fillId="0" borderId="17" xfId="382" applyNumberFormat="1" applyFont="1" applyFill="1" applyBorder="1" applyAlignment="1" applyProtection="1">
      <alignment horizontal="right"/>
      <protection locked="0"/>
    </xf>
    <xf numFmtId="2" fontId="43" fillId="37" borderId="0" xfId="0" applyNumberFormat="1" applyFont="1" applyFill="1" applyAlignment="1">
      <alignment horizontal="left" vertical="top"/>
    </xf>
    <xf numFmtId="2" fontId="43" fillId="37" borderId="0" xfId="0" applyNumberFormat="1" applyFont="1" applyFill="1" applyAlignment="1">
      <alignment horizontal="center" vertical="top"/>
    </xf>
    <xf numFmtId="2" fontId="43" fillId="37" borderId="0" xfId="0" applyNumberFormat="1" applyFont="1" applyFill="1" applyAlignment="1">
      <alignment horizontal="left"/>
    </xf>
    <xf numFmtId="0" fontId="43" fillId="0" borderId="0" xfId="0" applyFont="1" applyFill="1" applyAlignment="1">
      <alignment horizontal="center"/>
    </xf>
    <xf numFmtId="0" fontId="43" fillId="0" borderId="0" xfId="504" applyFont="1" applyFill="1" applyBorder="1" applyAlignment="1">
      <alignment horizontal="left"/>
    </xf>
    <xf numFmtId="0" fontId="43" fillId="0" borderId="0" xfId="0" applyFont="1" applyFill="1" applyBorder="1" applyAlignment="1">
      <alignment horizontal="left" wrapText="1"/>
    </xf>
    <xf numFmtId="0" fontId="63" fillId="0" borderId="0" xfId="0" applyFont="1" applyFill="1" applyAlignment="1">
      <alignment horizontal="center"/>
    </xf>
    <xf numFmtId="0" fontId="43" fillId="0" borderId="0" xfId="484" applyFont="1" applyFill="1" applyAlignment="1">
      <alignment horizontal="center" vertical="top"/>
    </xf>
    <xf numFmtId="0" fontId="63" fillId="0" borderId="45" xfId="569" applyFont="1" applyBorder="1" applyAlignment="1">
      <alignment horizontal="center"/>
    </xf>
    <xf numFmtId="0" fontId="63" fillId="0" borderId="18" xfId="569" applyFont="1" applyBorder="1" applyAlignment="1">
      <alignment horizontal="center"/>
    </xf>
    <xf numFmtId="0" fontId="43" fillId="0" borderId="0" xfId="484" quotePrefix="1" applyFont="1" applyFill="1" applyAlignment="1">
      <alignment horizontal="left" vertical="top" indent="1"/>
    </xf>
    <xf numFmtId="0" fontId="43" fillId="0" borderId="0" xfId="484" quotePrefix="1" applyFont="1" applyFill="1" applyAlignment="1">
      <alignment horizontal="left" vertical="top" indent="2"/>
    </xf>
    <xf numFmtId="0" fontId="43" fillId="0" borderId="0" xfId="484" applyFont="1" applyFill="1" applyAlignment="1">
      <alignment horizontal="left" vertical="top" indent="1"/>
    </xf>
    <xf numFmtId="0" fontId="43" fillId="0" borderId="0" xfId="0" applyNumberFormat="1" applyFont="1" applyFill="1" applyBorder="1" applyAlignment="1">
      <alignment horizontal="left" indent="1"/>
    </xf>
    <xf numFmtId="164" fontId="43" fillId="0" borderId="0" xfId="382" quotePrefix="1" applyNumberFormat="1" applyFont="1" applyFill="1" applyAlignment="1"/>
    <xf numFmtId="164" fontId="43" fillId="0" borderId="0" xfId="382" applyNumberFormat="1" applyFont="1" applyAlignment="1">
      <alignment horizontal="center"/>
    </xf>
    <xf numFmtId="164" fontId="43" fillId="0" borderId="18" xfId="382" applyNumberFormat="1" applyFont="1" applyBorder="1" applyAlignment="1">
      <alignment horizontal="center" wrapText="1"/>
    </xf>
    <xf numFmtId="0" fontId="43" fillId="37" borderId="0" xfId="504" applyFont="1" applyFill="1" applyBorder="1"/>
    <xf numFmtId="0" fontId="43" fillId="37" borderId="0" xfId="504" applyFont="1" applyFill="1" applyAlignment="1">
      <alignment horizontal="left"/>
    </xf>
    <xf numFmtId="0" fontId="43" fillId="37" borderId="0" xfId="0" applyFont="1" applyFill="1" applyAlignment="1">
      <alignment horizontal="left" indent="1"/>
    </xf>
    <xf numFmtId="187" fontId="43" fillId="37" borderId="0" xfId="510" applyNumberFormat="1" applyFont="1" applyFill="1" applyBorder="1" applyAlignment="1">
      <alignment horizontal="left" vertical="center"/>
    </xf>
    <xf numFmtId="0" fontId="43" fillId="37" borderId="0" xfId="504" applyFont="1" applyFill="1"/>
    <xf numFmtId="0" fontId="43" fillId="37" borderId="18" xfId="504" applyFont="1" applyFill="1" applyBorder="1"/>
    <xf numFmtId="43" fontId="43" fillId="0" borderId="0" xfId="382" applyFont="1" applyFill="1" applyBorder="1" applyAlignment="1">
      <alignment horizontal="left" indent="1"/>
    </xf>
    <xf numFmtId="0" fontId="43" fillId="37" borderId="0" xfId="504" applyFont="1" applyFill="1" applyBorder="1" applyAlignment="1">
      <alignment horizontal="left"/>
    </xf>
    <xf numFmtId="164" fontId="43" fillId="37" borderId="0" xfId="382" applyNumberFormat="1" applyFont="1" applyFill="1" applyBorder="1" applyAlignment="1"/>
    <xf numFmtId="0" fontId="43" fillId="0" borderId="0" xfId="0" applyFont="1" applyFill="1" applyAlignment="1">
      <alignment wrapText="1"/>
    </xf>
    <xf numFmtId="49" fontId="18" fillId="37" borderId="0" xfId="11271" applyNumberFormat="1" applyFont="1" applyFill="1"/>
    <xf numFmtId="0" fontId="18" fillId="37" borderId="0" xfId="11271" applyFont="1" applyFill="1"/>
    <xf numFmtId="49" fontId="18" fillId="37" borderId="18" xfId="11271" applyNumberFormat="1" applyFont="1" applyFill="1" applyBorder="1"/>
    <xf numFmtId="2" fontId="26" fillId="37" borderId="0" xfId="11271" applyNumberFormat="1" applyFont="1" applyFill="1" applyAlignment="1">
      <alignment horizontal="left"/>
    </xf>
    <xf numFmtId="0" fontId="43" fillId="37" borderId="0" xfId="484" applyFont="1" applyFill="1" applyAlignment="1">
      <alignment horizontal="left" vertical="top" indent="2"/>
    </xf>
    <xf numFmtId="0" fontId="43" fillId="37" borderId="18" xfId="484" applyFont="1" applyFill="1" applyBorder="1" applyAlignment="1">
      <alignment horizontal="left" vertical="top" indent="2"/>
    </xf>
    <xf numFmtId="187" fontId="0" fillId="37" borderId="0" xfId="0" applyNumberFormat="1" applyFill="1" applyAlignment="1">
      <alignment horizontal="left"/>
    </xf>
    <xf numFmtId="164" fontId="63" fillId="37" borderId="0" xfId="382" applyNumberFormat="1" applyFont="1" applyFill="1" applyBorder="1" applyAlignment="1">
      <alignment horizontal="center"/>
    </xf>
    <xf numFmtId="164" fontId="63" fillId="37" borderId="18" xfId="382" applyNumberFormat="1" applyFont="1" applyFill="1" applyBorder="1" applyAlignment="1">
      <alignment horizontal="center"/>
    </xf>
    <xf numFmtId="2" fontId="43" fillId="37" borderId="0" xfId="512" applyNumberFormat="1" applyFont="1" applyFill="1" applyAlignment="1">
      <alignment horizontal="left"/>
    </xf>
    <xf numFmtId="169" fontId="43" fillId="37" borderId="0" xfId="512" applyFont="1" applyFill="1" applyAlignment="1">
      <alignment horizontal="left"/>
    </xf>
    <xf numFmtId="164" fontId="0" fillId="37" borderId="0" xfId="0" applyNumberFormat="1" applyFill="1"/>
    <xf numFmtId="164" fontId="19" fillId="37" borderId="0" xfId="382" applyNumberFormat="1" applyFont="1" applyFill="1" applyAlignment="1">
      <alignment horizontal="center"/>
    </xf>
    <xf numFmtId="169" fontId="43" fillId="37" borderId="0" xfId="512" applyFont="1" applyFill="1" applyAlignment="1">
      <alignment horizontal="left" indent="1"/>
    </xf>
    <xf numFmtId="164" fontId="19" fillId="37" borderId="18" xfId="382" quotePrefix="1" applyNumberFormat="1" applyFont="1" applyFill="1" applyBorder="1"/>
    <xf numFmtId="164" fontId="130" fillId="37" borderId="18" xfId="382" applyNumberFormat="1" applyFont="1" applyFill="1" applyBorder="1" applyAlignment="1">
      <alignment horizontal="center"/>
    </xf>
    <xf numFmtId="0" fontId="43" fillId="37" borderId="0" xfId="35688" applyFont="1" applyFill="1" applyAlignment="1">
      <alignment horizontal="left" indent="1"/>
    </xf>
    <xf numFmtId="164" fontId="63" fillId="37" borderId="0" xfId="382" applyNumberFormat="1" applyFont="1" applyFill="1" applyBorder="1" applyAlignment="1">
      <alignment horizontal="left"/>
    </xf>
    <xf numFmtId="164" fontId="63" fillId="37" borderId="18" xfId="382" applyNumberFormat="1" applyFont="1" applyFill="1" applyBorder="1" applyAlignment="1">
      <alignment horizontal="left"/>
    </xf>
    <xf numFmtId="0" fontId="63" fillId="37" borderId="0" xfId="11275" applyFont="1" applyFill="1" applyBorder="1" applyAlignment="1">
      <alignment horizontal="left"/>
    </xf>
    <xf numFmtId="164" fontId="63" fillId="37" borderId="35" xfId="382" applyNumberFormat="1" applyFont="1" applyFill="1" applyBorder="1" applyAlignment="1">
      <alignment horizontal="left"/>
    </xf>
    <xf numFmtId="0" fontId="63" fillId="37" borderId="18" xfId="11275" applyFont="1" applyFill="1" applyBorder="1" applyAlignment="1">
      <alignment horizontal="left"/>
    </xf>
    <xf numFmtId="164" fontId="63" fillId="37" borderId="37" xfId="382" applyNumberFormat="1" applyFont="1" applyFill="1" applyBorder="1" applyAlignment="1">
      <alignment horizontal="left"/>
    </xf>
    <xf numFmtId="43" fontId="16" fillId="0" borderId="18" xfId="382" applyFont="1" applyFill="1" applyBorder="1" applyAlignment="1">
      <alignment horizontal="center" wrapText="1"/>
    </xf>
    <xf numFmtId="0" fontId="63" fillId="0" borderId="18" xfId="511" applyFont="1" applyFill="1" applyBorder="1" applyAlignment="1">
      <alignment horizontal="center" wrapText="1"/>
    </xf>
    <xf numFmtId="164" fontId="26" fillId="37" borderId="0" xfId="382" applyNumberFormat="1" applyFont="1" applyFill="1"/>
    <xf numFmtId="2" fontId="63" fillId="37" borderId="0" xfId="511" applyNumberFormat="1" applyFont="1" applyFill="1" applyAlignment="1">
      <alignment horizontal="left"/>
    </xf>
    <xf numFmtId="164" fontId="63" fillId="37" borderId="0" xfId="382" applyNumberFormat="1" applyFont="1" applyFill="1"/>
    <xf numFmtId="43" fontId="23" fillId="0" borderId="0" xfId="423" applyFont="1" applyFill="1" applyAlignment="1">
      <alignment horizontal="center"/>
    </xf>
    <xf numFmtId="0" fontId="17" fillId="0" borderId="0" xfId="0" applyFont="1" applyFill="1" applyAlignment="1">
      <alignment horizontal="center"/>
    </xf>
    <xf numFmtId="43" fontId="17" fillId="0" borderId="0" xfId="11622" applyFont="1" applyFill="1" applyAlignment="1">
      <alignment horizontal="center"/>
    </xf>
    <xf numFmtId="3" fontId="43" fillId="0" borderId="0" xfId="474" applyNumberFormat="1" applyFont="1" applyFill="1" applyAlignment="1">
      <alignment horizontal="left"/>
    </xf>
    <xf numFmtId="43" fontId="22" fillId="0" borderId="0" xfId="423" applyFont="1" applyFill="1" applyAlignment="1">
      <alignment horizontal="center"/>
    </xf>
    <xf numFmtId="41" fontId="43" fillId="37" borderId="0" xfId="484" applyNumberFormat="1" applyFont="1" applyFill="1" applyBorder="1" applyAlignment="1">
      <alignment vertical="top"/>
    </xf>
    <xf numFmtId="0" fontId="19" fillId="37" borderId="0" xfId="11271" applyFont="1" applyFill="1" applyAlignment="1">
      <alignment horizontal="left"/>
    </xf>
    <xf numFmtId="164" fontId="19" fillId="37" borderId="0" xfId="11271" applyNumberFormat="1" applyFont="1" applyFill="1"/>
    <xf numFmtId="164" fontId="19" fillId="37" borderId="18" xfId="11271" applyNumberFormat="1" applyFont="1" applyFill="1" applyBorder="1"/>
    <xf numFmtId="0" fontId="43" fillId="37" borderId="11" xfId="0" applyFont="1" applyFill="1" applyBorder="1"/>
    <xf numFmtId="199" fontId="43" fillId="37" borderId="11" xfId="382" applyNumberFormat="1" applyFont="1" applyFill="1" applyBorder="1"/>
    <xf numFmtId="199" fontId="43" fillId="37" borderId="11" xfId="382" applyNumberFormat="1" applyFont="1" applyFill="1" applyBorder="1" applyAlignment="1">
      <alignment horizontal="right"/>
    </xf>
    <xf numFmtId="199" fontId="43" fillId="37" borderId="30" xfId="382" applyNumberFormat="1" applyFont="1" applyFill="1" applyBorder="1"/>
    <xf numFmtId="199" fontId="43" fillId="37" borderId="27" xfId="382" applyNumberFormat="1" applyFont="1" applyFill="1" applyBorder="1"/>
    <xf numFmtId="199" fontId="43" fillId="37" borderId="27" xfId="382" applyNumberFormat="1" applyFont="1" applyFill="1" applyBorder="1" applyAlignment="1">
      <alignment horizontal="right"/>
    </xf>
    <xf numFmtId="2" fontId="43" fillId="37" borderId="0" xfId="474" applyNumberFormat="1" applyFont="1" applyFill="1" applyAlignment="1">
      <alignment horizontal="left" vertical="top"/>
    </xf>
    <xf numFmtId="0" fontId="43" fillId="37" borderId="27" xfId="0" applyFont="1" applyFill="1" applyBorder="1"/>
    <xf numFmtId="0" fontId="43" fillId="37" borderId="0" xfId="474" applyFont="1" applyFill="1" applyAlignment="1">
      <alignment horizontal="left" vertical="top"/>
    </xf>
    <xf numFmtId="199" fontId="19" fillId="37" borderId="11" xfId="382" applyNumberFormat="1" applyFont="1" applyFill="1" applyBorder="1"/>
    <xf numFmtId="199" fontId="19" fillId="37" borderId="11" xfId="382" applyNumberFormat="1" applyFont="1" applyFill="1" applyBorder="1" applyAlignment="1">
      <alignment horizontal="right"/>
    </xf>
    <xf numFmtId="187" fontId="43" fillId="37" borderId="0" xfId="0" applyNumberFormat="1" applyFont="1" applyFill="1" applyBorder="1" applyAlignment="1">
      <alignment horizontal="left" vertical="top"/>
    </xf>
    <xf numFmtId="164" fontId="43" fillId="37" borderId="0" xfId="13644" applyNumberFormat="1" applyFont="1" applyFill="1"/>
    <xf numFmtId="0" fontId="43" fillId="37" borderId="0" xfId="0" applyFont="1" applyFill="1" applyBorder="1" applyAlignment="1">
      <alignment horizontal="left" vertical="top"/>
    </xf>
    <xf numFmtId="0" fontId="18" fillId="37" borderId="0" xfId="35157" applyFont="1" applyFill="1" applyBorder="1"/>
    <xf numFmtId="164" fontId="18" fillId="37" borderId="0" xfId="382" applyNumberFormat="1" applyFont="1" applyFill="1" applyBorder="1"/>
    <xf numFmtId="2" fontId="43" fillId="37" borderId="0" xfId="0" applyNumberFormat="1" applyFont="1" applyFill="1" applyAlignment="1">
      <alignment horizontal="center"/>
    </xf>
    <xf numFmtId="164" fontId="43" fillId="37" borderId="0" xfId="382" applyNumberFormat="1" applyFont="1" applyFill="1" applyBorder="1" applyProtection="1">
      <protection locked="0"/>
    </xf>
    <xf numFmtId="2" fontId="18" fillId="37" borderId="0" xfId="11271" applyNumberFormat="1" applyFont="1" applyFill="1" applyAlignment="1">
      <alignment horizontal="left"/>
    </xf>
    <xf numFmtId="43" fontId="111" fillId="37" borderId="0" xfId="382" applyFont="1" applyFill="1" applyProtection="1">
      <protection locked="0"/>
    </xf>
    <xf numFmtId="0" fontId="43" fillId="0" borderId="0" xfId="0" applyFont="1" applyFill="1" applyAlignment="1">
      <alignment horizontal="center"/>
    </xf>
    <xf numFmtId="0" fontId="43" fillId="0" borderId="0" xfId="0" applyFont="1" applyFill="1" applyAlignment="1">
      <alignment horizontal="left"/>
    </xf>
    <xf numFmtId="164" fontId="47" fillId="0" borderId="11" xfId="382" applyNumberFormat="1" applyFont="1" applyFill="1" applyBorder="1" applyAlignment="1"/>
    <xf numFmtId="164" fontId="47" fillId="0" borderId="65" xfId="382" applyNumberFormat="1" applyFont="1" applyFill="1" applyBorder="1" applyAlignment="1"/>
    <xf numFmtId="0" fontId="47" fillId="0" borderId="6" xfId="0" applyNumberFormat="1" applyFont="1" applyFill="1" applyBorder="1" applyAlignment="1">
      <alignment horizontal="center"/>
    </xf>
    <xf numFmtId="0" fontId="47" fillId="0" borderId="6" xfId="0" applyFont="1" applyFill="1" applyBorder="1"/>
    <xf numFmtId="0" fontId="47" fillId="0" borderId="6" xfId="0" applyFont="1" applyFill="1" applyBorder="1" applyAlignment="1">
      <alignment horizontal="center"/>
    </xf>
    <xf numFmtId="171" fontId="45" fillId="0" borderId="27" xfId="674" applyNumberFormat="1" applyFont="1" applyFill="1" applyBorder="1" applyAlignment="1"/>
    <xf numFmtId="0" fontId="47" fillId="0" borderId="37" xfId="0" applyNumberFormat="1" applyFont="1" applyFill="1" applyBorder="1" applyAlignment="1"/>
    <xf numFmtId="170" fontId="47" fillId="0" borderId="26" xfId="382" applyNumberFormat="1" applyFont="1" applyFill="1" applyBorder="1" applyAlignment="1"/>
    <xf numFmtId="3" fontId="51" fillId="0" borderId="26" xfId="0" applyNumberFormat="1" applyFont="1" applyFill="1" applyBorder="1" applyAlignment="1">
      <alignment horizontal="right"/>
    </xf>
    <xf numFmtId="3" fontId="51" fillId="0" borderId="60" xfId="0" applyNumberFormat="1" applyFont="1" applyFill="1" applyBorder="1" applyAlignment="1">
      <alignment horizontal="right"/>
    </xf>
    <xf numFmtId="10" fontId="47" fillId="0" borderId="30" xfId="674" applyNumberFormat="1" applyFont="1" applyFill="1" applyBorder="1"/>
    <xf numFmtId="39" fontId="45" fillId="0" borderId="60" xfId="0" applyNumberFormat="1" applyFont="1" applyFill="1" applyBorder="1" applyAlignment="1">
      <alignment horizontal="right"/>
    </xf>
    <xf numFmtId="1" fontId="47" fillId="0" borderId="22" xfId="0" applyNumberFormat="1" applyFont="1" applyFill="1" applyBorder="1" applyAlignment="1">
      <alignment horizontal="center"/>
    </xf>
    <xf numFmtId="194" fontId="111" fillId="0" borderId="0" xfId="37695" applyNumberFormat="1" applyFont="1" applyFill="1" applyAlignment="1">
      <alignment horizontal="right"/>
    </xf>
    <xf numFmtId="10" fontId="111" fillId="0" borderId="0" xfId="382" applyNumberFormat="1" applyFont="1" applyFill="1" applyAlignment="1"/>
    <xf numFmtId="17" fontId="43" fillId="0" borderId="0" xfId="517" applyNumberFormat="1" applyFont="1" applyFill="1" applyBorder="1"/>
    <xf numFmtId="164" fontId="43" fillId="0" borderId="0" xfId="382" applyNumberFormat="1" applyFont="1" applyFill="1" applyBorder="1" applyAlignment="1">
      <alignment horizontal="right"/>
    </xf>
    <xf numFmtId="43" fontId="15" fillId="0" borderId="0" xfId="382" applyFont="1" applyFill="1"/>
    <xf numFmtId="43" fontId="15" fillId="0" borderId="0" xfId="382" applyFont="1" applyFill="1" applyAlignment="1">
      <alignment horizontal="center"/>
    </xf>
    <xf numFmtId="0" fontId="43" fillId="0" borderId="0" xfId="35689" applyFont="1"/>
    <xf numFmtId="0" fontId="91" fillId="0" borderId="0" xfId="0" applyFont="1" applyFill="1" applyAlignment="1">
      <alignment horizontal="right"/>
    </xf>
    <xf numFmtId="37" fontId="91" fillId="0" borderId="0" xfId="0" applyNumberFormat="1" applyFont="1" applyFill="1" applyAlignment="1">
      <alignment horizontal="right"/>
    </xf>
    <xf numFmtId="43" fontId="14" fillId="0" borderId="18" xfId="382" applyFont="1" applyFill="1" applyBorder="1"/>
    <xf numFmtId="199" fontId="43" fillId="0" borderId="27" xfId="382" applyNumberFormat="1" applyFont="1" applyFill="1" applyBorder="1" applyAlignment="1">
      <alignment horizontal="right"/>
    </xf>
    <xf numFmtId="199" fontId="43" fillId="0" borderId="28" xfId="382" applyNumberFormat="1" applyFont="1" applyFill="1" applyBorder="1" applyAlignment="1">
      <alignment horizontal="right"/>
    </xf>
    <xf numFmtId="199" fontId="19" fillId="0" borderId="11" xfId="382" applyNumberFormat="1" applyFont="1" applyFill="1" applyBorder="1" applyAlignment="1">
      <alignment horizontal="right"/>
    </xf>
    <xf numFmtId="164" fontId="111" fillId="53" borderId="0" xfId="382" applyNumberFormat="1" applyFont="1" applyFill="1" applyAlignment="1"/>
    <xf numFmtId="169" fontId="111" fillId="53" borderId="0" xfId="37694" applyFont="1" applyFill="1" applyAlignment="1"/>
    <xf numFmtId="43" fontId="111" fillId="53" borderId="0" xfId="382" applyNumberFormat="1" applyFont="1" applyFill="1" applyAlignment="1"/>
    <xf numFmtId="164" fontId="133" fillId="53" borderId="0" xfId="382" applyNumberFormat="1" applyFont="1" applyFill="1"/>
    <xf numFmtId="3" fontId="111" fillId="53" borderId="0" xfId="37696" applyNumberFormat="1" applyFont="1" applyFill="1" applyAlignment="1"/>
    <xf numFmtId="168" fontId="111" fillId="53" borderId="0" xfId="37696" applyNumberFormat="1" applyFont="1" applyFill="1" applyAlignment="1">
      <alignment horizontal="center"/>
    </xf>
    <xf numFmtId="171" fontId="111" fillId="53" borderId="0" xfId="674" applyNumberFormat="1" applyFont="1" applyFill="1" applyAlignment="1"/>
    <xf numFmtId="194" fontId="111" fillId="53" borderId="0" xfId="37696" applyNumberFormat="1" applyFont="1" applyFill="1" applyAlignment="1"/>
    <xf numFmtId="168" fontId="111" fillId="53" borderId="0" xfId="37696" applyNumberFormat="1" applyFont="1" applyFill="1" applyAlignment="1">
      <alignment horizontal="right"/>
    </xf>
    <xf numFmtId="10" fontId="111" fillId="53" borderId="0" xfId="674" applyNumberFormat="1" applyFont="1" applyFill="1" applyAlignment="1"/>
    <xf numFmtId="3" fontId="134" fillId="53" borderId="0" xfId="37696" applyNumberFormat="1" applyFont="1" applyFill="1" applyAlignment="1"/>
    <xf numFmtId="164" fontId="134" fillId="53" borderId="0" xfId="382" applyNumberFormat="1" applyFont="1" applyFill="1" applyAlignment="1"/>
    <xf numFmtId="168" fontId="134" fillId="53" borderId="0" xfId="37696" applyNumberFormat="1" applyFont="1" applyFill="1" applyAlignment="1">
      <alignment horizontal="center"/>
    </xf>
    <xf numFmtId="164" fontId="111" fillId="53" borderId="18" xfId="382" applyNumberFormat="1" applyFont="1" applyFill="1" applyBorder="1" applyAlignment="1"/>
    <xf numFmtId="0" fontId="111" fillId="53" borderId="0" xfId="37696" applyNumberFormat="1" applyFont="1" applyFill="1"/>
    <xf numFmtId="164" fontId="111" fillId="53" borderId="40" xfId="382" applyNumberFormat="1" applyFont="1" applyFill="1" applyBorder="1" applyAlignment="1"/>
    <xf numFmtId="0" fontId="98" fillId="53" borderId="0" xfId="37696" applyNumberFormat="1" applyFont="1" applyFill="1" applyAlignment="1" applyProtection="1">
      <alignment horizontal="center"/>
      <protection locked="0"/>
    </xf>
    <xf numFmtId="171" fontId="111" fillId="53" borderId="0" xfId="37696" applyNumberFormat="1" applyFont="1" applyFill="1" applyAlignment="1"/>
    <xf numFmtId="171" fontId="111" fillId="53" borderId="0" xfId="674" applyNumberFormat="1" applyFont="1" applyFill="1" applyAlignment="1">
      <alignment vertical="top"/>
    </xf>
    <xf numFmtId="164" fontId="111" fillId="53" borderId="0" xfId="382" applyNumberFormat="1" applyFont="1" applyFill="1" applyAlignment="1">
      <alignment vertical="top"/>
    </xf>
    <xf numFmtId="171" fontId="111" fillId="53" borderId="0" xfId="37696" applyNumberFormat="1" applyFont="1" applyFill="1" applyAlignment="1">
      <alignment vertical="top"/>
    </xf>
    <xf numFmtId="169" fontId="98" fillId="53" borderId="0" xfId="37694" applyFont="1" applyFill="1" applyAlignment="1"/>
    <xf numFmtId="169" fontId="111" fillId="53" borderId="0" xfId="37696" applyFont="1" applyFill="1" applyAlignment="1"/>
    <xf numFmtId="164" fontId="111" fillId="53" borderId="17" xfId="382" applyNumberFormat="1" applyFont="1" applyFill="1" applyBorder="1" applyAlignment="1"/>
    <xf numFmtId="0" fontId="111" fillId="53" borderId="0" xfId="37694" applyNumberFormat="1" applyFont="1" applyFill="1" applyAlignment="1">
      <alignment vertical="top"/>
    </xf>
    <xf numFmtId="169" fontId="111" fillId="53" borderId="0" xfId="37694" applyFont="1" applyFill="1" applyAlignment="1">
      <alignment vertical="top"/>
    </xf>
    <xf numFmtId="164" fontId="43" fillId="0" borderId="0" xfId="382" applyNumberFormat="1" applyFont="1" applyFill="1" applyBorder="1" applyAlignment="1">
      <alignment horizontal="center"/>
    </xf>
    <xf numFmtId="164" fontId="45" fillId="0" borderId="62" xfId="382" applyNumberFormat="1" applyFont="1" applyFill="1" applyBorder="1" applyAlignment="1"/>
    <xf numFmtId="171" fontId="45" fillId="0" borderId="63" xfId="674" applyNumberFormat="1" applyFont="1" applyFill="1" applyBorder="1" applyAlignment="1"/>
    <xf numFmtId="0" fontId="13" fillId="0" borderId="0" xfId="35157" applyFont="1" applyFill="1" applyBorder="1"/>
    <xf numFmtId="0" fontId="45" fillId="0" borderId="64" xfId="0" applyFont="1" applyFill="1" applyBorder="1" applyAlignment="1">
      <alignment horizontal="center" wrapText="1"/>
    </xf>
    <xf numFmtId="164" fontId="111" fillId="0" borderId="0" xfId="382" quotePrefix="1" applyNumberFormat="1" applyFont="1" applyFill="1" applyAlignment="1"/>
    <xf numFmtId="164" fontId="43" fillId="0" borderId="0" xfId="382" applyNumberFormat="1" applyFont="1" applyFill="1" applyBorder="1" applyAlignment="1">
      <alignment horizontal="left" indent="1"/>
    </xf>
    <xf numFmtId="0" fontId="142" fillId="0" borderId="0" xfId="0" applyFont="1" applyFill="1" applyBorder="1"/>
    <xf numFmtId="43" fontId="12" fillId="37" borderId="0" xfId="382" applyFont="1" applyFill="1" applyBorder="1"/>
    <xf numFmtId="43" fontId="12" fillId="37" borderId="18" xfId="382" applyFont="1" applyFill="1" applyBorder="1"/>
    <xf numFmtId="0" fontId="12" fillId="0" borderId="0" xfId="11271" applyFont="1" applyFill="1"/>
    <xf numFmtId="0" fontId="43" fillId="0" borderId="0" xfId="530" quotePrefix="1" applyFont="1" applyBorder="1" applyAlignment="1"/>
    <xf numFmtId="0" fontId="43" fillId="0" borderId="0" xfId="0" applyFont="1" applyFill="1" applyAlignment="1">
      <alignment horizontal="left" vertical="center" wrapText="1"/>
    </xf>
    <xf numFmtId="0" fontId="43" fillId="0" borderId="0" xfId="0" applyFont="1" applyFill="1" applyAlignment="1">
      <alignment vertical="center" wrapText="1"/>
    </xf>
    <xf numFmtId="164" fontId="153" fillId="0" borderId="0" xfId="382" applyNumberFormat="1" applyFont="1" applyFill="1" applyAlignment="1"/>
    <xf numFmtId="169" fontId="134" fillId="0" borderId="0" xfId="37696" applyFont="1" applyFill="1" applyAlignment="1"/>
    <xf numFmtId="164" fontId="43" fillId="37" borderId="18" xfId="404" applyNumberFormat="1" applyFont="1" applyFill="1" applyBorder="1"/>
    <xf numFmtId="164" fontId="11" fillId="0" borderId="18" xfId="382" applyNumberFormat="1" applyFont="1" applyFill="1" applyBorder="1"/>
    <xf numFmtId="17" fontId="43" fillId="0" borderId="18" xfId="382" applyNumberFormat="1" applyFont="1" applyFill="1" applyBorder="1" applyAlignment="1">
      <alignment horizontal="center"/>
    </xf>
    <xf numFmtId="164" fontId="11" fillId="0" borderId="18" xfId="382" applyNumberFormat="1" applyFont="1" applyBorder="1"/>
    <xf numFmtId="164" fontId="43" fillId="37" borderId="18" xfId="13644" applyNumberFormat="1" applyFont="1" applyFill="1" applyBorder="1"/>
    <xf numFmtId="0" fontId="111" fillId="0" borderId="0" xfId="37695" applyFont="1" applyFill="1" applyAlignment="1">
      <alignment horizontal="center"/>
    </xf>
    <xf numFmtId="2" fontId="43" fillId="37" borderId="0" xfId="0" quotePrefix="1" applyNumberFormat="1" applyFont="1" applyFill="1" applyAlignment="1">
      <alignment horizontal="left" vertical="top"/>
    </xf>
    <xf numFmtId="2" fontId="43" fillId="37" borderId="0" xfId="0" quotePrefix="1" applyNumberFormat="1" applyFont="1" applyFill="1" applyAlignment="1">
      <alignment horizontal="center" vertical="top"/>
    </xf>
    <xf numFmtId="2" fontId="10" fillId="0" borderId="0" xfId="11271" applyNumberFormat="1" applyFont="1" applyFill="1" applyAlignment="1">
      <alignment horizontal="left"/>
    </xf>
    <xf numFmtId="2" fontId="10" fillId="37" borderId="0" xfId="11271" applyNumberFormat="1" applyFont="1" applyFill="1" applyAlignment="1">
      <alignment horizontal="left"/>
    </xf>
    <xf numFmtId="43" fontId="43" fillId="0" borderId="18" xfId="382" applyFont="1" applyBorder="1" applyAlignment="1">
      <alignment horizontal="center"/>
    </xf>
    <xf numFmtId="0" fontId="43" fillId="37" borderId="0" xfId="0" applyFont="1" applyFill="1" applyAlignment="1">
      <alignment horizontal="left"/>
    </xf>
    <xf numFmtId="43" fontId="9" fillId="0" borderId="18" xfId="382" applyFont="1" applyFill="1" applyBorder="1" applyAlignment="1">
      <alignment horizontal="center"/>
    </xf>
    <xf numFmtId="43" fontId="43" fillId="0" borderId="18" xfId="382" applyFont="1" applyBorder="1" applyAlignment="1">
      <alignment horizontal="center" wrapText="1"/>
    </xf>
    <xf numFmtId="164" fontId="63" fillId="0" borderId="18" xfId="382" quotePrefix="1" applyNumberFormat="1" applyFont="1" applyBorder="1" applyAlignment="1">
      <alignment horizontal="center" wrapText="1"/>
    </xf>
    <xf numFmtId="164" fontId="43" fillId="0" borderId="18" xfId="382" applyNumberFormat="1" applyFont="1" applyFill="1" applyBorder="1" applyAlignment="1">
      <alignment horizontal="center"/>
    </xf>
    <xf numFmtId="0" fontId="43" fillId="0" borderId="18" xfId="474" applyFont="1" applyBorder="1" applyAlignment="1">
      <alignment horizontal="center"/>
    </xf>
    <xf numFmtId="43" fontId="9" fillId="0" borderId="18" xfId="382" applyFont="1" applyFill="1" applyBorder="1"/>
    <xf numFmtId="43" fontId="43" fillId="0" borderId="18" xfId="382" quotePrefix="1" applyFont="1" applyFill="1" applyBorder="1" applyAlignment="1">
      <alignment horizontal="left"/>
    </xf>
    <xf numFmtId="164" fontId="43" fillId="0" borderId="18" xfId="382" applyNumberFormat="1" applyFont="1" applyFill="1" applyBorder="1" applyAlignment="1">
      <alignment horizontal="center" wrapText="1"/>
    </xf>
    <xf numFmtId="43" fontId="9" fillId="0" borderId="18" xfId="382" applyFont="1" applyBorder="1" applyAlignment="1">
      <alignment horizontal="center"/>
    </xf>
    <xf numFmtId="0" fontId="43" fillId="0" borderId="0" xfId="0" applyFont="1" applyAlignment="1">
      <alignment horizontal="center" vertical="top"/>
    </xf>
    <xf numFmtId="43" fontId="43" fillId="0" borderId="18" xfId="382" applyFont="1" applyFill="1" applyBorder="1" applyAlignment="1">
      <alignment horizontal="center" vertical="center" wrapText="1"/>
    </xf>
    <xf numFmtId="164" fontId="43" fillId="0" borderId="3" xfId="0" applyNumberFormat="1" applyFont="1" applyFill="1" applyBorder="1"/>
    <xf numFmtId="164" fontId="43" fillId="0" borderId="0" xfId="674" applyNumberFormat="1" applyFont="1" applyFill="1" applyAlignment="1">
      <alignment vertical="center"/>
    </xf>
    <xf numFmtId="0" fontId="129" fillId="0" borderId="0" xfId="0" quotePrefix="1" applyFont="1" applyFill="1" applyAlignment="1">
      <alignment vertical="center"/>
    </xf>
    <xf numFmtId="0" fontId="8" fillId="37" borderId="0" xfId="35157" applyFont="1" applyFill="1" applyBorder="1"/>
    <xf numFmtId="0" fontId="44" fillId="50" borderId="6" xfId="0" applyFont="1" applyFill="1" applyBorder="1" applyAlignment="1">
      <alignment horizontal="left"/>
    </xf>
    <xf numFmtId="0" fontId="43" fillId="0" borderId="0" xfId="0" applyFont="1" applyFill="1" applyAlignment="1">
      <alignment vertical="top" wrapText="1"/>
    </xf>
    <xf numFmtId="164" fontId="43" fillId="37" borderId="0" xfId="0" applyNumberFormat="1" applyFont="1" applyFill="1" applyAlignment="1">
      <alignment vertical="top"/>
    </xf>
    <xf numFmtId="164" fontId="43" fillId="0" borderId="54" xfId="0" applyNumberFormat="1" applyFont="1" applyFill="1" applyBorder="1" applyAlignment="1">
      <alignment vertical="top"/>
    </xf>
    <xf numFmtId="164" fontId="43" fillId="0" borderId="0" xfId="0" applyNumberFormat="1" applyFont="1" applyFill="1" applyBorder="1" applyAlignment="1">
      <alignment vertical="top"/>
    </xf>
    <xf numFmtId="0" fontId="43" fillId="0" borderId="35" xfId="0" applyFont="1" applyFill="1" applyBorder="1" applyAlignment="1">
      <alignment vertical="top"/>
    </xf>
    <xf numFmtId="164" fontId="43" fillId="0" borderId="54" xfId="382" applyNumberFormat="1" applyFont="1" applyFill="1" applyBorder="1" applyAlignment="1">
      <alignment vertical="top"/>
    </xf>
    <xf numFmtId="164" fontId="7" fillId="0" borderId="0" xfId="382" applyNumberFormat="1" applyFont="1"/>
    <xf numFmtId="0" fontId="7" fillId="0" borderId="0" xfId="496" applyFont="1"/>
    <xf numFmtId="0" fontId="7" fillId="0" borderId="11" xfId="0" applyFont="1" applyFill="1" applyBorder="1"/>
    <xf numFmtId="0" fontId="63" fillId="0" borderId="0" xfId="11275" quotePrefix="1" applyFont="1" applyAlignment="1">
      <alignment horizontal="center"/>
    </xf>
    <xf numFmtId="0" fontId="43" fillId="0" borderId="0" xfId="504" applyFont="1" applyFill="1" applyAlignment="1">
      <alignment horizontal="left" wrapText="1"/>
    </xf>
    <xf numFmtId="14" fontId="43" fillId="0" borderId="18" xfId="0" applyNumberFormat="1" applyFont="1" applyFill="1" applyBorder="1" applyAlignment="1">
      <alignment horizontal="center" wrapText="1"/>
    </xf>
    <xf numFmtId="14" fontId="43" fillId="0" borderId="18" xfId="0" applyNumberFormat="1" applyFont="1" applyFill="1" applyBorder="1" applyAlignment="1">
      <alignment horizontal="center"/>
    </xf>
    <xf numFmtId="14" fontId="43" fillId="0" borderId="18" xfId="0" applyNumberFormat="1" applyFont="1" applyBorder="1" applyAlignment="1">
      <alignment horizontal="center" wrapText="1"/>
    </xf>
    <xf numFmtId="0" fontId="44" fillId="0" borderId="35" xfId="0" applyFont="1" applyFill="1" applyBorder="1"/>
    <xf numFmtId="164" fontId="122" fillId="0" borderId="54" xfId="382" applyNumberFormat="1" applyFont="1" applyFill="1" applyBorder="1"/>
    <xf numFmtId="37" fontId="43" fillId="0" borderId="54" xfId="0" applyNumberFormat="1" applyFont="1" applyFill="1" applyBorder="1"/>
    <xf numFmtId="0" fontId="43" fillId="0" borderId="35" xfId="0" applyNumberFormat="1" applyFont="1" applyBorder="1"/>
    <xf numFmtId="14" fontId="43" fillId="0" borderId="37" xfId="0" applyNumberFormat="1" applyFont="1" applyBorder="1" applyAlignment="1">
      <alignment horizontal="center" wrapText="1"/>
    </xf>
    <xf numFmtId="164" fontId="18" fillId="37" borderId="35" xfId="382" applyNumberFormat="1" applyFont="1" applyFill="1" applyBorder="1"/>
    <xf numFmtId="43" fontId="43" fillId="37" borderId="35" xfId="382" applyFont="1" applyFill="1" applyBorder="1"/>
    <xf numFmtId="43" fontId="43" fillId="37" borderId="37" xfId="382" applyFont="1" applyFill="1" applyBorder="1"/>
    <xf numFmtId="164" fontId="18" fillId="0" borderId="35" xfId="382" applyNumberFormat="1" applyFont="1" applyFill="1" applyBorder="1"/>
    <xf numFmtId="0" fontId="155" fillId="0" borderId="0" xfId="0" applyFont="1" applyAlignment="1"/>
    <xf numFmtId="0" fontId="155" fillId="0" borderId="0" xfId="37699" applyFont="1" applyAlignment="1"/>
    <xf numFmtId="0" fontId="155" fillId="0" borderId="0" xfId="37700" applyFont="1" applyAlignment="1"/>
    <xf numFmtId="0" fontId="155" fillId="0" borderId="0" xfId="37701" applyFont="1" applyAlignment="1"/>
    <xf numFmtId="0" fontId="155" fillId="0" borderId="0" xfId="37702" applyFont="1" applyAlignment="1"/>
    <xf numFmtId="2" fontId="43" fillId="0" borderId="0" xfId="0" applyNumberFormat="1" applyFont="1" applyFill="1" applyAlignment="1">
      <alignment vertical="top"/>
    </xf>
    <xf numFmtId="0" fontId="0" fillId="0" borderId="0" xfId="0" applyFont="1" applyAlignment="1"/>
    <xf numFmtId="0" fontId="155" fillId="0" borderId="0" xfId="0" applyFont="1" applyAlignment="1">
      <alignment horizontal="left" indent="1"/>
    </xf>
    <xf numFmtId="0" fontId="5" fillId="0" borderId="0" xfId="11271" applyFont="1" applyFill="1"/>
    <xf numFmtId="0" fontId="5" fillId="0" borderId="0" xfId="35157" applyFont="1" applyFill="1" applyBorder="1"/>
    <xf numFmtId="0" fontId="155" fillId="0" borderId="0" xfId="0" applyFont="1" applyFill="1" applyAlignment="1"/>
    <xf numFmtId="0" fontId="63" fillId="0" borderId="0" xfId="11275" applyFont="1" applyFill="1" applyAlignment="1"/>
    <xf numFmtId="0" fontId="63" fillId="0" borderId="0" xfId="11275" applyFont="1" applyFill="1" applyBorder="1" applyAlignment="1"/>
    <xf numFmtId="0" fontId="5" fillId="0" borderId="0" xfId="11271" applyFont="1" applyFill="1" applyAlignment="1"/>
    <xf numFmtId="0" fontId="43" fillId="0" borderId="0" xfId="0" applyFont="1" applyAlignment="1">
      <alignment horizontal="left" indent="2"/>
    </xf>
    <xf numFmtId="0" fontId="5" fillId="0" borderId="0" xfId="0" applyFont="1" applyFill="1" applyAlignment="1">
      <alignment horizontal="left" indent="1"/>
    </xf>
    <xf numFmtId="0" fontId="0" fillId="0" borderId="0" xfId="0" applyNumberFormat="1"/>
    <xf numFmtId="0" fontId="5" fillId="37" borderId="0" xfId="35157" applyFont="1" applyFill="1" applyBorder="1"/>
    <xf numFmtId="0" fontId="13" fillId="37" borderId="0" xfId="35157" applyFont="1" applyFill="1" applyBorder="1"/>
    <xf numFmtId="0" fontId="157" fillId="0" borderId="0" xfId="504" applyFont="1" applyFill="1"/>
    <xf numFmtId="0" fontId="157" fillId="37" borderId="0" xfId="504" applyFont="1" applyFill="1"/>
    <xf numFmtId="0" fontId="158" fillId="0" borderId="0" xfId="504" applyFont="1"/>
    <xf numFmtId="0" fontId="4" fillId="0" borderId="0" xfId="11271" applyFont="1"/>
    <xf numFmtId="0" fontId="157" fillId="0" borderId="0" xfId="11271" applyFont="1"/>
    <xf numFmtId="0" fontId="157" fillId="0" borderId="0" xfId="11271" applyFont="1" applyFill="1"/>
    <xf numFmtId="164" fontId="43" fillId="37" borderId="0" xfId="382" quotePrefix="1" applyNumberFormat="1" applyFont="1" applyFill="1" applyBorder="1"/>
    <xf numFmtId="164" fontId="43" fillId="37" borderId="0" xfId="382" quotePrefix="1" applyNumberFormat="1" applyFont="1" applyFill="1" applyBorder="1" applyProtection="1">
      <protection locked="0"/>
    </xf>
    <xf numFmtId="164" fontId="43" fillId="37" borderId="18" xfId="382" quotePrefix="1" applyNumberFormat="1" applyFont="1" applyFill="1" applyBorder="1" applyProtection="1">
      <protection locked="0"/>
    </xf>
    <xf numFmtId="0" fontId="43" fillId="0" borderId="0" xfId="0" quotePrefix="1" applyFont="1" applyFill="1"/>
    <xf numFmtId="0" fontId="43" fillId="0" borderId="0" xfId="0" applyFont="1" applyFill="1" applyAlignment="1">
      <alignment vertical="center"/>
    </xf>
    <xf numFmtId="0" fontId="0" fillId="0" borderId="0" xfId="0" applyAlignment="1">
      <alignment horizontal="center" vertical="top"/>
    </xf>
    <xf numFmtId="0" fontId="129" fillId="0" borderId="0" xfId="504" applyFont="1" applyFill="1"/>
    <xf numFmtId="43" fontId="122" fillId="0" borderId="0" xfId="382" applyFont="1" applyAlignment="1">
      <alignment horizontal="center"/>
    </xf>
    <xf numFmtId="0" fontId="0" fillId="0" borderId="18" xfId="0" applyBorder="1"/>
    <xf numFmtId="164" fontId="63" fillId="0" borderId="0" xfId="382" applyNumberFormat="1" applyFont="1"/>
    <xf numFmtId="164" fontId="0" fillId="0" borderId="18" xfId="382" applyNumberFormat="1" applyFont="1" applyBorder="1"/>
    <xf numFmtId="0" fontId="0" fillId="0" borderId="0" xfId="0" applyAlignment="1">
      <alignment vertical="top" wrapText="1"/>
    </xf>
    <xf numFmtId="0" fontId="0" fillId="0" borderId="0" xfId="0" applyFill="1" applyAlignment="1">
      <alignment vertical="top"/>
    </xf>
    <xf numFmtId="43" fontId="122" fillId="0" borderId="0" xfId="403" applyFont="1" applyFill="1" applyAlignment="1">
      <alignment horizontal="left" vertical="top"/>
    </xf>
    <xf numFmtId="0" fontId="159" fillId="0" borderId="0" xfId="0" applyFont="1" applyFill="1" applyAlignment="1">
      <alignment vertical="top"/>
    </xf>
    <xf numFmtId="0" fontId="63" fillId="0" borderId="0" xfId="0" applyFont="1" applyFill="1" applyAlignment="1">
      <alignment horizontal="center"/>
    </xf>
    <xf numFmtId="43" fontId="130" fillId="0" borderId="0" xfId="382" applyFont="1" applyFill="1" applyAlignment="1">
      <alignment horizontal="center"/>
    </xf>
    <xf numFmtId="0" fontId="43" fillId="0" borderId="0" xfId="484" applyFont="1" applyFill="1" applyAlignment="1">
      <alignment horizontal="center" vertical="top"/>
    </xf>
    <xf numFmtId="0" fontId="43" fillId="0" borderId="0" xfId="569" applyFont="1" applyFill="1" applyBorder="1" applyAlignment="1">
      <alignment vertical="top"/>
    </xf>
    <xf numFmtId="0" fontId="43" fillId="0" borderId="0" xfId="569" quotePrefix="1" applyFont="1" applyFill="1" applyBorder="1" applyAlignment="1">
      <alignment vertical="top"/>
    </xf>
    <xf numFmtId="164" fontId="0" fillId="0" borderId="0" xfId="382" applyNumberFormat="1" applyFont="1" applyAlignment="1">
      <alignment horizontal="center"/>
    </xf>
    <xf numFmtId="0" fontId="0" fillId="0" borderId="0" xfId="0" applyAlignment="1">
      <alignment horizontal="left" indent="1"/>
    </xf>
    <xf numFmtId="0" fontId="0" fillId="0" borderId="0" xfId="0" quotePrefix="1" applyAlignment="1">
      <alignment horizontal="center"/>
    </xf>
    <xf numFmtId="0" fontId="43" fillId="0" borderId="0" xfId="504" quotePrefix="1" applyFont="1" applyFill="1" applyAlignment="1">
      <alignment horizontal="left"/>
    </xf>
    <xf numFmtId="170" fontId="47" fillId="0" borderId="60" xfId="382" applyNumberFormat="1" applyFont="1" applyFill="1" applyBorder="1" applyAlignment="1"/>
    <xf numFmtId="10" fontId="0" fillId="0" borderId="0" xfId="0" applyNumberFormat="1"/>
    <xf numFmtId="10" fontId="0" fillId="0" borderId="0" xfId="674" applyNumberFormat="1" applyFont="1"/>
    <xf numFmtId="0" fontId="0" fillId="0" borderId="16" xfId="0" applyBorder="1" applyAlignment="1">
      <alignment horizontal="center"/>
    </xf>
    <xf numFmtId="0" fontId="0" fillId="0" borderId="16" xfId="0" applyBorder="1"/>
    <xf numFmtId="10" fontId="0" fillId="0" borderId="16" xfId="0" applyNumberFormat="1" applyBorder="1"/>
    <xf numFmtId="164" fontId="0" fillId="0" borderId="16" xfId="382" applyNumberFormat="1" applyFont="1" applyBorder="1"/>
    <xf numFmtId="43" fontId="122" fillId="0" borderId="0" xfId="382" applyFont="1"/>
    <xf numFmtId="43" fontId="122" fillId="0" borderId="0" xfId="382" applyFont="1" applyAlignment="1">
      <alignment horizontal="left" indent="1"/>
    </xf>
    <xf numFmtId="164" fontId="0" fillId="51" borderId="0" xfId="382" applyNumberFormat="1" applyFont="1" applyFill="1"/>
    <xf numFmtId="164" fontId="0" fillId="0" borderId="18" xfId="382" applyNumberFormat="1" applyFont="1" applyFill="1" applyBorder="1"/>
    <xf numFmtId="0" fontId="160" fillId="0" borderId="0" xfId="0" applyFont="1" applyFill="1" applyBorder="1" applyAlignment="1">
      <alignment vertical="center"/>
    </xf>
    <xf numFmtId="0" fontId="91" fillId="0" borderId="0" xfId="0" applyFont="1"/>
    <xf numFmtId="0" fontId="44" fillId="0" borderId="0" xfId="0" applyFont="1" applyFill="1" applyBorder="1" applyAlignment="1">
      <alignment vertical="center"/>
    </xf>
    <xf numFmtId="0" fontId="43" fillId="0" borderId="0" xfId="0" applyFont="1" applyFill="1" applyBorder="1" applyAlignment="1">
      <alignment vertical="center"/>
    </xf>
    <xf numFmtId="0" fontId="43" fillId="37" borderId="0" xfId="0" applyFont="1" applyFill="1" applyBorder="1" applyAlignment="1">
      <alignment vertical="top"/>
    </xf>
    <xf numFmtId="164" fontId="43" fillId="37" borderId="37" xfId="0" applyNumberFormat="1" applyFont="1" applyFill="1" applyBorder="1" applyAlignment="1"/>
    <xf numFmtId="0" fontId="43" fillId="0" borderId="0" xfId="0" applyFont="1" applyFill="1" applyAlignment="1">
      <alignment horizontal="center"/>
    </xf>
    <xf numFmtId="0" fontId="43" fillId="0" borderId="0" xfId="0" applyFont="1" applyAlignment="1">
      <alignment horizontal="center"/>
    </xf>
    <xf numFmtId="0" fontId="43" fillId="0" borderId="0" xfId="0" quotePrefix="1" applyFont="1" applyFill="1" applyBorder="1" applyAlignment="1">
      <alignment horizontal="center" vertical="top"/>
    </xf>
    <xf numFmtId="0" fontId="43" fillId="0" borderId="0" xfId="474" applyFont="1" applyAlignment="1">
      <alignment horizontal="center"/>
    </xf>
    <xf numFmtId="0" fontId="43" fillId="0" borderId="0" xfId="0" applyFont="1" applyFill="1" applyAlignment="1">
      <alignment horizontal="left"/>
    </xf>
    <xf numFmtId="0" fontId="43" fillId="0" borderId="0" xfId="484" applyFont="1" applyFill="1" applyAlignment="1">
      <alignment horizontal="center" vertical="top"/>
    </xf>
    <xf numFmtId="0" fontId="43" fillId="0" borderId="0" xfId="0" applyFont="1" applyFill="1" applyAlignment="1">
      <alignment horizontal="center" vertical="top"/>
    </xf>
    <xf numFmtId="0" fontId="43" fillId="0" borderId="0" xfId="0" applyFont="1" applyFill="1" applyAlignment="1">
      <alignment horizontal="center"/>
    </xf>
    <xf numFmtId="0" fontId="43" fillId="0" borderId="0" xfId="0" applyFont="1" applyAlignment="1">
      <alignment horizontal="center" vertical="top"/>
    </xf>
    <xf numFmtId="0" fontId="43" fillId="0" borderId="0" xfId="0" applyFont="1" applyFill="1" applyAlignment="1">
      <alignment horizontal="left"/>
    </xf>
    <xf numFmtId="0" fontId="139" fillId="0" borderId="0" xfId="474" applyFont="1" applyBorder="1" applyAlignment="1">
      <alignment horizontal="center"/>
    </xf>
    <xf numFmtId="164" fontId="47" fillId="0" borderId="30" xfId="382" applyNumberFormat="1" applyFont="1" applyFill="1" applyBorder="1" applyAlignment="1">
      <alignment horizontal="right" vertical="center"/>
    </xf>
    <xf numFmtId="164" fontId="47" fillId="0" borderId="61" xfId="382" applyNumberFormat="1" applyFont="1" applyFill="1" applyBorder="1" applyAlignment="1">
      <alignment horizontal="right" vertical="center"/>
    </xf>
    <xf numFmtId="164" fontId="47" fillId="0" borderId="26" xfId="382" applyNumberFormat="1" applyFont="1" applyFill="1" applyBorder="1" applyAlignment="1">
      <alignment horizontal="right" vertical="center"/>
    </xf>
    <xf numFmtId="0" fontId="43" fillId="0" borderId="0" xfId="474" applyFont="1" applyAlignment="1"/>
    <xf numFmtId="0" fontId="43" fillId="0" borderId="0" xfId="474" applyFont="1" applyFill="1" applyAlignment="1"/>
    <xf numFmtId="0" fontId="162" fillId="0" borderId="0" xfId="474" applyFont="1" applyFill="1"/>
    <xf numFmtId="39" fontId="43" fillId="0" borderId="0" xfId="474" applyNumberFormat="1" applyFont="1" applyFill="1" applyBorder="1"/>
    <xf numFmtId="0" fontId="43" fillId="0" borderId="0" xfId="474" applyFont="1" applyFill="1" applyBorder="1"/>
    <xf numFmtId="0" fontId="43" fillId="0" borderId="11" xfId="474" applyFont="1" applyBorder="1" applyAlignment="1">
      <alignment horizontal="center" wrapText="1"/>
    </xf>
    <xf numFmtId="0" fontId="162" fillId="0" borderId="0" xfId="474" applyFont="1" applyAlignment="1">
      <alignment horizontal="left"/>
    </xf>
    <xf numFmtId="39" fontId="43" fillId="0" borderId="0" xfId="474" quotePrefix="1" applyNumberFormat="1" applyFont="1" applyAlignment="1">
      <alignment horizontal="center"/>
    </xf>
    <xf numFmtId="39" fontId="43" fillId="0" borderId="0" xfId="474" applyNumberFormat="1" applyFont="1"/>
    <xf numFmtId="39" fontId="43" fillId="0" borderId="0" xfId="474" applyNumberFormat="1" applyFont="1" applyBorder="1"/>
    <xf numFmtId="164" fontId="43" fillId="0" borderId="0" xfId="382" quotePrefix="1" applyNumberFormat="1" applyFont="1" applyAlignment="1">
      <alignment horizontal="center"/>
    </xf>
    <xf numFmtId="0" fontId="43" fillId="0" borderId="0" xfId="0" quotePrefix="1" applyFont="1"/>
    <xf numFmtId="0" fontId="43" fillId="0" borderId="0" xfId="474" applyFont="1" applyAlignment="1">
      <alignment horizontal="center" wrapText="1"/>
    </xf>
    <xf numFmtId="164" fontId="43" fillId="0" borderId="0" xfId="382" quotePrefix="1" applyNumberFormat="1" applyFont="1" applyFill="1" applyBorder="1"/>
    <xf numFmtId="0" fontId="43" fillId="0" borderId="0" xfId="504" quotePrefix="1" applyFont="1" applyAlignment="1">
      <alignment horizontal="left"/>
    </xf>
    <xf numFmtId="164" fontId="47" fillId="0" borderId="0" xfId="382" quotePrefix="1" applyNumberFormat="1" applyFont="1" applyFill="1" applyBorder="1"/>
    <xf numFmtId="164" fontId="47" fillId="0" borderId="26" xfId="382" quotePrefix="1" applyNumberFormat="1" applyFont="1" applyFill="1" applyBorder="1" applyAlignment="1"/>
    <xf numFmtId="164" fontId="47" fillId="0" borderId="60" xfId="382" quotePrefix="1" applyNumberFormat="1" applyFont="1" applyFill="1" applyBorder="1" applyAlignment="1"/>
    <xf numFmtId="0" fontId="47" fillId="54" borderId="0" xfId="0" applyFont="1" applyFill="1"/>
    <xf numFmtId="164" fontId="47" fillId="0" borderId="30" xfId="382" quotePrefix="1" applyNumberFormat="1" applyFont="1" applyFill="1" applyBorder="1" applyAlignment="1"/>
    <xf numFmtId="164" fontId="47" fillId="0" borderId="61" xfId="382" quotePrefix="1" applyNumberFormat="1" applyFont="1" applyFill="1" applyBorder="1" applyAlignment="1"/>
    <xf numFmtId="164" fontId="47" fillId="0" borderId="62" xfId="382" quotePrefix="1" applyNumberFormat="1" applyFont="1" applyFill="1" applyBorder="1" applyAlignment="1"/>
    <xf numFmtId="0" fontId="43" fillId="0" borderId="0" xfId="35688" applyFont="1" applyAlignment="1">
      <alignment horizontal="center"/>
    </xf>
    <xf numFmtId="43" fontId="43" fillId="0" borderId="0" xfId="11622" applyFont="1" applyFill="1" applyAlignment="1">
      <alignment horizontal="center"/>
    </xf>
    <xf numFmtId="43" fontId="43" fillId="0" borderId="18" xfId="382" applyFont="1" applyFill="1" applyBorder="1" applyAlignment="1">
      <alignment horizontal="center"/>
    </xf>
    <xf numFmtId="43" fontId="43" fillId="0" borderId="0" xfId="382" applyFont="1" applyFill="1" applyAlignment="1">
      <alignment horizontal="center"/>
    </xf>
    <xf numFmtId="1" fontId="43" fillId="0" borderId="0" xfId="35688" applyNumberFormat="1" applyFont="1" applyFill="1" applyAlignment="1">
      <alignment horizontal="left"/>
    </xf>
    <xf numFmtId="2" fontId="43" fillId="0" borderId="0" xfId="35688" applyNumberFormat="1" applyFont="1" applyFill="1" applyAlignment="1">
      <alignment horizontal="left"/>
    </xf>
    <xf numFmtId="164" fontId="43" fillId="0" borderId="0" xfId="382" applyNumberFormat="1" applyFont="1" applyFill="1" applyAlignment="1">
      <alignment horizontal="center" vertical="top"/>
    </xf>
    <xf numFmtId="164" fontId="43" fillId="0" borderId="0" xfId="0" applyNumberFormat="1" applyFont="1" applyFill="1" applyBorder="1"/>
    <xf numFmtId="0" fontId="43" fillId="0" borderId="0" xfId="484" quotePrefix="1" applyFont="1" applyAlignment="1">
      <alignment horizontal="center" vertical="top"/>
    </xf>
    <xf numFmtId="0" fontId="43" fillId="0" borderId="0" xfId="35688" applyFont="1"/>
    <xf numFmtId="43" fontId="43" fillId="0" borderId="0" xfId="11622" applyFont="1"/>
    <xf numFmtId="3" fontId="161" fillId="0" borderId="35" xfId="0" quotePrefix="1" applyNumberFormat="1" applyFont="1" applyBorder="1" applyAlignment="1"/>
    <xf numFmtId="164" fontId="164" fillId="0" borderId="28" xfId="382" quotePrefix="1" applyNumberFormat="1" applyFont="1" applyFill="1" applyBorder="1" applyAlignment="1">
      <alignment horizontal="right"/>
    </xf>
    <xf numFmtId="17" fontId="43" fillId="37" borderId="0" xfId="0" applyNumberFormat="1" applyFont="1" applyFill="1" applyBorder="1" applyAlignment="1">
      <alignment horizontal="center"/>
    </xf>
    <xf numFmtId="10" fontId="43" fillId="37" borderId="0" xfId="678" applyNumberFormat="1" applyFont="1" applyFill="1" applyBorder="1"/>
    <xf numFmtId="0" fontId="125" fillId="0" borderId="0" xfId="0" applyFont="1" applyAlignment="1">
      <alignment horizontal="center"/>
    </xf>
    <xf numFmtId="0" fontId="125" fillId="0" borderId="0" xfId="0" applyFont="1" applyFill="1" applyAlignment="1">
      <alignment horizontal="left"/>
    </xf>
    <xf numFmtId="0" fontId="129" fillId="0" borderId="0" xfId="0" applyFont="1" applyFill="1" applyAlignment="1">
      <alignment horizontal="center"/>
    </xf>
    <xf numFmtId="164" fontId="43" fillId="0" borderId="0" xfId="403" applyNumberFormat="1" applyFont="1" applyFill="1"/>
    <xf numFmtId="164" fontId="122" fillId="0" borderId="0" xfId="0" applyNumberFormat="1" applyFont="1" applyFill="1"/>
    <xf numFmtId="164" fontId="43" fillId="0" borderId="0" xfId="382" applyNumberFormat="1" applyFont="1" applyFill="1" applyAlignment="1">
      <alignment horizontal="left"/>
    </xf>
    <xf numFmtId="0" fontId="43" fillId="0" borderId="0" xfId="0" applyFont="1" applyFill="1" applyAlignment="1">
      <alignment horizontal="center"/>
    </xf>
    <xf numFmtId="0" fontId="43" fillId="0" borderId="0" xfId="0" applyFont="1" applyFill="1" applyAlignment="1">
      <alignment horizontal="center"/>
    </xf>
    <xf numFmtId="0" fontId="43" fillId="0" borderId="0" xfId="0" applyFont="1" applyFill="1" applyAlignment="1">
      <alignment horizontal="left"/>
    </xf>
    <xf numFmtId="0" fontId="91" fillId="0" borderId="0" xfId="0" applyFont="1" applyAlignment="1">
      <alignment horizontal="center"/>
    </xf>
    <xf numFmtId="43" fontId="122" fillId="0" borderId="0" xfId="382" applyFont="1" applyAlignment="1"/>
    <xf numFmtId="164" fontId="122" fillId="0" borderId="0" xfId="0" applyNumberFormat="1" applyFont="1"/>
    <xf numFmtId="10" fontId="91" fillId="0" borderId="0" xfId="674" applyNumberFormat="1" applyFont="1" applyFill="1" applyAlignment="1">
      <alignment horizontal="center" wrapText="1"/>
    </xf>
    <xf numFmtId="164" fontId="164" fillId="0" borderId="62" xfId="382" quotePrefix="1" applyNumberFormat="1" applyFont="1" applyFill="1" applyBorder="1" applyAlignment="1">
      <alignment horizontal="right"/>
    </xf>
    <xf numFmtId="164" fontId="45" fillId="0" borderId="0" xfId="382" applyNumberFormat="1" applyFont="1" applyFill="1" applyAlignment="1">
      <alignment vertical="top"/>
    </xf>
    <xf numFmtId="164" fontId="47" fillId="0" borderId="0" xfId="382" applyNumberFormat="1" applyFont="1" applyFill="1" applyAlignment="1">
      <alignment vertical="top"/>
    </xf>
    <xf numFmtId="164" fontId="47" fillId="0" borderId="0" xfId="382" applyNumberFormat="1" applyFont="1" applyAlignment="1"/>
    <xf numFmtId="164" fontId="133" fillId="0" borderId="0" xfId="382" applyNumberFormat="1" applyFont="1" applyFill="1" applyAlignment="1">
      <alignment horizontal="justify" vertical="center"/>
    </xf>
    <xf numFmtId="164" fontId="47" fillId="0" borderId="0" xfId="382" applyNumberFormat="1" applyFont="1" applyAlignment="1">
      <alignment vertical="top"/>
    </xf>
    <xf numFmtId="164" fontId="0" fillId="0" borderId="0" xfId="0" applyNumberFormat="1"/>
    <xf numFmtId="2" fontId="43" fillId="37" borderId="0" xfId="11271" applyNumberFormat="1" applyFont="1" applyFill="1" applyAlignment="1">
      <alignment horizontal="left"/>
    </xf>
    <xf numFmtId="0" fontId="43" fillId="37" borderId="0" xfId="11271" applyFont="1" applyFill="1"/>
    <xf numFmtId="0" fontId="43" fillId="37" borderId="0" xfId="11271" applyFont="1" applyFill="1" applyBorder="1"/>
    <xf numFmtId="0" fontId="43" fillId="37" borderId="18" xfId="11271" applyFont="1" applyFill="1" applyBorder="1"/>
    <xf numFmtId="164" fontId="43" fillId="37" borderId="0" xfId="11271" applyNumberFormat="1" applyFont="1" applyFill="1"/>
    <xf numFmtId="43" fontId="43" fillId="37" borderId="18" xfId="382" applyFont="1" applyFill="1" applyBorder="1"/>
    <xf numFmtId="198" fontId="43" fillId="37" borderId="18" xfId="382" applyNumberFormat="1" applyFont="1" applyFill="1" applyBorder="1"/>
    <xf numFmtId="164" fontId="43" fillId="37" borderId="18" xfId="11271" applyNumberFormat="1" applyFont="1" applyFill="1" applyBorder="1"/>
    <xf numFmtId="0" fontId="155" fillId="0" borderId="0" xfId="0" applyFont="1" applyAlignment="1">
      <alignment horizontal="left" vertical="center" indent="1"/>
    </xf>
    <xf numFmtId="2" fontId="18" fillId="0" borderId="0" xfId="11271" applyNumberFormat="1" applyFont="1" applyFill="1" applyAlignment="1">
      <alignment horizontal="left" vertical="center"/>
    </xf>
    <xf numFmtId="0" fontId="5" fillId="0" borderId="0" xfId="11271" applyFont="1" applyFill="1" applyAlignment="1">
      <alignment vertical="center"/>
    </xf>
    <xf numFmtId="164" fontId="18" fillId="0" borderId="0" xfId="11271" applyNumberFormat="1" applyFont="1" applyFill="1" applyAlignment="1">
      <alignment vertical="center"/>
    </xf>
    <xf numFmtId="0" fontId="18" fillId="0" borderId="0" xfId="11271" applyFont="1" applyFill="1" applyAlignment="1">
      <alignment vertical="center"/>
    </xf>
    <xf numFmtId="0" fontId="12" fillId="0" borderId="0" xfId="11271" applyFont="1" applyFill="1" applyAlignment="1">
      <alignment vertical="center"/>
    </xf>
    <xf numFmtId="0" fontId="18" fillId="0" borderId="0" xfId="11271" applyFont="1" applyAlignment="1">
      <alignment vertical="center"/>
    </xf>
    <xf numFmtId="164" fontId="138" fillId="0" borderId="0" xfId="11271" applyNumberFormat="1" applyFont="1" applyFill="1" applyAlignment="1">
      <alignment vertical="center"/>
    </xf>
    <xf numFmtId="0" fontId="5" fillId="0" borderId="0" xfId="11271" applyFont="1" applyFill="1" applyAlignment="1">
      <alignment horizontal="left" vertical="center" indent="1"/>
    </xf>
    <xf numFmtId="164" fontId="3" fillId="0" borderId="0" xfId="382" applyNumberFormat="1" applyFont="1" applyFill="1"/>
    <xf numFmtId="164" fontId="3" fillId="0" borderId="0" xfId="382" applyNumberFormat="1" applyFont="1" applyFill="1" applyAlignment="1">
      <alignment vertical="center"/>
    </xf>
    <xf numFmtId="164" fontId="18" fillId="0" borderId="0" xfId="382" applyNumberFormat="1" applyFont="1" applyFill="1" applyAlignment="1">
      <alignment vertical="center"/>
    </xf>
    <xf numFmtId="164" fontId="10" fillId="0" borderId="0" xfId="382" applyNumberFormat="1" applyFont="1" applyFill="1"/>
    <xf numFmtId="0" fontId="0" fillId="0" borderId="0" xfId="0" applyBorder="1"/>
    <xf numFmtId="164" fontId="0" fillId="0" borderId="0" xfId="382" applyNumberFormat="1" applyFont="1" applyBorder="1"/>
    <xf numFmtId="43" fontId="43" fillId="0" borderId="0" xfId="382" applyNumberFormat="1" applyFont="1" applyFill="1"/>
    <xf numFmtId="0" fontId="2" fillId="0" borderId="0" xfId="34507" applyFont="1" applyAlignment="1">
      <alignment horizontal="center"/>
    </xf>
    <xf numFmtId="0" fontId="2" fillId="0" borderId="18" xfId="34507" applyFont="1" applyBorder="1" applyAlignment="1">
      <alignment horizontal="center"/>
    </xf>
    <xf numFmtId="164" fontId="2" fillId="0" borderId="18" xfId="33695" applyNumberFormat="1" applyFont="1" applyBorder="1" applyAlignment="1">
      <alignment horizontal="center"/>
    </xf>
    <xf numFmtId="0" fontId="2" fillId="0" borderId="0" xfId="34507" applyFont="1"/>
    <xf numFmtId="164" fontId="43" fillId="0" borderId="0" xfId="33695" applyNumberFormat="1" applyFont="1"/>
    <xf numFmtId="0" fontId="2" fillId="0" borderId="6" xfId="34507" applyFont="1" applyBorder="1"/>
    <xf numFmtId="164" fontId="43" fillId="0" borderId="6" xfId="33695" applyNumberFormat="1" applyFont="1" applyBorder="1"/>
    <xf numFmtId="0" fontId="2" fillId="0" borderId="0" xfId="34507" applyFont="1" applyAlignment="1">
      <alignment horizontal="right"/>
    </xf>
    <xf numFmtId="164" fontId="2" fillId="0" borderId="17" xfId="33695" applyNumberFormat="1" applyFont="1" applyBorder="1"/>
    <xf numFmtId="164" fontId="43" fillId="0" borderId="0" xfId="33695" applyNumberFormat="1" applyFont="1" applyAlignment="1">
      <alignment vertical="center" wrapText="1"/>
    </xf>
    <xf numFmtId="170" fontId="47" fillId="0" borderId="0" xfId="0" applyNumberFormat="1" applyFont="1"/>
    <xf numFmtId="10" fontId="47" fillId="37" borderId="26" xfId="674" applyNumberFormat="1" applyFont="1" applyFill="1" applyBorder="1" applyAlignment="1"/>
    <xf numFmtId="10" fontId="47" fillId="37" borderId="60" xfId="674" applyNumberFormat="1" applyFont="1" applyFill="1" applyBorder="1" applyAlignment="1"/>
    <xf numFmtId="0" fontId="111" fillId="51" borderId="0" xfId="37697" applyNumberFormat="1" applyFont="1" applyFill="1" applyAlignment="1">
      <alignment horizontal="right"/>
    </xf>
    <xf numFmtId="0" fontId="63" fillId="37" borderId="45" xfId="569" applyFont="1" applyFill="1" applyBorder="1" applyAlignment="1">
      <alignment horizontal="center"/>
    </xf>
    <xf numFmtId="0" fontId="63" fillId="37" borderId="18" xfId="569" applyFont="1" applyFill="1" applyBorder="1" applyAlignment="1">
      <alignment horizontal="center"/>
    </xf>
    <xf numFmtId="0" fontId="43" fillId="0" borderId="0" xfId="0" applyFont="1" applyFill="1" applyAlignment="1">
      <alignment horizontal="center"/>
    </xf>
    <xf numFmtId="0" fontId="43" fillId="0" borderId="0" xfId="0" applyFont="1" applyAlignment="1">
      <alignment horizontal="center"/>
    </xf>
    <xf numFmtId="0" fontId="43" fillId="0" borderId="0" xfId="0" applyFont="1" applyFill="1" applyAlignment="1">
      <alignment horizontal="left"/>
    </xf>
    <xf numFmtId="0" fontId="44" fillId="0" borderId="18" xfId="0" applyFont="1" applyBorder="1" applyAlignment="1">
      <alignment horizontal="center" vertical="top" wrapText="1"/>
    </xf>
    <xf numFmtId="0" fontId="44" fillId="0" borderId="0" xfId="0" applyFont="1" applyAlignment="1">
      <alignment horizontal="center" vertical="top" wrapText="1"/>
    </xf>
    <xf numFmtId="164" fontId="43" fillId="51" borderId="0" xfId="382" applyNumberFormat="1" applyFont="1" applyFill="1" applyAlignment="1">
      <alignment horizontal="center" vertical="top"/>
    </xf>
    <xf numFmtId="0" fontId="91" fillId="0" borderId="0" xfId="0" applyFont="1" applyFill="1" applyAlignment="1">
      <alignment horizontal="center"/>
    </xf>
    <xf numFmtId="43" fontId="122" fillId="0" borderId="0" xfId="382" applyFont="1" applyFill="1" applyAlignment="1">
      <alignment horizontal="center" vertical="top"/>
    </xf>
    <xf numFmtId="43" fontId="122" fillId="0" borderId="0" xfId="382" applyFont="1" applyAlignment="1">
      <alignment horizontal="center" vertical="top"/>
    </xf>
    <xf numFmtId="10" fontId="43" fillId="0" borderId="0" xfId="674" applyNumberFormat="1" applyFont="1" applyAlignment="1">
      <alignment horizontal="center"/>
    </xf>
    <xf numFmtId="10" fontId="43" fillId="0" borderId="0" xfId="674" applyNumberFormat="1" applyFont="1" applyFill="1" applyAlignment="1">
      <alignment horizontal="center"/>
    </xf>
    <xf numFmtId="0" fontId="43" fillId="0" borderId="0" xfId="533" applyFont="1" applyAlignment="1">
      <alignment horizontal="center"/>
    </xf>
    <xf numFmtId="10" fontId="43" fillId="0" borderId="0" xfId="0" applyNumberFormat="1" applyFont="1" applyFill="1" applyAlignment="1">
      <alignment horizontal="center"/>
    </xf>
    <xf numFmtId="10" fontId="165" fillId="0" borderId="0" xfId="0" applyNumberFormat="1" applyFont="1" applyFill="1" applyAlignment="1">
      <alignment horizontal="center"/>
    </xf>
    <xf numFmtId="0" fontId="43" fillId="0" borderId="0" xfId="533" applyFont="1" applyFill="1" applyAlignment="1">
      <alignment horizontal="center"/>
    </xf>
    <xf numFmtId="43" fontId="43" fillId="0" borderId="0" xfId="382" applyFont="1" applyAlignment="1">
      <alignment horizontal="left" indent="1"/>
    </xf>
    <xf numFmtId="164" fontId="43" fillId="51" borderId="0" xfId="382" applyNumberFormat="1" applyFont="1" applyFill="1" applyAlignment="1"/>
    <xf numFmtId="164" fontId="43" fillId="51" borderId="0" xfId="382" applyNumberFormat="1" applyFont="1" applyFill="1"/>
    <xf numFmtId="164" fontId="43" fillId="51" borderId="18" xfId="382" applyNumberFormat="1" applyFont="1" applyFill="1" applyBorder="1"/>
    <xf numFmtId="43" fontId="43" fillId="51" borderId="0" xfId="382" applyFont="1" applyFill="1" applyAlignment="1">
      <alignment horizontal="center"/>
    </xf>
    <xf numFmtId="0" fontId="43" fillId="0" borderId="0" xfId="474" applyFont="1" applyAlignment="1">
      <alignment horizontal="center" vertical="top"/>
    </xf>
    <xf numFmtId="0" fontId="43" fillId="37" borderId="0" xfId="11275" applyFont="1" applyFill="1" applyBorder="1" applyAlignment="1">
      <alignment horizontal="left"/>
    </xf>
    <xf numFmtId="0" fontId="43" fillId="0" borderId="0" xfId="474" applyFont="1" applyAlignment="1">
      <alignment vertical="top"/>
    </xf>
    <xf numFmtId="3" fontId="43" fillId="0" borderId="0" xfId="11265" quotePrefix="1" applyNumberFormat="1" applyFont="1" applyFill="1" applyAlignment="1">
      <alignment horizontal="center" vertical="top"/>
    </xf>
    <xf numFmtId="0" fontId="142" fillId="0" borderId="0" xfId="0" applyFont="1" applyAlignment="1">
      <alignment horizontal="center" vertical="top"/>
    </xf>
    <xf numFmtId="0" fontId="167" fillId="0" borderId="0" xfId="0" applyFont="1" applyAlignment="1">
      <alignment horizontal="center" vertical="top" wrapText="1"/>
    </xf>
    <xf numFmtId="0" fontId="91" fillId="0" borderId="0" xfId="0" applyFont="1" applyAlignment="1">
      <alignment horizontal="center" vertical="top"/>
    </xf>
    <xf numFmtId="164" fontId="0" fillId="0" borderId="0" xfId="37703" applyNumberFormat="1" applyFont="1" applyFill="1" applyAlignment="1">
      <alignment vertical="top"/>
    </xf>
    <xf numFmtId="0" fontId="0" fillId="0" borderId="0" xfId="0" applyFill="1" applyAlignment="1">
      <alignment horizontal="center" vertical="top"/>
    </xf>
    <xf numFmtId="0" fontId="0" fillId="0" borderId="0" xfId="0" quotePrefix="1" applyAlignment="1">
      <alignment horizontal="center" vertical="top"/>
    </xf>
    <xf numFmtId="187" fontId="43" fillId="0" borderId="0" xfId="0" applyNumberFormat="1" applyFont="1" applyFill="1" applyAlignment="1">
      <alignment horizontal="left" vertical="top"/>
    </xf>
    <xf numFmtId="164" fontId="43" fillId="37" borderId="0" xfId="0" applyNumberFormat="1" applyFont="1" applyFill="1" applyBorder="1" applyAlignment="1">
      <alignment vertical="top"/>
    </xf>
    <xf numFmtId="164" fontId="43" fillId="37" borderId="35" xfId="0" applyNumberFormat="1" applyFont="1" applyFill="1" applyBorder="1" applyAlignment="1">
      <alignment vertical="top"/>
    </xf>
    <xf numFmtId="0" fontId="43" fillId="37" borderId="0" xfId="0" applyFont="1" applyFill="1" applyBorder="1" applyAlignment="1">
      <alignment vertical="top" wrapText="1"/>
    </xf>
    <xf numFmtId="164" fontId="43" fillId="37" borderId="54" xfId="0" applyNumberFormat="1" applyFont="1" applyFill="1" applyBorder="1" applyAlignment="1">
      <alignment vertical="top"/>
    </xf>
    <xf numFmtId="164" fontId="0" fillId="0" borderId="0" xfId="382" applyNumberFormat="1" applyFont="1" applyAlignment="1">
      <alignment vertical="top"/>
    </xf>
    <xf numFmtId="0" fontId="0" fillId="0" borderId="0" xfId="0" quotePrefix="1" applyAlignment="1">
      <alignment horizontal="left" wrapText="1" indent="1"/>
    </xf>
    <xf numFmtId="164" fontId="0" fillId="0" borderId="0" xfId="382" applyNumberFormat="1" applyFont="1" applyAlignment="1">
      <alignment horizontal="right" vertical="top"/>
    </xf>
    <xf numFmtId="10" fontId="0" fillId="0" borderId="0" xfId="674" applyNumberFormat="1" applyFont="1" applyFill="1" applyBorder="1"/>
    <xf numFmtId="0" fontId="0" fillId="0" borderId="0" xfId="0" applyAlignment="1">
      <alignment horizontal="center" wrapText="1"/>
    </xf>
    <xf numFmtId="0" fontId="0" fillId="0" borderId="0" xfId="0" applyAlignment="1">
      <alignment horizontal="left" wrapText="1" indent="1"/>
    </xf>
    <xf numFmtId="43" fontId="122" fillId="0" borderId="0" xfId="382" applyFont="1" applyAlignment="1">
      <alignment horizontal="left" wrapText="1" indent="1"/>
    </xf>
    <xf numFmtId="0" fontId="0" fillId="0" borderId="0" xfId="0" applyAlignment="1">
      <alignment horizontal="left" vertical="top" wrapText="1" indent="1"/>
    </xf>
    <xf numFmtId="164" fontId="0" fillId="0" borderId="0" xfId="382" applyNumberFormat="1" applyFont="1" applyFill="1" applyAlignment="1">
      <alignment vertical="top"/>
    </xf>
    <xf numFmtId="164" fontId="0" fillId="0" borderId="18" xfId="37703" applyNumberFormat="1" applyFont="1" applyFill="1" applyBorder="1" applyAlignment="1">
      <alignment vertical="top"/>
    </xf>
    <xf numFmtId="164" fontId="0" fillId="0" borderId="0" xfId="0" applyNumberFormat="1" applyAlignment="1">
      <alignment vertical="top"/>
    </xf>
    <xf numFmtId="0" fontId="0" fillId="0" borderId="0" xfId="0" applyAlignment="1">
      <alignment horizontal="left" vertical="top"/>
    </xf>
    <xf numFmtId="0" fontId="125" fillId="0" borderId="0" xfId="504" applyFont="1" applyFill="1" applyAlignment="1"/>
    <xf numFmtId="0" fontId="0" fillId="0" borderId="0" xfId="0" applyFill="1" applyAlignment="1">
      <alignment vertical="top" wrapText="1"/>
    </xf>
    <xf numFmtId="10" fontId="0" fillId="51" borderId="18" xfId="674" applyNumberFormat="1" applyFont="1" applyFill="1" applyBorder="1"/>
    <xf numFmtId="0" fontId="43" fillId="0" borderId="0" xfId="0" applyFont="1" applyFill="1" applyAlignment="1">
      <alignment horizontal="center"/>
    </xf>
    <xf numFmtId="0" fontId="43" fillId="0" borderId="0" xfId="0" applyFont="1" applyFill="1" applyAlignment="1">
      <alignment horizontal="left"/>
    </xf>
    <xf numFmtId="0" fontId="43" fillId="0" borderId="0" xfId="474" applyFont="1" applyFill="1" applyAlignment="1">
      <alignment horizontal="center"/>
    </xf>
    <xf numFmtId="3" fontId="43" fillId="0" borderId="0" xfId="11265" quotePrefix="1" applyNumberFormat="1" applyFont="1" applyFill="1" applyAlignment="1">
      <alignment horizontal="center"/>
    </xf>
    <xf numFmtId="3" fontId="43" fillId="0" borderId="0" xfId="11265" quotePrefix="1" applyNumberFormat="1" applyFont="1" applyFill="1" applyAlignment="1">
      <alignment horizontal="center" vertical="top"/>
    </xf>
    <xf numFmtId="0" fontId="43" fillId="0" borderId="0" xfId="474" quotePrefix="1" applyFont="1" applyFill="1" applyAlignment="1">
      <alignment horizontal="center"/>
    </xf>
    <xf numFmtId="164" fontId="0" fillId="0" borderId="0" xfId="37703" applyNumberFormat="1" applyFont="1" applyFill="1" applyBorder="1" applyAlignment="1">
      <alignment horizontal="centerContinuous" vertical="top"/>
    </xf>
    <xf numFmtId="0" fontId="167" fillId="0" borderId="0" xfId="0" applyFont="1" applyFill="1" applyAlignment="1">
      <alignment horizontal="center" vertical="top" wrapText="1"/>
    </xf>
    <xf numFmtId="164" fontId="0" fillId="0" borderId="0" xfId="37703" applyNumberFormat="1" applyFont="1" applyFill="1"/>
    <xf numFmtId="164" fontId="0" fillId="0" borderId="18" xfId="37703" applyNumberFormat="1" applyFont="1" applyFill="1" applyBorder="1"/>
    <xf numFmtId="0" fontId="0" fillId="0" borderId="0" xfId="0" quotePrefix="1" applyFill="1" applyAlignment="1">
      <alignment vertical="top"/>
    </xf>
    <xf numFmtId="0" fontId="0" fillId="0" borderId="0" xfId="0" quotePrefix="1" applyFill="1" applyAlignment="1">
      <alignment horizontal="left" vertical="top"/>
    </xf>
    <xf numFmtId="0" fontId="0" fillId="0" borderId="0" xfId="0" quotePrefix="1" applyFill="1" applyAlignment="1">
      <alignment horizontal="center"/>
    </xf>
    <xf numFmtId="0" fontId="0" fillId="0" borderId="0" xfId="0" applyFill="1"/>
    <xf numFmtId="0" fontId="91" fillId="0" borderId="0" xfId="0" applyFont="1" applyAlignment="1"/>
    <xf numFmtId="43" fontId="43" fillId="0" borderId="0" xfId="382" applyFont="1" applyBorder="1" applyAlignment="1">
      <alignment horizontal="center"/>
    </xf>
    <xf numFmtId="0" fontId="43" fillId="0" borderId="0" xfId="0" applyFont="1" applyFill="1" applyAlignment="1">
      <alignment horizontal="center"/>
    </xf>
    <xf numFmtId="0" fontId="43" fillId="0" borderId="0" xfId="0" applyFont="1" applyAlignment="1">
      <alignment horizontal="left" wrapText="1"/>
    </xf>
    <xf numFmtId="43" fontId="122" fillId="0" borderId="0" xfId="382" applyFont="1" applyFill="1" applyAlignment="1">
      <alignment horizontal="left"/>
    </xf>
    <xf numFmtId="43" fontId="122" fillId="0" borderId="0" xfId="382" applyFont="1" applyFill="1" applyAlignment="1">
      <alignment horizontal="center"/>
    </xf>
    <xf numFmtId="0" fontId="43" fillId="0" borderId="0" xfId="0" applyFont="1" applyAlignment="1">
      <alignment horizontal="center"/>
    </xf>
    <xf numFmtId="0" fontId="43" fillId="0" borderId="0" xfId="0" applyFont="1" applyFill="1" applyAlignment="1">
      <alignment horizontal="left"/>
    </xf>
    <xf numFmtId="0" fontId="43" fillId="0" borderId="0" xfId="0" quotePrefix="1" applyFont="1" applyFill="1" applyAlignment="1">
      <alignment horizontal="center"/>
    </xf>
    <xf numFmtId="43" fontId="122" fillId="0" borderId="0" xfId="382" applyFont="1" applyAlignment="1">
      <alignment horizontal="center"/>
    </xf>
    <xf numFmtId="0" fontId="43" fillId="0" borderId="0" xfId="0" applyFont="1" applyAlignment="1">
      <alignment horizontal="center" vertical="center"/>
    </xf>
    <xf numFmtId="0" fontId="43" fillId="0" borderId="0" xfId="0" applyFont="1" applyFill="1" applyAlignment="1">
      <alignment horizontal="center" vertical="top" wrapText="1"/>
    </xf>
    <xf numFmtId="0" fontId="98" fillId="0" borderId="0" xfId="37696" applyNumberFormat="1" applyFont="1" applyFill="1" applyAlignment="1">
      <alignment horizontal="center"/>
    </xf>
    <xf numFmtId="3" fontId="111" fillId="0" borderId="0" xfId="37696" applyNumberFormat="1" applyFont="1" applyFill="1" applyAlignment="1">
      <alignment horizontal="left" vertical="top" wrapText="1"/>
    </xf>
    <xf numFmtId="169" fontId="98" fillId="0" borderId="0" xfId="37694" applyFont="1" applyAlignment="1">
      <alignment horizontal="left" vertical="top" wrapText="1"/>
    </xf>
    <xf numFmtId="0" fontId="98" fillId="0" borderId="0" xfId="37696" applyNumberFormat="1" applyFont="1" applyFill="1" applyAlignment="1" applyProtection="1">
      <alignment horizontal="center"/>
      <protection locked="0"/>
    </xf>
    <xf numFmtId="0" fontId="59" fillId="0" borderId="0" xfId="0" applyFont="1" applyAlignment="1">
      <alignment horizontal="center"/>
    </xf>
    <xf numFmtId="0" fontId="56" fillId="0" borderId="0" xfId="0" applyFont="1" applyAlignment="1">
      <alignment horizontal="center"/>
    </xf>
    <xf numFmtId="0" fontId="47" fillId="0" borderId="0" xfId="0" applyFont="1" applyFill="1" applyAlignment="1">
      <alignment horizontal="left" vertical="top" wrapText="1"/>
    </xf>
    <xf numFmtId="0" fontId="45" fillId="0" borderId="0" xfId="0" applyNumberFormat="1" applyFont="1" applyBorder="1" applyAlignment="1">
      <alignment horizontal="center"/>
    </xf>
    <xf numFmtId="0" fontId="47" fillId="0" borderId="0" xfId="0" applyFont="1" applyBorder="1" applyAlignment="1">
      <alignment horizontal="center" wrapText="1"/>
    </xf>
    <xf numFmtId="0" fontId="47" fillId="0" borderId="18" xfId="0" applyFont="1" applyBorder="1" applyAlignment="1">
      <alignment horizontal="center" wrapText="1"/>
    </xf>
    <xf numFmtId="3" fontId="47" fillId="0" borderId="35" xfId="0" applyNumberFormat="1" applyFont="1" applyBorder="1" applyAlignment="1">
      <alignment horizontal="center" vertical="top"/>
    </xf>
    <xf numFmtId="3" fontId="47" fillId="0" borderId="37" xfId="0" applyNumberFormat="1" applyFont="1" applyBorder="1" applyAlignment="1">
      <alignment horizontal="center" vertical="top"/>
    </xf>
    <xf numFmtId="0" fontId="45" fillId="0" borderId="47" xfId="0" applyNumberFormat="1" applyFont="1" applyBorder="1" applyAlignment="1">
      <alignment horizontal="left" vertical="center" wrapText="1"/>
    </xf>
    <xf numFmtId="0" fontId="163" fillId="0" borderId="47" xfId="0" applyNumberFormat="1" applyFont="1" applyBorder="1" applyAlignment="1">
      <alignment horizontal="left" vertical="center" wrapText="1"/>
    </xf>
    <xf numFmtId="0" fontId="47" fillId="0" borderId="0" xfId="0" applyFont="1" applyFill="1" applyBorder="1" applyAlignment="1">
      <alignment horizontal="left" vertical="top" wrapText="1"/>
    </xf>
    <xf numFmtId="0" fontId="47" fillId="0" borderId="0" xfId="0" quotePrefix="1" applyNumberFormat="1" applyFont="1" applyFill="1" applyBorder="1" applyAlignment="1">
      <alignment horizontal="left" vertical="top" wrapText="1"/>
    </xf>
    <xf numFmtId="0" fontId="47" fillId="0" borderId="0" xfId="0" applyNumberFormat="1" applyFont="1" applyFill="1" applyAlignment="1">
      <alignment horizontal="left" vertical="top"/>
    </xf>
    <xf numFmtId="169" fontId="47" fillId="0" borderId="0" xfId="590" applyFont="1" applyFill="1" applyAlignment="1" applyProtection="1">
      <alignment horizontal="left" vertical="top" wrapText="1"/>
      <protection locked="0"/>
    </xf>
    <xf numFmtId="0" fontId="47" fillId="0" borderId="0" xfId="0" applyFont="1" applyFill="1" applyBorder="1" applyAlignment="1">
      <alignment horizontal="left" vertical="top"/>
    </xf>
    <xf numFmtId="0" fontId="47" fillId="0" borderId="0" xfId="0" applyFont="1" applyFill="1" applyAlignment="1">
      <alignment horizontal="left" vertical="top"/>
    </xf>
    <xf numFmtId="0" fontId="47" fillId="0" borderId="0" xfId="0" applyNumberFormat="1" applyFont="1" applyFill="1" applyAlignment="1">
      <alignment horizontal="left" vertical="top" wrapText="1"/>
    </xf>
    <xf numFmtId="0" fontId="45" fillId="0" borderId="0" xfId="0" applyNumberFormat="1" applyFont="1" applyFill="1" applyAlignment="1">
      <alignment horizontal="center" vertical="top" wrapText="1"/>
    </xf>
    <xf numFmtId="0" fontId="0" fillId="0" borderId="0" xfId="0" applyAlignment="1">
      <alignment wrapText="1"/>
    </xf>
    <xf numFmtId="0" fontId="47" fillId="33" borderId="0" xfId="0" applyFont="1" applyFill="1" applyAlignment="1">
      <alignment horizontal="left" wrapText="1"/>
    </xf>
    <xf numFmtId="0" fontId="43" fillId="0" borderId="0" xfId="0" applyFont="1" applyFill="1" applyAlignment="1">
      <alignment horizontal="left" vertical="top" wrapText="1"/>
    </xf>
    <xf numFmtId="0" fontId="43" fillId="0" borderId="0" xfId="0" applyFont="1" applyFill="1" applyAlignment="1">
      <alignment horizontal="center"/>
    </xf>
    <xf numFmtId="0" fontId="43" fillId="0" borderId="0" xfId="0" applyFont="1" applyFill="1" applyAlignment="1">
      <alignment horizontal="center" wrapText="1"/>
    </xf>
    <xf numFmtId="0" fontId="43" fillId="0" borderId="0" xfId="0" applyFont="1" applyAlignment="1">
      <alignment horizontal="left" wrapText="1"/>
    </xf>
    <xf numFmtId="43" fontId="122" fillId="0" borderId="0" xfId="382" applyFont="1" applyFill="1" applyAlignment="1">
      <alignment horizontal="left"/>
    </xf>
    <xf numFmtId="0" fontId="43" fillId="0" borderId="0" xfId="504" applyFont="1" applyFill="1" applyBorder="1" applyAlignment="1">
      <alignment horizontal="left" vertical="top" wrapText="1"/>
    </xf>
    <xf numFmtId="0" fontId="43" fillId="0" borderId="0" xfId="0" applyFont="1" applyFill="1" applyAlignment="1">
      <alignment horizontal="left" wrapText="1"/>
    </xf>
    <xf numFmtId="43" fontId="43" fillId="0" borderId="0" xfId="0" applyNumberFormat="1" applyFont="1" applyFill="1" applyAlignment="1">
      <alignment horizontal="left"/>
    </xf>
    <xf numFmtId="43" fontId="122" fillId="0" borderId="0" xfId="382" applyFont="1" applyFill="1" applyAlignment="1">
      <alignment horizontal="center"/>
    </xf>
    <xf numFmtId="0" fontId="43" fillId="0" borderId="0" xfId="0" applyFont="1" applyAlignment="1">
      <alignment horizontal="center"/>
    </xf>
    <xf numFmtId="0" fontId="43" fillId="0" borderId="0" xfId="0" applyFont="1" applyFill="1" applyBorder="1" applyAlignment="1">
      <alignment horizontal="left" vertical="top" wrapText="1"/>
    </xf>
    <xf numFmtId="0" fontId="28" fillId="0" borderId="0" xfId="11271" applyFont="1" applyFill="1" applyAlignment="1">
      <alignment horizontal="left" wrapText="1"/>
    </xf>
    <xf numFmtId="0" fontId="143" fillId="0" borderId="0" xfId="0" applyFont="1" applyFill="1" applyAlignment="1">
      <alignment horizontal="left" vertical="center" wrapText="1"/>
    </xf>
    <xf numFmtId="0" fontId="43" fillId="0" borderId="0" xfId="504" applyFont="1" applyFill="1" applyAlignment="1">
      <alignment horizontal="left" vertical="top" wrapText="1"/>
    </xf>
    <xf numFmtId="0" fontId="43" fillId="0" borderId="0" xfId="504" applyFont="1" applyFill="1" applyBorder="1" applyAlignment="1">
      <alignment horizontal="left"/>
    </xf>
    <xf numFmtId="0" fontId="43" fillId="0" borderId="0" xfId="504" applyFont="1" applyBorder="1" applyAlignment="1">
      <alignment horizontal="left" vertical="top" wrapText="1"/>
    </xf>
    <xf numFmtId="0" fontId="44" fillId="0" borderId="0" xfId="484" applyFont="1" applyFill="1" applyAlignment="1">
      <alignment horizontal="center" vertical="top"/>
    </xf>
    <xf numFmtId="0" fontId="43" fillId="0" borderId="0" xfId="0" quotePrefix="1" applyFont="1" applyFill="1" applyBorder="1" applyAlignment="1">
      <alignment horizontal="center" vertical="top"/>
    </xf>
    <xf numFmtId="0" fontId="63" fillId="0" borderId="0" xfId="0" applyFont="1" applyFill="1" applyAlignment="1">
      <alignment horizontal="center"/>
    </xf>
    <xf numFmtId="0" fontId="43" fillId="0" borderId="0" xfId="0" applyFont="1" applyFill="1" applyAlignment="1">
      <alignment horizontal="left"/>
    </xf>
    <xf numFmtId="0" fontId="43" fillId="0" borderId="0" xfId="484" applyFont="1" applyFill="1" applyAlignment="1">
      <alignment horizontal="left" vertical="top" wrapText="1"/>
    </xf>
    <xf numFmtId="0" fontId="43" fillId="0" borderId="0" xfId="0" applyFont="1" applyAlignment="1">
      <alignment horizontal="center" vertical="top"/>
    </xf>
    <xf numFmtId="0" fontId="63" fillId="0" borderId="0" xfId="11272" applyFont="1" applyAlignment="1">
      <alignment horizontal="center"/>
    </xf>
    <xf numFmtId="0" fontId="63" fillId="0" borderId="0" xfId="474" quotePrefix="1" applyFont="1" applyFill="1" applyAlignment="1">
      <alignment horizontal="center"/>
    </xf>
    <xf numFmtId="0" fontId="43" fillId="0" borderId="0" xfId="474" applyFont="1" applyAlignment="1">
      <alignment horizontal="left" vertical="top" wrapText="1"/>
    </xf>
    <xf numFmtId="0" fontId="43" fillId="0" borderId="0" xfId="474" applyFont="1" applyFill="1" applyAlignment="1">
      <alignment horizontal="center"/>
    </xf>
    <xf numFmtId="3" fontId="43" fillId="0" borderId="0" xfId="11265" quotePrefix="1" applyNumberFormat="1" applyFont="1" applyFill="1" applyAlignment="1">
      <alignment horizontal="center"/>
    </xf>
    <xf numFmtId="0" fontId="43" fillId="0" borderId="0" xfId="474" applyFont="1" applyFill="1" applyAlignment="1">
      <alignment horizontal="left" vertical="top" wrapText="1"/>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43" fillId="0" borderId="0" xfId="474" applyFont="1" applyFill="1" applyAlignment="1">
      <alignment horizontal="center" vertical="top"/>
    </xf>
    <xf numFmtId="3" fontId="43" fillId="0" borderId="0" xfId="11265" quotePrefix="1" applyNumberFormat="1" applyFont="1" applyFill="1" applyAlignment="1">
      <alignment horizontal="center" vertical="top"/>
    </xf>
    <xf numFmtId="0" fontId="43" fillId="0" borderId="0" xfId="569" applyFont="1" applyFill="1" applyBorder="1" applyAlignment="1">
      <alignment horizontal="center" vertical="top"/>
    </xf>
    <xf numFmtId="0" fontId="43" fillId="0" borderId="0" xfId="564" quotePrefix="1" applyFont="1" applyFill="1" applyBorder="1" applyAlignment="1">
      <alignment horizontal="center" vertical="top"/>
    </xf>
    <xf numFmtId="0" fontId="44" fillId="0" borderId="0" xfId="0" applyFont="1" applyAlignment="1">
      <alignment horizontal="center"/>
    </xf>
    <xf numFmtId="0" fontId="44" fillId="0" borderId="0" xfId="0" applyFont="1" applyFill="1" applyAlignment="1">
      <alignment horizontal="center"/>
    </xf>
    <xf numFmtId="43" fontId="123" fillId="0" borderId="0" xfId="382" applyFont="1" applyFill="1" applyAlignment="1">
      <alignment horizontal="center"/>
    </xf>
    <xf numFmtId="0" fontId="44" fillId="0" borderId="24" xfId="0" applyFont="1" applyFill="1" applyBorder="1" applyAlignment="1">
      <alignment horizontal="left" vertical="top" wrapText="1"/>
    </xf>
    <xf numFmtId="0" fontId="44" fillId="0" borderId="0" xfId="0" applyFont="1" applyFill="1" applyAlignment="1">
      <alignment horizontal="left" vertical="top" wrapText="1"/>
    </xf>
    <xf numFmtId="43" fontId="123" fillId="0" borderId="0" xfId="382" applyFont="1" applyFill="1" applyBorder="1" applyAlignment="1">
      <alignment horizontal="center"/>
    </xf>
    <xf numFmtId="43" fontId="123" fillId="0" borderId="35" xfId="382" applyFont="1" applyFill="1" applyBorder="1" applyAlignment="1">
      <alignment horizontal="center"/>
    </xf>
    <xf numFmtId="43" fontId="123" fillId="0" borderId="54" xfId="382" applyFont="1" applyFill="1" applyBorder="1" applyAlignment="1">
      <alignment horizontal="center"/>
    </xf>
    <xf numFmtId="0" fontId="43" fillId="0" borderId="0" xfId="0" applyFont="1" applyBorder="1" applyAlignment="1">
      <alignment horizontal="left" vertical="top" wrapText="1"/>
    </xf>
    <xf numFmtId="0" fontId="44" fillId="0" borderId="0" xfId="0" applyFont="1" applyFill="1" applyBorder="1" applyAlignment="1">
      <alignment horizontal="left" vertical="top" wrapText="1"/>
    </xf>
    <xf numFmtId="0" fontId="43" fillId="0" borderId="0" xfId="0" applyFont="1" applyFill="1" applyBorder="1" applyAlignment="1">
      <alignment horizontal="left"/>
    </xf>
    <xf numFmtId="0" fontId="43" fillId="0" borderId="0" xfId="0" applyFont="1" applyFill="1" applyBorder="1" applyAlignment="1">
      <alignment horizontal="left" wrapText="1"/>
    </xf>
    <xf numFmtId="43" fontId="123" fillId="0" borderId="44" xfId="382" applyFont="1" applyFill="1" applyBorder="1" applyAlignment="1">
      <alignment horizontal="center"/>
    </xf>
    <xf numFmtId="0" fontId="0" fillId="0" borderId="0" xfId="0" applyAlignment="1">
      <alignment horizontal="left" vertical="top" wrapText="1"/>
    </xf>
    <xf numFmtId="0" fontId="43" fillId="0" borderId="0" xfId="0" applyFont="1" applyFill="1" applyAlignment="1">
      <alignment horizontal="left" vertical="center" wrapText="1"/>
    </xf>
    <xf numFmtId="43" fontId="130" fillId="0" borderId="0" xfId="382" applyFont="1" applyFill="1" applyAlignment="1">
      <alignment horizontal="center" wrapText="1"/>
    </xf>
    <xf numFmtId="43" fontId="9" fillId="0" borderId="0" xfId="382" applyFont="1" applyFill="1" applyBorder="1" applyAlignment="1">
      <alignment horizontal="center" wrapText="1"/>
    </xf>
    <xf numFmtId="43" fontId="9" fillId="0" borderId="18" xfId="382" applyFont="1" applyFill="1" applyBorder="1" applyAlignment="1">
      <alignment horizontal="center" wrapText="1"/>
    </xf>
    <xf numFmtId="0" fontId="18" fillId="0" borderId="0" xfId="11271" applyFont="1" applyFill="1" applyAlignment="1">
      <alignment horizontal="left" wrapText="1"/>
    </xf>
    <xf numFmtId="185" fontId="44" fillId="0" borderId="0" xfId="474" applyNumberFormat="1" applyFont="1" applyAlignment="1" applyProtection="1">
      <alignment horizontal="center"/>
      <protection locked="0"/>
    </xf>
    <xf numFmtId="0" fontId="43" fillId="0" borderId="0" xfId="474" applyFont="1" applyAlignment="1" applyProtection="1">
      <alignment horizontal="center"/>
      <protection locked="0"/>
    </xf>
    <xf numFmtId="0" fontId="43" fillId="0" borderId="0" xfId="474" applyFont="1" applyFill="1" applyAlignment="1" applyProtection="1">
      <alignment horizontal="center"/>
      <protection locked="0"/>
    </xf>
    <xf numFmtId="0" fontId="43" fillId="0" borderId="0" xfId="11272" applyFont="1" applyAlignment="1">
      <alignment horizontal="center" vertical="top"/>
    </xf>
    <xf numFmtId="0" fontId="63" fillId="0" borderId="0" xfId="0" quotePrefix="1" applyFont="1" applyFill="1" applyAlignment="1">
      <alignment horizontal="center"/>
    </xf>
    <xf numFmtId="0" fontId="26" fillId="0" borderId="0" xfId="513" applyFont="1" applyFill="1" applyAlignment="1">
      <alignment horizontal="left" vertical="top" wrapText="1"/>
    </xf>
    <xf numFmtId="0" fontId="6" fillId="0" borderId="0" xfId="513" applyFont="1" applyFill="1" applyAlignment="1">
      <alignment horizontal="left" vertical="top" wrapText="1"/>
    </xf>
    <xf numFmtId="0" fontId="63" fillId="0" borderId="0" xfId="513" applyFont="1" applyAlignment="1">
      <alignment horizontal="center"/>
    </xf>
    <xf numFmtId="0" fontId="72" fillId="0" borderId="0" xfId="513" applyFont="1" applyBorder="1" applyAlignment="1">
      <alignment horizontal="center"/>
    </xf>
    <xf numFmtId="0" fontId="63" fillId="0" borderId="0" xfId="513" applyFont="1" applyFill="1" applyAlignment="1">
      <alignment horizontal="center"/>
    </xf>
    <xf numFmtId="0" fontId="63" fillId="0" borderId="0" xfId="11271" applyFont="1" applyAlignment="1">
      <alignment horizontal="center"/>
    </xf>
    <xf numFmtId="0" fontId="2" fillId="0" borderId="0" xfId="34507" applyFont="1" applyAlignment="1">
      <alignment horizontal="center"/>
    </xf>
    <xf numFmtId="0" fontId="43" fillId="0" borderId="0" xfId="0" quotePrefix="1" applyFont="1" applyFill="1" applyBorder="1" applyAlignment="1">
      <alignment horizontal="left" vertical="top" wrapText="1"/>
    </xf>
    <xf numFmtId="0" fontId="43" fillId="0" borderId="0" xfId="11275" quotePrefix="1" applyFont="1" applyFill="1" applyBorder="1" applyAlignment="1">
      <alignment horizontal="center" vertical="top"/>
    </xf>
    <xf numFmtId="0" fontId="43" fillId="0" borderId="0" xfId="0" applyFont="1" applyAlignment="1">
      <alignment horizontal="left" vertical="top" wrapText="1"/>
    </xf>
    <xf numFmtId="0" fontId="43" fillId="0" borderId="0" xfId="11275" applyFont="1" applyFill="1" applyBorder="1" applyAlignment="1">
      <alignment horizontal="center" vertical="top"/>
    </xf>
    <xf numFmtId="164" fontId="43" fillId="0" borderId="6" xfId="11275" applyNumberFormat="1" applyFont="1" applyFill="1" applyBorder="1" applyAlignment="1">
      <alignment horizontal="center" vertical="top"/>
    </xf>
    <xf numFmtId="0" fontId="63" fillId="0" borderId="0" xfId="569" applyFont="1" applyFill="1" applyAlignment="1">
      <alignment horizontal="left" wrapText="1"/>
    </xf>
    <xf numFmtId="164" fontId="43" fillId="0" borderId="18" xfId="11275" applyNumberFormat="1" applyFont="1" applyFill="1" applyBorder="1" applyAlignment="1">
      <alignment horizontal="center" vertical="top"/>
    </xf>
    <xf numFmtId="0" fontId="43" fillId="0" borderId="0" xfId="569" quotePrefix="1" applyFont="1" applyFill="1" applyBorder="1" applyAlignment="1">
      <alignment horizontal="center" vertical="top"/>
    </xf>
    <xf numFmtId="0" fontId="63" fillId="0" borderId="0" xfId="11275" quotePrefix="1" applyFont="1" applyFill="1" applyAlignment="1">
      <alignment horizontal="left"/>
    </xf>
    <xf numFmtId="0" fontId="63" fillId="0" borderId="0" xfId="11275" applyFont="1" applyFill="1" applyAlignment="1">
      <alignment horizontal="left" vertical="top" wrapText="1"/>
    </xf>
    <xf numFmtId="0" fontId="63" fillId="0" borderId="54" xfId="569" applyFont="1" applyBorder="1" applyAlignment="1">
      <alignment horizontal="center"/>
    </xf>
    <xf numFmtId="0" fontId="63" fillId="0" borderId="0" xfId="569" applyFont="1" applyAlignment="1">
      <alignment horizontal="center"/>
    </xf>
    <xf numFmtId="0" fontId="63" fillId="37" borderId="54" xfId="569" applyFont="1" applyFill="1" applyBorder="1" applyAlignment="1">
      <alignment horizontal="center"/>
    </xf>
    <xf numFmtId="0" fontId="63" fillId="37" borderId="0" xfId="569" applyFont="1" applyFill="1" applyAlignment="1">
      <alignment horizontal="center"/>
    </xf>
    <xf numFmtId="0" fontId="0" fillId="0" borderId="0" xfId="0" applyAlignment="1">
      <alignment horizontal="left"/>
    </xf>
    <xf numFmtId="0" fontId="43" fillId="0" borderId="0" xfId="0" applyFont="1" applyFill="1" applyAlignment="1">
      <alignment wrapText="1"/>
    </xf>
    <xf numFmtId="0" fontId="43" fillId="0" borderId="0" xfId="0" quotePrefix="1" applyFont="1" applyFill="1" applyAlignment="1">
      <alignment horizontal="center"/>
    </xf>
    <xf numFmtId="43" fontId="122" fillId="0" borderId="0" xfId="382" applyFont="1" applyAlignment="1">
      <alignment horizontal="center"/>
    </xf>
    <xf numFmtId="0" fontId="43" fillId="0" borderId="0" xfId="0" applyFont="1" applyAlignment="1">
      <alignment horizontal="center" vertical="center"/>
    </xf>
    <xf numFmtId="0" fontId="43" fillId="0" borderId="0" xfId="0" quotePrefix="1" applyFont="1" applyFill="1" applyAlignment="1">
      <alignment horizontal="center" wrapText="1"/>
    </xf>
    <xf numFmtId="0" fontId="19" fillId="0" borderId="18" xfId="0" applyFont="1" applyFill="1" applyBorder="1" applyAlignment="1">
      <alignment horizontal="center"/>
    </xf>
    <xf numFmtId="0" fontId="43" fillId="0" borderId="0" xfId="474" applyFont="1" applyAlignment="1">
      <alignment horizontal="center"/>
    </xf>
    <xf numFmtId="0" fontId="26" fillId="0" borderId="0" xfId="11271" applyFont="1" applyBorder="1" applyAlignment="1">
      <alignment horizontal="center" wrapText="1"/>
    </xf>
    <xf numFmtId="0" fontId="26" fillId="0" borderId="18" xfId="11271" applyFont="1" applyBorder="1" applyAlignment="1">
      <alignment horizontal="center" wrapText="1"/>
    </xf>
    <xf numFmtId="0" fontId="43" fillId="0" borderId="0" xfId="474" quotePrefix="1" applyFont="1" applyAlignment="1">
      <alignment horizontal="center"/>
    </xf>
    <xf numFmtId="0" fontId="43" fillId="0" borderId="4" xfId="474" applyFont="1" applyBorder="1" applyAlignment="1">
      <alignment horizontal="center"/>
    </xf>
    <xf numFmtId="0" fontId="43" fillId="0" borderId="6" xfId="474" applyFont="1" applyBorder="1" applyAlignment="1">
      <alignment horizontal="center"/>
    </xf>
    <xf numFmtId="0" fontId="43" fillId="0" borderId="21" xfId="474" applyFont="1" applyBorder="1" applyAlignment="1">
      <alignment horizontal="center"/>
    </xf>
    <xf numFmtId="0" fontId="43" fillId="0" borderId="0" xfId="474" quotePrefix="1" applyFont="1" applyAlignment="1">
      <alignment horizontal="center" vertical="top"/>
    </xf>
    <xf numFmtId="0" fontId="43" fillId="0" borderId="0" xfId="474" applyFont="1" applyAlignment="1">
      <alignment horizontal="center" vertical="top"/>
    </xf>
    <xf numFmtId="0" fontId="43" fillId="0" borderId="0" xfId="474" quotePrefix="1" applyFont="1" applyFill="1" applyAlignment="1">
      <alignment horizontal="center"/>
    </xf>
    <xf numFmtId="0" fontId="43" fillId="0" borderId="0" xfId="474" quotePrefix="1" applyFont="1" applyAlignment="1">
      <alignment horizontal="center" vertical="center"/>
    </xf>
    <xf numFmtId="0" fontId="43" fillId="0" borderId="0" xfId="474" applyFont="1" applyAlignment="1">
      <alignment horizontal="center" vertical="center"/>
    </xf>
    <xf numFmtId="0" fontId="26" fillId="0" borderId="0" xfId="0" applyFont="1" applyFill="1" applyAlignment="1">
      <alignment horizontal="left" vertical="top" wrapText="1"/>
    </xf>
    <xf numFmtId="43" fontId="130" fillId="0" borderId="0" xfId="382" applyFont="1" applyFill="1" applyAlignment="1">
      <alignment horizontal="center"/>
    </xf>
    <xf numFmtId="0" fontId="23" fillId="0" borderId="0" xfId="0" quotePrefix="1" applyFont="1" applyFill="1" applyAlignment="1">
      <alignment horizontal="left" vertical="top" wrapText="1"/>
    </xf>
    <xf numFmtId="0" fontId="43" fillId="0" borderId="0" xfId="484" applyFont="1" applyFill="1" applyAlignment="1">
      <alignment horizontal="center" vertical="top"/>
    </xf>
    <xf numFmtId="0" fontId="23" fillId="0" borderId="0" xfId="0" quotePrefix="1" applyFont="1" applyAlignment="1">
      <alignment horizontal="left" vertical="top" wrapText="1"/>
    </xf>
    <xf numFmtId="43" fontId="43" fillId="0" borderId="18" xfId="382" applyFont="1" applyFill="1" applyBorder="1" applyAlignment="1">
      <alignment horizontal="center"/>
    </xf>
    <xf numFmtId="0" fontId="47" fillId="0" borderId="35" xfId="0" quotePrefix="1" applyFont="1" applyFill="1" applyBorder="1" applyAlignment="1">
      <alignment horizontal="left" vertical="center"/>
    </xf>
    <xf numFmtId="0" fontId="47" fillId="0" borderId="0" xfId="0" quotePrefix="1" applyFont="1" applyFill="1" applyBorder="1" applyAlignment="1">
      <alignment horizontal="center"/>
    </xf>
    <xf numFmtId="0" fontId="47" fillId="0" borderId="18" xfId="0" quotePrefix="1" applyNumberFormat="1" applyFont="1" applyFill="1" applyBorder="1" applyAlignment="1">
      <alignment horizontal="center"/>
    </xf>
    <xf numFmtId="10" fontId="43" fillId="0" borderId="0" xfId="678" applyNumberFormat="1" applyFont="1" applyFill="1" applyBorder="1" applyAlignment="1">
      <alignment horizontal="left" vertical="top"/>
    </xf>
    <xf numFmtId="166" fontId="43" fillId="0" borderId="0" xfId="678" applyNumberFormat="1" applyFont="1" applyFill="1" applyBorder="1" applyAlignment="1">
      <alignment horizontal="left" vertical="top"/>
    </xf>
    <xf numFmtId="10" fontId="43" fillId="0" borderId="0" xfId="674" applyNumberFormat="1" applyFont="1" applyFill="1" applyBorder="1"/>
    <xf numFmtId="43" fontId="43" fillId="0" borderId="0" xfId="0" applyNumberFormat="1" applyFont="1" applyFill="1" applyBorder="1" applyAlignment="1">
      <alignment horizontal="left"/>
    </xf>
    <xf numFmtId="39" fontId="43" fillId="0" borderId="0" xfId="403" applyNumberFormat="1" applyFont="1" applyFill="1" applyBorder="1"/>
    <xf numFmtId="164" fontId="43" fillId="0" borderId="0" xfId="382" quotePrefix="1" applyNumberFormat="1" applyFont="1" applyFill="1"/>
    <xf numFmtId="164" fontId="43" fillId="0" borderId="0" xfId="382" quotePrefix="1" applyNumberFormat="1" applyFont="1" applyFill="1" applyAlignment="1">
      <alignment horizontal="center"/>
    </xf>
    <xf numFmtId="164" fontId="0" fillId="0" borderId="11" xfId="37703" applyNumberFormat="1" applyFont="1" applyFill="1" applyBorder="1" applyAlignment="1">
      <alignment horizontal="centerContinuous" vertical="top"/>
    </xf>
    <xf numFmtId="164" fontId="0" fillId="0" borderId="0" xfId="0" applyNumberFormat="1" applyFill="1" applyAlignment="1">
      <alignment vertical="top"/>
    </xf>
    <xf numFmtId="0" fontId="43" fillId="0" borderId="0" xfId="474" applyFont="1" applyFill="1" applyAlignment="1">
      <alignment vertical="top"/>
    </xf>
    <xf numFmtId="0" fontId="43" fillId="0" borderId="0" xfId="0" quotePrefix="1" applyFont="1" applyFill="1" applyBorder="1"/>
    <xf numFmtId="0" fontId="168" fillId="0" borderId="0" xfId="0" applyFont="1"/>
    <xf numFmtId="169" fontId="98" fillId="0" borderId="0" xfId="37694" applyFont="1" applyAlignment="1"/>
    <xf numFmtId="164" fontId="44" fillId="0" borderId="0" xfId="382" applyNumberFormat="1" applyFont="1" applyFill="1" applyAlignment="1">
      <alignment vertical="top"/>
    </xf>
    <xf numFmtId="164" fontId="56" fillId="0" borderId="0" xfId="382" applyNumberFormat="1" applyFont="1" applyFill="1" applyAlignment="1">
      <alignment vertical="top"/>
    </xf>
    <xf numFmtId="0" fontId="169" fillId="0" borderId="0" xfId="11279" applyFont="1"/>
    <xf numFmtId="0" fontId="45" fillId="55" borderId="0" xfId="0" applyFont="1" applyFill="1"/>
    <xf numFmtId="164" fontId="122" fillId="0" borderId="0" xfId="382" applyNumberFormat="1" applyFont="1"/>
    <xf numFmtId="0" fontId="44" fillId="0" borderId="0" xfId="511" applyFont="1" applyFill="1"/>
    <xf numFmtId="0" fontId="170" fillId="0" borderId="0" xfId="504" applyFont="1"/>
    <xf numFmtId="0" fontId="43" fillId="0" borderId="0" xfId="504" applyFont="1" applyFill="1" applyAlignment="1">
      <alignment horizontal="left"/>
    </xf>
    <xf numFmtId="0" fontId="43" fillId="0" borderId="0" xfId="504" applyFont="1" applyFill="1" applyAlignment="1"/>
    <xf numFmtId="0" fontId="169" fillId="0" borderId="0" xfId="0" applyFont="1" applyFill="1" applyAlignment="1"/>
    <xf numFmtId="0" fontId="169" fillId="0" borderId="0" xfId="0" applyFont="1" applyFill="1" applyAlignment="1">
      <alignment vertical="center" wrapText="1"/>
    </xf>
    <xf numFmtId="0" fontId="165" fillId="0" borderId="0" xfId="504" applyFont="1" applyFill="1" applyBorder="1"/>
    <xf numFmtId="0" fontId="165" fillId="0" borderId="0" xfId="504" applyFont="1" applyFill="1"/>
    <xf numFmtId="14" fontId="43" fillId="0" borderId="0" xfId="0" quotePrefix="1" applyNumberFormat="1" applyFont="1" applyFill="1"/>
    <xf numFmtId="0" fontId="43" fillId="0" borderId="0" xfId="11271" applyFont="1" applyFill="1"/>
    <xf numFmtId="0" fontId="43" fillId="0" borderId="0" xfId="11271" applyFont="1" applyFill="1" applyBorder="1"/>
    <xf numFmtId="0" fontId="43" fillId="0" borderId="0" xfId="11271" applyFont="1" applyFill="1" applyAlignment="1">
      <alignment vertical="center"/>
    </xf>
    <xf numFmtId="0" fontId="169" fillId="0" borderId="0" xfId="0" applyFont="1" applyFill="1" applyAlignment="1">
      <alignment horizontal="center" wrapText="1"/>
    </xf>
    <xf numFmtId="0" fontId="43" fillId="0" borderId="0" xfId="533" applyFont="1" applyFill="1"/>
    <xf numFmtId="43" fontId="122" fillId="0" borderId="0" xfId="382" applyFont="1" applyFill="1" applyAlignment="1"/>
    <xf numFmtId="43" fontId="122" fillId="0" borderId="0" xfId="382" applyFont="1" applyFill="1" applyAlignment="1">
      <alignment horizontal="left" indent="1"/>
    </xf>
    <xf numFmtId="0" fontId="43" fillId="0" borderId="0" xfId="0" quotePrefix="1" applyFont="1" applyFill="1" applyAlignment="1">
      <alignment vertical="center"/>
    </xf>
    <xf numFmtId="0" fontId="122" fillId="0" borderId="0" xfId="0" applyFont="1" applyFill="1" applyAlignment="1">
      <alignment horizontal="left" indent="1"/>
    </xf>
    <xf numFmtId="0" fontId="125" fillId="0" borderId="0" xfId="474" applyFont="1" applyFill="1" applyAlignment="1">
      <alignment horizontal="left"/>
    </xf>
    <xf numFmtId="176" fontId="43" fillId="0" borderId="0" xfId="474" applyNumberFormat="1" applyFont="1" applyFill="1" applyAlignment="1">
      <alignment horizontal="left"/>
    </xf>
    <xf numFmtId="0" fontId="43" fillId="0" borderId="0" xfId="511" applyFont="1" applyFill="1" applyAlignment="1">
      <alignment horizontal="left" vertical="top" wrapText="1"/>
    </xf>
  </cellXfs>
  <cellStyles count="37704">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2 2 2" xfId="37703"/>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44" xfId="37699"/>
    <cellStyle name="Normal 45" xfId="37700"/>
    <cellStyle name="Normal 46" xfId="37701"/>
    <cellStyle name="Normal 47" xfId="37702"/>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color rgb="FFFFCCFF"/>
      <color rgb="FFFFFFCC"/>
      <color rgb="FF66FFFF"/>
      <color rgb="FFFFFF66"/>
      <color rgb="FFFF99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63</xdr:row>
      <xdr:rowOff>0</xdr:rowOff>
    </xdr:from>
    <xdr:ext cx="184731" cy="264560"/>
    <xdr:sp macro="" textlink="">
      <xdr:nvSpPr>
        <xdr:cNvPr id="2" name="TextBox 1"/>
        <xdr:cNvSpPr txBox="1"/>
      </xdr:nvSpPr>
      <xdr:spPr>
        <a:xfrm>
          <a:off x="4015740" y="1197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47</xdr:row>
      <xdr:rowOff>139700</xdr:rowOff>
    </xdr:from>
    <xdr:ext cx="184731" cy="264560"/>
    <xdr:sp macro="" textlink="">
      <xdr:nvSpPr>
        <xdr:cNvPr id="3" name="TextBox 2"/>
        <xdr:cNvSpPr txBox="1"/>
      </xdr:nvSpPr>
      <xdr:spPr>
        <a:xfrm>
          <a:off x="0" y="925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54</xdr:row>
      <xdr:rowOff>139700</xdr:rowOff>
    </xdr:from>
    <xdr:ext cx="184731" cy="264560"/>
    <xdr:sp macro="" textlink="">
      <xdr:nvSpPr>
        <xdr:cNvPr id="4" name="TextBox 3"/>
        <xdr:cNvSpPr txBox="1"/>
      </xdr:nvSpPr>
      <xdr:spPr>
        <a:xfrm>
          <a:off x="6141720" y="10434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64</xdr:row>
      <xdr:rowOff>0</xdr:rowOff>
    </xdr:from>
    <xdr:ext cx="184731" cy="264560"/>
    <xdr:sp macro="" textlink="">
      <xdr:nvSpPr>
        <xdr:cNvPr id="5" name="TextBox 4"/>
        <xdr:cNvSpPr txBox="1"/>
      </xdr:nvSpPr>
      <xdr:spPr>
        <a:xfrm>
          <a:off x="4351020" y="12176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47</xdr:row>
      <xdr:rowOff>139700</xdr:rowOff>
    </xdr:from>
    <xdr:ext cx="184731" cy="264560"/>
    <xdr:sp macro="" textlink="">
      <xdr:nvSpPr>
        <xdr:cNvPr id="6" name="TextBox 5"/>
        <xdr:cNvSpPr txBox="1"/>
      </xdr:nvSpPr>
      <xdr:spPr>
        <a:xfrm>
          <a:off x="0" y="9276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54</xdr:row>
      <xdr:rowOff>139700</xdr:rowOff>
    </xdr:from>
    <xdr:ext cx="184731" cy="264560"/>
    <xdr:sp macro="" textlink="">
      <xdr:nvSpPr>
        <xdr:cNvPr id="7" name="TextBox 6"/>
        <xdr:cNvSpPr txBox="1"/>
      </xdr:nvSpPr>
      <xdr:spPr>
        <a:xfrm>
          <a:off x="6477000" y="10457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38100</xdr:colOff>
      <xdr:row>75</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38100</xdr:colOff>
      <xdr:row>52</xdr:row>
      <xdr:rowOff>139700</xdr:rowOff>
    </xdr:from>
    <xdr:ext cx="184731" cy="264560"/>
    <xdr:sp macro="" textlink="">
      <xdr:nvSpPr>
        <xdr:cNvPr id="2" name="TextBox 1"/>
        <xdr:cNvSpPr txBox="1"/>
      </xdr:nvSpPr>
      <xdr:spPr>
        <a:xfrm>
          <a:off x="13853160" y="112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49</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56</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38</xdr:row>
      <xdr:rowOff>0</xdr:rowOff>
    </xdr:from>
    <xdr:ext cx="184731" cy="264560"/>
    <xdr:sp macro="" textlink="">
      <xdr:nvSpPr>
        <xdr:cNvPr id="18" name="TextBox 17"/>
        <xdr:cNvSpPr txBox="1"/>
      </xdr:nvSpPr>
      <xdr:spPr>
        <a:xfrm>
          <a:off x="305562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9" name="TextBox 18"/>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0" name="TextBox 19"/>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1" name="TextBox 20"/>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22" name="TextBox 21"/>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23" name="TextBox 22"/>
        <xdr:cNvSpPr txBox="1"/>
      </xdr:nvSpPr>
      <xdr:spPr>
        <a:xfrm>
          <a:off x="399288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4" name="TextBox 23"/>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5" name="TextBox 24"/>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6" name="TextBox 25"/>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7" name="TextBox 26"/>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8" name="TextBox 27"/>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9" name="TextBox 28"/>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30" name="TextBox 29"/>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31" name="TextBox 30"/>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2" name="TextBox 31"/>
        <xdr:cNvSpPr txBox="1"/>
      </xdr:nvSpPr>
      <xdr:spPr>
        <a:xfrm>
          <a:off x="502158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33" name="TextBox 32"/>
        <xdr:cNvSpPr txBox="1"/>
      </xdr:nvSpPr>
      <xdr:spPr>
        <a:xfrm>
          <a:off x="195072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38</xdr:row>
      <xdr:rowOff>0</xdr:rowOff>
    </xdr:from>
    <xdr:ext cx="184731" cy="264560"/>
    <xdr:sp macro="" textlink="">
      <xdr:nvSpPr>
        <xdr:cNvPr id="50" name="TextBox 49"/>
        <xdr:cNvSpPr txBox="1"/>
      </xdr:nvSpPr>
      <xdr:spPr>
        <a:xfrm>
          <a:off x="3055620" y="713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51" name="TextBox 50"/>
        <xdr:cNvSpPr txBox="1"/>
      </xdr:nvSpPr>
      <xdr:spPr>
        <a:xfrm>
          <a:off x="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52" name="TextBox 51"/>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53" name="TextBox 52"/>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54" name="TextBox 53"/>
        <xdr:cNvSpPr txBox="1"/>
      </xdr:nvSpPr>
      <xdr:spPr>
        <a:xfrm>
          <a:off x="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55" name="TextBox 54"/>
        <xdr:cNvSpPr txBox="1"/>
      </xdr:nvSpPr>
      <xdr:spPr>
        <a:xfrm>
          <a:off x="399288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56" name="TextBox 55"/>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57" name="TextBox 56"/>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58" name="TextBox 57"/>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59" name="TextBox 58"/>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60" name="TextBox 59"/>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61" name="TextBox 60"/>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62" name="TextBox 61"/>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63" name="TextBox 62"/>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64" name="TextBox 63"/>
        <xdr:cNvSpPr txBox="1"/>
      </xdr:nvSpPr>
      <xdr:spPr>
        <a:xfrm>
          <a:off x="502158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65" name="TextBox 64"/>
        <xdr:cNvSpPr txBox="1"/>
      </xdr:nvSpPr>
      <xdr:spPr>
        <a:xfrm>
          <a:off x="195072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nguye3\AppData\Local\Microsoft\Windows\Temporary%20Internet%20Files\Content.Outlook\3N981USX\EAI%20Template%20FERC%20Att%20O%202016T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SUPP\FERC\FERC%20-%20OATT\RS1081%20Rate%20Filings\2013%20(2012%20TY)%20ER13-1623\Model%20&amp;%20Filing\Model%20RevReq%202013%20OATT%20-%20Final%20As%20Fil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20(D)\1-Projects\1-%20Projects-Pending\PacifiCorp\Post%20settlement%20Formula%20runs\Issued%20Copy%20of%202013_Projection__Variance_Analy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raft\Special%20Projects\OATT\2001\2001%20OATT%20Rates%20TD%20OMadj.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SUPP\FERC\MISO\MISO%20OATT%20Tariff\OpCos%20Attmnt%20O%2010-25-2012%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Explanatory Stmts"/>
      <sheetName val="Variance"/>
      <sheetName val="MISO Cover"/>
      <sheetName val="Appendix A"/>
      <sheetName val="App A Support"/>
      <sheetName val="WP01 True-Up"/>
      <sheetName val="WP01 TU Support"/>
      <sheetName val="WP02 Support"/>
      <sheetName val="WP03 W&amp;S"/>
      <sheetName val="WP04 PIS"/>
      <sheetName val="WP04 Support"/>
      <sheetName val="WP05 CapAds"/>
      <sheetName val="WP06 ADIT"/>
      <sheetName val="WP06 ADIT Support"/>
      <sheetName val="WP07 M&amp;S"/>
      <sheetName val="WP08 Prepay"/>
      <sheetName val="WP09 PHFU"/>
      <sheetName val="WP10 Storm"/>
      <sheetName val="WP11 Credits"/>
      <sheetName val="WP12 PBOP"/>
      <sheetName val="WP13 TOTI"/>
      <sheetName val="WP14 COC"/>
      <sheetName val="WP14 Support"/>
      <sheetName val="WP15 Radials"/>
      <sheetName val="WP16 Interconn"/>
      <sheetName val="WP17 Rev"/>
      <sheetName val="WP17 Rev Support"/>
      <sheetName val="WP18 Deprec"/>
      <sheetName val="WP19 Load"/>
      <sheetName val="WP20 Reserves"/>
      <sheetName val="WP21 Pension"/>
      <sheetName val="WP22 IT Adj"/>
      <sheetName val="WP AJ1 MISO"/>
      <sheetName val="WP AJ2 ITC"/>
      <sheetName val="WP AJ3 HCM"/>
      <sheetName val="WP AJ4 Ouachita"/>
      <sheetName val="WP AJ5 GPRD"/>
      <sheetName val="WP AJ-MISC"/>
    </sheetNames>
    <sheetDataSet>
      <sheetData sheetId="0" refreshError="1"/>
      <sheetData sheetId="1" refreshError="1"/>
      <sheetData sheetId="2" refreshError="1"/>
      <sheetData sheetId="3">
        <row r="4">
          <cell r="K4" t="str">
            <v>For  the 12 Months Ended 12/31/2016</v>
          </cell>
        </row>
        <row r="194">
          <cell r="I194">
            <v>0.94499172336410309</v>
          </cell>
        </row>
        <row r="202">
          <cell r="I202">
            <v>6.3463757619497907E-2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sqref="A1:B1"/>
    </sheetView>
  </sheetViews>
  <sheetFormatPr defaultColWidth="8.88671875" defaultRowHeight="13.2"/>
  <cols>
    <col min="1" max="1" width="19.109375" style="1616" bestFit="1" customWidth="1"/>
    <col min="2" max="2" width="77.5546875" style="1616" customWidth="1"/>
    <col min="3" max="3" width="2.44140625" style="1616" customWidth="1"/>
    <col min="4" max="16384" width="8.88671875" style="709"/>
  </cols>
  <sheetData>
    <row r="1" spans="1:7">
      <c r="A1" s="1832" t="str">
        <f>+'MISO Cover'!C6</f>
        <v>Entergy Arkansas, Inc.</v>
      </c>
      <c r="B1" s="1832"/>
      <c r="C1" s="1557"/>
    </row>
    <row r="2" spans="1:7">
      <c r="A2" s="1832" t="s">
        <v>1581</v>
      </c>
      <c r="B2" s="1832"/>
      <c r="C2" s="1557"/>
    </row>
    <row r="3" spans="1:7">
      <c r="A3" s="1832" t="s">
        <v>1582</v>
      </c>
      <c r="B3" s="1832"/>
      <c r="C3" s="1557"/>
    </row>
    <row r="4" spans="1:7" ht="13.2" customHeight="1">
      <c r="A4" s="1832" t="str">
        <f>+'MISO Cover'!K4</f>
        <v>For  the 12 Months Ended 12/31/2016</v>
      </c>
      <c r="B4" s="1832"/>
      <c r="C4" s="1557"/>
    </row>
    <row r="6" spans="1:7">
      <c r="A6" s="1760" t="s">
        <v>145</v>
      </c>
      <c r="B6" s="1760" t="s">
        <v>117</v>
      </c>
      <c r="C6" s="1761"/>
    </row>
    <row r="8" spans="1:7">
      <c r="A8" s="1616" t="s">
        <v>1872</v>
      </c>
      <c r="B8" s="771" t="s">
        <v>1873</v>
      </c>
    </row>
    <row r="10" spans="1:7" ht="27.6" customHeight="1">
      <c r="A10" s="1616" t="s">
        <v>1806</v>
      </c>
      <c r="B10" s="771" t="s">
        <v>1843</v>
      </c>
      <c r="D10" s="1617"/>
      <c r="E10" s="1618"/>
      <c r="F10" s="1617"/>
      <c r="G10" s="1617"/>
    </row>
    <row r="11" spans="1:7" ht="15">
      <c r="B11" s="771"/>
      <c r="D11" s="1617"/>
      <c r="E11" s="1618"/>
      <c r="F11" s="1617"/>
      <c r="G11" s="1617"/>
    </row>
    <row r="12" spans="1:7" ht="39.6">
      <c r="A12" s="1616" t="s">
        <v>1806</v>
      </c>
      <c r="B12" s="771" t="s">
        <v>1583</v>
      </c>
      <c r="D12" s="1617"/>
      <c r="E12" s="1618"/>
      <c r="F12" s="1617"/>
      <c r="G12" s="1617"/>
    </row>
    <row r="13" spans="1:7" ht="15">
      <c r="B13" s="771"/>
      <c r="D13" s="1617"/>
      <c r="E13" s="1618"/>
      <c r="F13" s="1617"/>
      <c r="G13" s="1617"/>
    </row>
    <row r="14" spans="1:7" ht="26.4">
      <c r="A14" s="1616" t="s">
        <v>1810</v>
      </c>
      <c r="B14" s="771" t="s">
        <v>1844</v>
      </c>
      <c r="D14" s="1617"/>
      <c r="E14" s="1618"/>
      <c r="F14" s="1617"/>
      <c r="G14" s="1617"/>
    </row>
    <row r="15" spans="1:7" ht="15">
      <c r="B15" s="771"/>
      <c r="D15" s="1617"/>
      <c r="E15" s="1618"/>
      <c r="F15" s="1617"/>
      <c r="G15" s="1617"/>
    </row>
    <row r="16" spans="1:7" ht="26.4">
      <c r="A16" s="1616" t="s">
        <v>1797</v>
      </c>
      <c r="B16" s="771" t="s">
        <v>1811</v>
      </c>
      <c r="D16" s="1617"/>
      <c r="E16" s="1618"/>
      <c r="F16" s="1617"/>
      <c r="G16" s="1617"/>
    </row>
    <row r="17" spans="1:7" ht="15">
      <c r="B17" s="771"/>
      <c r="D17" s="1617"/>
      <c r="E17" s="1618"/>
      <c r="F17" s="1617"/>
      <c r="G17" s="1617"/>
    </row>
    <row r="18" spans="1:7" ht="26.4">
      <c r="A18" s="1616" t="s">
        <v>1823</v>
      </c>
      <c r="B18" s="771" t="str">
        <f>+'WP12 PBOP'!E9</f>
        <v>See FERC Docket ER17-1549 Filed May 1, 2017, Page "A - 2016 Summary", Column "2016 Actuals"</v>
      </c>
      <c r="D18" s="1617"/>
      <c r="E18" s="1618"/>
      <c r="F18" s="1617"/>
      <c r="G18" s="1617"/>
    </row>
    <row r="19" spans="1:7" ht="15">
      <c r="B19" s="771"/>
      <c r="D19" s="1617"/>
      <c r="E19" s="1618"/>
      <c r="F19" s="1617"/>
      <c r="G19" s="1617"/>
    </row>
    <row r="20" spans="1:7" ht="41.4" customHeight="1">
      <c r="A20" s="1616" t="s">
        <v>1584</v>
      </c>
      <c r="B20" s="771" t="s">
        <v>1585</v>
      </c>
      <c r="D20" s="1619"/>
      <c r="E20" s="1618"/>
      <c r="F20" s="1617"/>
      <c r="G20" s="1617"/>
    </row>
    <row r="21" spans="1:7" ht="15">
      <c r="B21" s="771"/>
      <c r="D21" s="1619"/>
      <c r="E21" s="1618"/>
      <c r="F21" s="1617"/>
      <c r="G21" s="1617"/>
    </row>
    <row r="22" spans="1:7" ht="26.4">
      <c r="A22" s="1616" t="s">
        <v>1587</v>
      </c>
      <c r="B22" s="1616" t="s">
        <v>1818</v>
      </c>
      <c r="D22" s="1619"/>
      <c r="E22" s="1618"/>
      <c r="F22" s="1617"/>
      <c r="G22" s="1617"/>
    </row>
    <row r="23" spans="1:7" ht="79.2">
      <c r="A23" s="1616" t="s">
        <v>1587</v>
      </c>
      <c r="B23" s="1616" t="s">
        <v>1845</v>
      </c>
      <c r="D23" s="1619"/>
      <c r="E23" s="1618"/>
      <c r="F23" s="1617"/>
      <c r="G23" s="1617"/>
    </row>
    <row r="24" spans="1:7" ht="15">
      <c r="D24" s="1619"/>
      <c r="E24" s="1618"/>
      <c r="F24" s="1617"/>
      <c r="G24" s="1617"/>
    </row>
    <row r="25" spans="1:7" ht="15">
      <c r="A25" s="1616" t="s">
        <v>1812</v>
      </c>
      <c r="B25" s="1616" t="s">
        <v>1813</v>
      </c>
      <c r="D25" s="1619"/>
      <c r="E25" s="1618"/>
      <c r="F25" s="1617"/>
      <c r="G25" s="1617"/>
    </row>
    <row r="26" spans="1:7" ht="15">
      <c r="D26" s="1619"/>
      <c r="E26" s="1618"/>
      <c r="F26" s="1617"/>
      <c r="G26" s="1617"/>
    </row>
    <row r="27" spans="1:7">
      <c r="A27" s="1616" t="s">
        <v>1801</v>
      </c>
      <c r="B27" s="1616" t="s">
        <v>1805</v>
      </c>
    </row>
    <row r="29" spans="1:7" ht="26.4">
      <c r="A29" s="1616" t="s">
        <v>1798</v>
      </c>
      <c r="B29" s="1616" t="s">
        <v>1814</v>
      </c>
      <c r="D29" s="1619"/>
      <c r="E29" s="1618"/>
      <c r="F29" s="1617"/>
      <c r="G29" s="1617"/>
    </row>
    <row r="30" spans="1:7" ht="15">
      <c r="D30" s="1619"/>
      <c r="E30" s="1618"/>
      <c r="F30" s="1617"/>
      <c r="G30" s="1617"/>
    </row>
    <row r="31" spans="1:7" ht="13.5" customHeight="1">
      <c r="A31" s="1616" t="s">
        <v>1800</v>
      </c>
      <c r="B31" s="1616" t="s">
        <v>1802</v>
      </c>
    </row>
    <row r="33" spans="1:7" ht="38.4" customHeight="1">
      <c r="A33" s="1616" t="s">
        <v>1799</v>
      </c>
      <c r="B33" s="1616" t="s">
        <v>1804</v>
      </c>
      <c r="D33" s="1619"/>
      <c r="E33" s="1618"/>
      <c r="F33" s="1617"/>
      <c r="G33" s="1617"/>
    </row>
    <row r="34" spans="1:7">
      <c r="D34" s="1617"/>
      <c r="E34" s="1617"/>
      <c r="F34" s="1617"/>
      <c r="G34" s="1617"/>
    </row>
    <row r="35" spans="1:7" ht="52.2" customHeight="1">
      <c r="A35" s="1616" t="s">
        <v>1803</v>
      </c>
      <c r="B35" s="771" t="s">
        <v>1870</v>
      </c>
    </row>
    <row r="37" spans="1:7" ht="26.4">
      <c r="A37" s="1616" t="s">
        <v>1868</v>
      </c>
      <c r="B37" s="1616" t="s">
        <v>1869</v>
      </c>
    </row>
  </sheetData>
  <mergeCells count="4">
    <mergeCell ref="A1:B1"/>
    <mergeCell ref="A2:B2"/>
    <mergeCell ref="A3:B3"/>
    <mergeCell ref="A4:B4"/>
  </mergeCells>
  <pageMargins left="0.5" right="0.5" top="0.5" bottom="0.5" header="0.3" footer="0.3"/>
  <pageSetup scale="95"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3"/>
  <sheetViews>
    <sheetView zoomScaleNormal="100" zoomScaleSheetLayoutView="75" workbookViewId="0">
      <selection sqref="A1:B1"/>
    </sheetView>
  </sheetViews>
  <sheetFormatPr defaultColWidth="8.88671875" defaultRowHeight="13.2"/>
  <cols>
    <col min="1" max="1" width="6.44140625" style="544" customWidth="1"/>
    <col min="2" max="2" width="9.44140625" style="544" customWidth="1"/>
    <col min="3" max="3" width="12.44140625" style="544" bestFit="1" customWidth="1"/>
    <col min="4" max="4" width="16.44140625" style="544" bestFit="1" customWidth="1"/>
    <col min="5" max="5" width="14.109375" style="544" bestFit="1" customWidth="1"/>
    <col min="6" max="6" width="16.5546875" style="269" bestFit="1" customWidth="1"/>
    <col min="7" max="7" width="14.109375" style="269" bestFit="1" customWidth="1"/>
    <col min="8" max="8" width="11.44140625" style="544" bestFit="1" customWidth="1"/>
    <col min="9" max="9" width="12.33203125" style="544" bestFit="1" customWidth="1"/>
    <col min="10" max="10" width="14.33203125" style="544" customWidth="1"/>
    <col min="11" max="11" width="12.44140625" style="544" bestFit="1" customWidth="1"/>
    <col min="12" max="12" width="15.88671875" style="544" bestFit="1" customWidth="1"/>
    <col min="13" max="13" width="14.33203125" style="544" customWidth="1"/>
    <col min="14" max="26" width="8.88671875" style="544"/>
    <col min="27" max="27" width="11.5546875" style="544" customWidth="1"/>
    <col min="28" max="16384" width="8.88671875" style="544"/>
  </cols>
  <sheetData>
    <row r="1" spans="1:13">
      <c r="A1" s="1866" t="str">
        <f>+'MISO Cover'!C6</f>
        <v>Entergy Arkansas, Inc.</v>
      </c>
      <c r="B1" s="1866"/>
      <c r="C1" s="1866"/>
      <c r="D1" s="1866"/>
      <c r="E1" s="1866"/>
      <c r="F1" s="1866"/>
      <c r="G1" s="1866"/>
      <c r="H1" s="1866"/>
      <c r="I1" s="1866"/>
      <c r="J1" s="1866"/>
      <c r="K1" s="1866"/>
      <c r="L1" s="1866"/>
    </row>
    <row r="2" spans="1:13">
      <c r="A2" s="1882" t="s">
        <v>1620</v>
      </c>
      <c r="B2" s="1882"/>
      <c r="C2" s="1882"/>
      <c r="D2" s="1882"/>
      <c r="E2" s="1882"/>
      <c r="F2" s="1882"/>
      <c r="G2" s="1882"/>
      <c r="H2" s="1882"/>
      <c r="I2" s="1882"/>
      <c r="J2" s="1882"/>
      <c r="K2" s="1882"/>
      <c r="L2" s="1882"/>
      <c r="M2" s="550" t="s">
        <v>1549</v>
      </c>
    </row>
    <row r="3" spans="1:13">
      <c r="A3" s="1883" t="str">
        <f>+'MISO Cover'!K4</f>
        <v>For  the 12 Months Ended 12/31/2016</v>
      </c>
      <c r="B3" s="1883"/>
      <c r="C3" s="1883"/>
      <c r="D3" s="1883"/>
      <c r="E3" s="1883"/>
      <c r="F3" s="1883"/>
      <c r="G3" s="1883"/>
      <c r="H3" s="1883"/>
      <c r="I3" s="1883"/>
      <c r="J3" s="1883"/>
      <c r="K3" s="1883"/>
      <c r="L3" s="1883"/>
    </row>
    <row r="4" spans="1:13">
      <c r="A4" s="555"/>
      <c r="B4" s="555"/>
      <c r="C4" s="555"/>
      <c r="D4" s="555"/>
      <c r="E4" s="555"/>
    </row>
    <row r="5" spans="1:13" s="560" customFormat="1">
      <c r="A5" s="668" t="s">
        <v>290</v>
      </c>
      <c r="B5" s="648" t="s">
        <v>72</v>
      </c>
      <c r="C5" s="648" t="s">
        <v>119</v>
      </c>
      <c r="D5" s="668" t="s">
        <v>60</v>
      </c>
      <c r="E5" s="668" t="s">
        <v>73</v>
      </c>
      <c r="F5" s="668" t="s">
        <v>71</v>
      </c>
      <c r="G5" s="668" t="s">
        <v>161</v>
      </c>
      <c r="H5" s="668" t="s">
        <v>74</v>
      </c>
      <c r="I5" s="668" t="s">
        <v>174</v>
      </c>
      <c r="J5" s="668" t="s">
        <v>64</v>
      </c>
      <c r="K5" s="669" t="s">
        <v>65</v>
      </c>
      <c r="L5" s="669" t="s">
        <v>76</v>
      </c>
    </row>
    <row r="6" spans="1:13" s="560" customFormat="1" ht="15.6" customHeight="1">
      <c r="A6" s="747">
        <v>1</v>
      </c>
      <c r="B6" s="670" t="s">
        <v>772</v>
      </c>
      <c r="C6" s="648"/>
      <c r="D6" s="668"/>
      <c r="E6" s="668"/>
      <c r="F6" s="648" t="s">
        <v>568</v>
      </c>
      <c r="G6" s="668"/>
      <c r="H6" s="668"/>
      <c r="I6" s="668"/>
      <c r="J6" s="668"/>
      <c r="K6" s="669"/>
      <c r="L6" s="734" t="s">
        <v>587</v>
      </c>
    </row>
    <row r="7" spans="1:13" s="561" customFormat="1" ht="30" customHeight="1">
      <c r="A7" s="747">
        <f>+A6+1</f>
        <v>2</v>
      </c>
      <c r="B7" s="544"/>
      <c r="C7" s="648" t="s">
        <v>433</v>
      </c>
      <c r="D7" s="648" t="s">
        <v>567</v>
      </c>
      <c r="E7" s="668" t="s">
        <v>478</v>
      </c>
      <c r="F7" s="668" t="s">
        <v>432</v>
      </c>
      <c r="G7" s="668" t="s">
        <v>141</v>
      </c>
      <c r="H7" s="668" t="s">
        <v>479</v>
      </c>
      <c r="I7" s="668" t="s">
        <v>274</v>
      </c>
      <c r="J7" s="668" t="s">
        <v>25</v>
      </c>
      <c r="K7" s="668" t="s">
        <v>198</v>
      </c>
      <c r="L7" s="668" t="s">
        <v>118</v>
      </c>
    </row>
    <row r="8" spans="1:13" s="557" customFormat="1">
      <c r="A8" s="747">
        <f>+A7+1</f>
        <v>3</v>
      </c>
      <c r="B8" s="552" t="s">
        <v>145</v>
      </c>
      <c r="C8" s="1544" t="s">
        <v>558</v>
      </c>
      <c r="D8" s="1544"/>
      <c r="E8" s="1544"/>
      <c r="F8" s="1544" t="s">
        <v>557</v>
      </c>
      <c r="G8" s="1544" t="s">
        <v>559</v>
      </c>
      <c r="H8" s="1544"/>
      <c r="I8" s="1544"/>
      <c r="J8" s="1544" t="s">
        <v>560</v>
      </c>
      <c r="K8" s="1544" t="s">
        <v>561</v>
      </c>
      <c r="L8" s="1545"/>
    </row>
    <row r="9" spans="1:13" s="553" customFormat="1">
      <c r="A9" s="747">
        <f t="shared" ref="A9:A20" si="0">+A8+1</f>
        <v>4</v>
      </c>
      <c r="B9" s="1476" t="s">
        <v>42</v>
      </c>
      <c r="C9" s="742">
        <v>395380312.91000003</v>
      </c>
      <c r="D9" s="742">
        <v>4130121153.98</v>
      </c>
      <c r="E9" s="742">
        <v>115297172.58</v>
      </c>
      <c r="F9" s="550">
        <f t="shared" ref="F9:F21" si="1">+D9+E9</f>
        <v>4245418326.5599999</v>
      </c>
      <c r="G9" s="742">
        <v>1711527886.99</v>
      </c>
      <c r="H9" s="742">
        <v>41956366.520000003</v>
      </c>
      <c r="I9" s="742">
        <v>16247514.41</v>
      </c>
      <c r="J9" s="742">
        <v>3102126176.8099999</v>
      </c>
      <c r="K9" s="742">
        <v>173641979.13999999</v>
      </c>
      <c r="L9" s="554">
        <f>+C9+D9+G9+J9+K9</f>
        <v>9512797509.8299999</v>
      </c>
    </row>
    <row r="10" spans="1:13">
      <c r="A10" s="747">
        <f t="shared" si="0"/>
        <v>5</v>
      </c>
      <c r="B10" s="1476" t="s">
        <v>32</v>
      </c>
      <c r="C10" s="742">
        <v>395465199.42000002</v>
      </c>
      <c r="D10" s="742">
        <v>4130564862.3899999</v>
      </c>
      <c r="E10" s="742">
        <v>115297172.58</v>
      </c>
      <c r="F10" s="550">
        <f t="shared" si="1"/>
        <v>4245862034.9699998</v>
      </c>
      <c r="G10" s="742">
        <v>1723484400.3599999</v>
      </c>
      <c r="H10" s="742">
        <v>41919343.850000001</v>
      </c>
      <c r="I10" s="742">
        <v>16247514.41</v>
      </c>
      <c r="J10" s="742">
        <v>3113024796.0300002</v>
      </c>
      <c r="K10" s="742">
        <v>187506276.69999999</v>
      </c>
      <c r="L10" s="554">
        <f t="shared" ref="L10:L20" si="2">+C10+D10+G10+J10+K10</f>
        <v>9550045534.8999996</v>
      </c>
    </row>
    <row r="11" spans="1:13">
      <c r="A11" s="747">
        <f t="shared" si="0"/>
        <v>6</v>
      </c>
      <c r="B11" s="1476" t="s">
        <v>33</v>
      </c>
      <c r="C11" s="742">
        <v>396359124.56999999</v>
      </c>
      <c r="D11" s="742">
        <v>4135453572.5599999</v>
      </c>
      <c r="E11" s="742">
        <v>115297172.58</v>
      </c>
      <c r="F11" s="550">
        <f t="shared" si="1"/>
        <v>4250750745.1399999</v>
      </c>
      <c r="G11" s="742">
        <v>1732456917.8199999</v>
      </c>
      <c r="H11" s="742">
        <v>41919343.850000001</v>
      </c>
      <c r="I11" s="742">
        <v>16247514.41</v>
      </c>
      <c r="J11" s="742">
        <v>3118689530.8800001</v>
      </c>
      <c r="K11" s="742">
        <v>194740328.78999999</v>
      </c>
      <c r="L11" s="554">
        <f t="shared" si="2"/>
        <v>9577699474.6200008</v>
      </c>
    </row>
    <row r="12" spans="1:13">
      <c r="A12" s="747">
        <f t="shared" si="0"/>
        <v>7</v>
      </c>
      <c r="B12" s="1476" t="s">
        <v>34</v>
      </c>
      <c r="C12" s="742">
        <v>396679277.18000001</v>
      </c>
      <c r="D12" s="742">
        <v>4446867050.1999998</v>
      </c>
      <c r="E12" s="742">
        <v>115297172.58</v>
      </c>
      <c r="F12" s="550">
        <f t="shared" si="1"/>
        <v>4562164222.7799997</v>
      </c>
      <c r="G12" s="742">
        <v>1812371307.51</v>
      </c>
      <c r="H12" s="742">
        <v>52341133.240000002</v>
      </c>
      <c r="I12" s="742">
        <v>16247514.41</v>
      </c>
      <c r="J12" s="742">
        <v>3125131594.3699999</v>
      </c>
      <c r="K12" s="742">
        <v>195223959.21000001</v>
      </c>
      <c r="L12" s="554">
        <f t="shared" si="2"/>
        <v>9976273188.4699993</v>
      </c>
    </row>
    <row r="13" spans="1:13">
      <c r="A13" s="747">
        <f t="shared" si="0"/>
        <v>8</v>
      </c>
      <c r="B13" s="1476" t="s">
        <v>35</v>
      </c>
      <c r="C13" s="742">
        <v>404519342.23000002</v>
      </c>
      <c r="D13" s="742">
        <v>4448383718.0100002</v>
      </c>
      <c r="E13" s="742">
        <v>115297172.58</v>
      </c>
      <c r="F13" s="550">
        <f t="shared" si="1"/>
        <v>4563680890.5900002</v>
      </c>
      <c r="G13" s="742">
        <v>1830888466.3399999</v>
      </c>
      <c r="H13" s="742">
        <v>52341133.240000002</v>
      </c>
      <c r="I13" s="742">
        <v>16247514.41</v>
      </c>
      <c r="J13" s="742">
        <v>3129562004.8200002</v>
      </c>
      <c r="K13" s="742">
        <v>196341034.88999999</v>
      </c>
      <c r="L13" s="554">
        <f t="shared" si="2"/>
        <v>10009694566.289999</v>
      </c>
    </row>
    <row r="14" spans="1:13">
      <c r="A14" s="747">
        <f t="shared" si="0"/>
        <v>9</v>
      </c>
      <c r="B14" s="1476" t="s">
        <v>31</v>
      </c>
      <c r="C14" s="742">
        <v>405242563.56</v>
      </c>
      <c r="D14" s="742">
        <v>4452701139.0699997</v>
      </c>
      <c r="E14" s="742">
        <v>115297172.58</v>
      </c>
      <c r="F14" s="550">
        <f t="shared" si="1"/>
        <v>4567998311.6499996</v>
      </c>
      <c r="G14" s="742">
        <v>1849614240.24</v>
      </c>
      <c r="H14" s="742">
        <v>52341133.240000002</v>
      </c>
      <c r="I14" s="742">
        <v>16247514.41</v>
      </c>
      <c r="J14" s="742">
        <v>3141121304.0500002</v>
      </c>
      <c r="K14" s="742">
        <v>196720408.40000001</v>
      </c>
      <c r="L14" s="554">
        <f t="shared" si="2"/>
        <v>10045399655.32</v>
      </c>
    </row>
    <row r="15" spans="1:13">
      <c r="A15" s="747">
        <f t="shared" si="0"/>
        <v>10</v>
      </c>
      <c r="B15" s="1476" t="s">
        <v>36</v>
      </c>
      <c r="C15" s="742">
        <v>407075457.20999998</v>
      </c>
      <c r="D15" s="742">
        <v>4454834729.8199997</v>
      </c>
      <c r="E15" s="742">
        <v>115297172.58</v>
      </c>
      <c r="F15" s="550">
        <f t="shared" si="1"/>
        <v>4570131902.3999996</v>
      </c>
      <c r="G15" s="742">
        <v>1911817809.54</v>
      </c>
      <c r="H15" s="742">
        <v>52341133.240000002</v>
      </c>
      <c r="I15" s="742">
        <v>16247514.41</v>
      </c>
      <c r="J15" s="742">
        <v>3155019013.8400002</v>
      </c>
      <c r="K15" s="742">
        <v>197460566.00999999</v>
      </c>
      <c r="L15" s="554">
        <f t="shared" si="2"/>
        <v>10126207576.42</v>
      </c>
    </row>
    <row r="16" spans="1:13">
      <c r="A16" s="747">
        <f t="shared" si="0"/>
        <v>11</v>
      </c>
      <c r="B16" s="1476" t="s">
        <v>37</v>
      </c>
      <c r="C16" s="742">
        <v>408478641.63</v>
      </c>
      <c r="D16" s="742">
        <v>4450169343.8400002</v>
      </c>
      <c r="E16" s="742">
        <v>115297172.58</v>
      </c>
      <c r="F16" s="550">
        <f t="shared" si="1"/>
        <v>4565466516.4200001</v>
      </c>
      <c r="G16" s="742">
        <v>1961694879.95</v>
      </c>
      <c r="H16" s="742">
        <v>52258886.75</v>
      </c>
      <c r="I16" s="742">
        <v>16247514.41</v>
      </c>
      <c r="J16" s="742">
        <v>3180176371.8000002</v>
      </c>
      <c r="K16" s="742">
        <v>198261741.72</v>
      </c>
      <c r="L16" s="554">
        <f t="shared" si="2"/>
        <v>10198780978.940001</v>
      </c>
    </row>
    <row r="17" spans="1:14">
      <c r="A17" s="747">
        <f t="shared" si="0"/>
        <v>12</v>
      </c>
      <c r="B17" s="1476" t="s">
        <v>38</v>
      </c>
      <c r="C17" s="742">
        <v>409992084.63</v>
      </c>
      <c r="D17" s="742">
        <v>4452055474.4099998</v>
      </c>
      <c r="E17" s="742">
        <v>115297172.58</v>
      </c>
      <c r="F17" s="550">
        <f t="shared" si="1"/>
        <v>4567352646.9899998</v>
      </c>
      <c r="G17" s="742">
        <v>1966252365.3399999</v>
      </c>
      <c r="H17" s="742">
        <v>52258886.75</v>
      </c>
      <c r="I17" s="742">
        <v>16247514.41</v>
      </c>
      <c r="J17" s="742">
        <v>3211195533.8200002</v>
      </c>
      <c r="K17" s="742">
        <v>205764403.28</v>
      </c>
      <c r="L17" s="554">
        <f t="shared" si="2"/>
        <v>10245259861.480001</v>
      </c>
    </row>
    <row r="18" spans="1:14">
      <c r="A18" s="747">
        <f t="shared" si="0"/>
        <v>13</v>
      </c>
      <c r="B18" s="1476" t="s">
        <v>39</v>
      </c>
      <c r="C18" s="742">
        <v>411053183.87</v>
      </c>
      <c r="D18" s="742">
        <v>4454161170.9499998</v>
      </c>
      <c r="E18" s="742">
        <v>115297172.58</v>
      </c>
      <c r="F18" s="550">
        <f t="shared" si="1"/>
        <v>4569458343.5299997</v>
      </c>
      <c r="G18" s="742">
        <v>1971486756.5699999</v>
      </c>
      <c r="H18" s="742">
        <v>51961998.030000001</v>
      </c>
      <c r="I18" s="742">
        <v>16247514.41</v>
      </c>
      <c r="J18" s="742">
        <v>3219297531.8499999</v>
      </c>
      <c r="K18" s="742">
        <v>213603293.13</v>
      </c>
      <c r="L18" s="554">
        <f t="shared" si="2"/>
        <v>10269601936.369999</v>
      </c>
    </row>
    <row r="19" spans="1:14">
      <c r="A19" s="747">
        <f t="shared" si="0"/>
        <v>14</v>
      </c>
      <c r="B19" s="1476" t="s">
        <v>40</v>
      </c>
      <c r="C19" s="742">
        <v>411830018.24000001</v>
      </c>
      <c r="D19" s="742">
        <v>4458502994.2600002</v>
      </c>
      <c r="E19" s="742">
        <v>115297172.58</v>
      </c>
      <c r="F19" s="550">
        <f t="shared" si="1"/>
        <v>4573800166.8400002</v>
      </c>
      <c r="G19" s="742">
        <v>1973463309</v>
      </c>
      <c r="H19" s="742">
        <v>51961998.030000001</v>
      </c>
      <c r="I19" s="742">
        <v>16247514.41</v>
      </c>
      <c r="J19" s="742">
        <v>3261816660.29</v>
      </c>
      <c r="K19" s="742">
        <v>214002245.59</v>
      </c>
      <c r="L19" s="554">
        <f t="shared" si="2"/>
        <v>10319615227.380001</v>
      </c>
    </row>
    <row r="20" spans="1:14">
      <c r="A20" s="747">
        <f t="shared" si="0"/>
        <v>15</v>
      </c>
      <c r="B20" s="1476" t="s">
        <v>41</v>
      </c>
      <c r="C20" s="742">
        <v>406895150.75999999</v>
      </c>
      <c r="D20" s="742">
        <v>4479780126.2600002</v>
      </c>
      <c r="E20" s="742">
        <v>115297172.58</v>
      </c>
      <c r="F20" s="550">
        <f t="shared" si="1"/>
        <v>4595077298.8400002</v>
      </c>
      <c r="G20" s="742">
        <v>1979336150.46</v>
      </c>
      <c r="H20" s="742">
        <v>51961998.030000001</v>
      </c>
      <c r="I20" s="742">
        <v>16247514.41</v>
      </c>
      <c r="J20" s="742">
        <v>3274048081.6399999</v>
      </c>
      <c r="K20" s="742">
        <v>214234391.37</v>
      </c>
      <c r="L20" s="554">
        <f t="shared" si="2"/>
        <v>10354293900.490002</v>
      </c>
    </row>
    <row r="21" spans="1:14">
      <c r="A21" s="747">
        <f t="shared" ref="A21:A28" si="3">+A20+1</f>
        <v>16</v>
      </c>
      <c r="B21" s="1476" t="s">
        <v>42</v>
      </c>
      <c r="C21" s="742">
        <v>411912933.18000001</v>
      </c>
      <c r="D21" s="742">
        <v>4517288280.4200001</v>
      </c>
      <c r="E21" s="742">
        <v>115297172.58</v>
      </c>
      <c r="F21" s="550">
        <f t="shared" si="1"/>
        <v>4632585453</v>
      </c>
      <c r="G21" s="742">
        <v>2003998510.73</v>
      </c>
      <c r="H21" s="742">
        <v>51961998.030000001</v>
      </c>
      <c r="I21" s="742">
        <v>16247514.41</v>
      </c>
      <c r="J21" s="742">
        <v>3292329835.54</v>
      </c>
      <c r="K21" s="742">
        <v>218385828.43000001</v>
      </c>
      <c r="L21" s="554">
        <f>+C21+D21+G21+J21+K21</f>
        <v>10443915388.299999</v>
      </c>
    </row>
    <row r="22" spans="1:14">
      <c r="A22" s="747">
        <f t="shared" si="3"/>
        <v>17</v>
      </c>
      <c r="B22" s="558" t="s">
        <v>145</v>
      </c>
      <c r="C22" s="170" t="s">
        <v>525</v>
      </c>
      <c r="D22" s="170"/>
      <c r="E22" s="170"/>
      <c r="F22" s="170" t="s">
        <v>569</v>
      </c>
      <c r="G22" s="1513" t="s">
        <v>994</v>
      </c>
      <c r="H22" s="1513"/>
      <c r="I22" s="170"/>
      <c r="J22" s="170" t="s">
        <v>563</v>
      </c>
      <c r="K22" s="170" t="s">
        <v>562</v>
      </c>
      <c r="L22" s="553"/>
    </row>
    <row r="23" spans="1:14" s="553" customFormat="1">
      <c r="A23" s="747">
        <f t="shared" si="3"/>
        <v>18</v>
      </c>
      <c r="B23" s="558" t="s">
        <v>434</v>
      </c>
      <c r="C23" s="1477">
        <f>SUM(C9:C21)/13</f>
        <v>404683329.95307702</v>
      </c>
      <c r="D23" s="1477">
        <f t="shared" ref="D23:L23" si="4">SUM(D9:D21)/13</f>
        <v>4385452585.859231</v>
      </c>
      <c r="E23" s="1477">
        <f t="shared" si="4"/>
        <v>115297172.58</v>
      </c>
      <c r="F23" s="1477">
        <f t="shared" si="4"/>
        <v>4500749758.43923</v>
      </c>
      <c r="G23" s="1477">
        <f t="shared" si="4"/>
        <v>1879107153.9115384</v>
      </c>
      <c r="H23" s="1477">
        <f t="shared" si="4"/>
        <v>49809642.523076922</v>
      </c>
      <c r="I23" s="1477">
        <f t="shared" si="4"/>
        <v>16247514.409999998</v>
      </c>
      <c r="J23" s="1477">
        <f t="shared" si="4"/>
        <v>3178733725.8261538</v>
      </c>
      <c r="K23" s="1477">
        <f t="shared" si="4"/>
        <v>200452804.35846153</v>
      </c>
      <c r="L23" s="1477">
        <f t="shared" si="4"/>
        <v>10048429599.908463</v>
      </c>
      <c r="N23" s="544"/>
    </row>
    <row r="24" spans="1:14">
      <c r="A24" s="747">
        <f t="shared" si="3"/>
        <v>19</v>
      </c>
      <c r="B24" s="559"/>
      <c r="F24" s="544"/>
      <c r="G24" s="544"/>
    </row>
    <row r="25" spans="1:14">
      <c r="A25" s="747">
        <f t="shared" si="3"/>
        <v>20</v>
      </c>
      <c r="B25" s="559"/>
      <c r="F25" s="544"/>
      <c r="G25" s="544"/>
    </row>
    <row r="26" spans="1:14">
      <c r="A26" s="747">
        <f t="shared" si="3"/>
        <v>21</v>
      </c>
      <c r="B26" s="670" t="s">
        <v>1547</v>
      </c>
      <c r="C26" s="671"/>
      <c r="D26" s="672"/>
      <c r="E26" s="672"/>
      <c r="F26" s="672"/>
      <c r="G26" s="672"/>
      <c r="H26" s="672"/>
      <c r="I26" s="672"/>
      <c r="J26" s="672"/>
      <c r="K26" s="561"/>
      <c r="L26" s="561"/>
      <c r="M26" s="550" t="s">
        <v>1549</v>
      </c>
    </row>
    <row r="27" spans="1:14" s="561" customFormat="1" ht="30" customHeight="1">
      <c r="A27" s="747">
        <f t="shared" si="3"/>
        <v>22</v>
      </c>
      <c r="B27" s="544"/>
      <c r="C27" s="602" t="s">
        <v>433</v>
      </c>
      <c r="D27" s="602" t="s">
        <v>567</v>
      </c>
      <c r="E27" s="1542" t="s">
        <v>478</v>
      </c>
      <c r="F27" s="1542" t="s">
        <v>432</v>
      </c>
      <c r="G27" s="1542" t="s">
        <v>141</v>
      </c>
      <c r="H27" s="1542" t="s">
        <v>479</v>
      </c>
      <c r="I27" s="1542" t="s">
        <v>274</v>
      </c>
      <c r="J27" s="1542" t="s">
        <v>25</v>
      </c>
      <c r="K27" s="1542" t="s">
        <v>198</v>
      </c>
      <c r="L27" s="1542" t="s">
        <v>118</v>
      </c>
      <c r="N27" s="544"/>
    </row>
    <row r="28" spans="1:14">
      <c r="A28" s="747">
        <f t="shared" si="3"/>
        <v>23</v>
      </c>
      <c r="B28" s="556" t="str">
        <f>+B9</f>
        <v>Dec</v>
      </c>
      <c r="C28" s="742">
        <v>328775543</v>
      </c>
      <c r="D28" s="742">
        <v>2311209500</v>
      </c>
      <c r="E28" s="742">
        <v>66125560</v>
      </c>
      <c r="F28" s="550">
        <f t="shared" ref="F28:F40" si="5">+D28+E28</f>
        <v>2377335060</v>
      </c>
      <c r="G28" s="742">
        <v>466229128</v>
      </c>
      <c r="H28" s="742">
        <v>13283747</v>
      </c>
      <c r="I28" s="742">
        <v>723925</v>
      </c>
      <c r="J28" s="742">
        <v>1122790976</v>
      </c>
      <c r="K28" s="742">
        <v>60096395</v>
      </c>
      <c r="L28" s="554">
        <f>+C28+D28+G28+J28+K28</f>
        <v>4289101542</v>
      </c>
      <c r="M28" s="269"/>
    </row>
    <row r="29" spans="1:14">
      <c r="A29" s="747">
        <f t="shared" ref="A29:A42" si="6">+A28+1</f>
        <v>24</v>
      </c>
      <c r="B29" s="556" t="str">
        <f t="shared" ref="B29:B40" si="7">+B10</f>
        <v>Jan</v>
      </c>
      <c r="C29" s="742">
        <v>330075799</v>
      </c>
      <c r="D29" s="742">
        <v>2326443758</v>
      </c>
      <c r="E29" s="742">
        <v>66304050</v>
      </c>
      <c r="F29" s="550">
        <f t="shared" si="5"/>
        <v>2392747808</v>
      </c>
      <c r="G29" s="742">
        <v>468027642</v>
      </c>
      <c r="H29" s="742">
        <v>13572798</v>
      </c>
      <c r="I29" s="742">
        <v>742856.9</v>
      </c>
      <c r="J29" s="742">
        <v>1129339086</v>
      </c>
      <c r="K29" s="742">
        <v>62600620</v>
      </c>
      <c r="L29" s="554">
        <f t="shared" ref="L29:L39" si="8">+C29+D29+G29+J29+K29</f>
        <v>4316486905</v>
      </c>
    </row>
    <row r="30" spans="1:14">
      <c r="A30" s="747">
        <f t="shared" si="6"/>
        <v>25</v>
      </c>
      <c r="B30" s="556" t="str">
        <f t="shared" si="7"/>
        <v>Feb</v>
      </c>
      <c r="C30" s="742">
        <v>331375919</v>
      </c>
      <c r="D30" s="742">
        <v>2332216888</v>
      </c>
      <c r="E30" s="742">
        <v>66482540</v>
      </c>
      <c r="F30" s="550">
        <f t="shared" si="5"/>
        <v>2398699428</v>
      </c>
      <c r="G30" s="742">
        <v>467819424</v>
      </c>
      <c r="H30" s="742">
        <v>13572798</v>
      </c>
      <c r="I30" s="742">
        <v>760335.44</v>
      </c>
      <c r="J30" s="742">
        <v>1127716788</v>
      </c>
      <c r="K30" s="742">
        <v>63107353</v>
      </c>
      <c r="L30" s="554">
        <f t="shared" si="8"/>
        <v>4322236372</v>
      </c>
    </row>
    <row r="31" spans="1:14">
      <c r="A31" s="747">
        <f t="shared" si="6"/>
        <v>26</v>
      </c>
      <c r="B31" s="556" t="str">
        <f t="shared" si="7"/>
        <v>Mar</v>
      </c>
      <c r="C31" s="742">
        <v>332682044</v>
      </c>
      <c r="D31" s="742">
        <v>2441609435</v>
      </c>
      <c r="E31" s="742">
        <v>66661030</v>
      </c>
      <c r="F31" s="550">
        <f t="shared" si="5"/>
        <v>2508270465</v>
      </c>
      <c r="G31" s="742">
        <v>470754863</v>
      </c>
      <c r="H31" s="742">
        <v>13572798</v>
      </c>
      <c r="I31" s="742">
        <v>782016.24</v>
      </c>
      <c r="J31" s="742">
        <v>1118072903</v>
      </c>
      <c r="K31" s="742">
        <v>64129466</v>
      </c>
      <c r="L31" s="554">
        <f t="shared" si="8"/>
        <v>4427248711</v>
      </c>
    </row>
    <row r="32" spans="1:14">
      <c r="A32" s="747">
        <f t="shared" si="6"/>
        <v>27</v>
      </c>
      <c r="B32" s="556" t="str">
        <f t="shared" si="7"/>
        <v>Apr</v>
      </c>
      <c r="C32" s="742">
        <v>333992981</v>
      </c>
      <c r="D32" s="742">
        <v>2449725907</v>
      </c>
      <c r="E32" s="742">
        <v>66839520</v>
      </c>
      <c r="F32" s="550">
        <f t="shared" si="5"/>
        <v>2516565427</v>
      </c>
      <c r="G32" s="742">
        <v>471513595</v>
      </c>
      <c r="H32" s="742">
        <v>13645558</v>
      </c>
      <c r="I32" s="742">
        <v>800058.31</v>
      </c>
      <c r="J32" s="742">
        <v>1120216685</v>
      </c>
      <c r="K32" s="742">
        <v>64868034</v>
      </c>
      <c r="L32" s="554">
        <f t="shared" si="8"/>
        <v>4440317202</v>
      </c>
    </row>
    <row r="33" spans="1:15">
      <c r="A33" s="747">
        <f t="shared" si="6"/>
        <v>28</v>
      </c>
      <c r="B33" s="556" t="str">
        <f t="shared" si="7"/>
        <v>May</v>
      </c>
      <c r="C33" s="742">
        <v>335316480</v>
      </c>
      <c r="D33" s="742">
        <v>2451567220</v>
      </c>
      <c r="E33" s="742">
        <v>67018010</v>
      </c>
      <c r="F33" s="550">
        <f t="shared" si="5"/>
        <v>2518585230</v>
      </c>
      <c r="G33" s="742">
        <v>473731717</v>
      </c>
      <c r="H33" s="742">
        <v>13709329</v>
      </c>
      <c r="I33" s="742">
        <v>818343.61</v>
      </c>
      <c r="J33" s="742">
        <v>1125713282</v>
      </c>
      <c r="K33" s="742">
        <v>66033221</v>
      </c>
      <c r="L33" s="554">
        <f t="shared" si="8"/>
        <v>4452361920</v>
      </c>
    </row>
    <row r="34" spans="1:15">
      <c r="A34" s="747">
        <f t="shared" si="6"/>
        <v>29</v>
      </c>
      <c r="B34" s="556" t="str">
        <f t="shared" si="7"/>
        <v>Jun</v>
      </c>
      <c r="C34" s="742">
        <v>336652301</v>
      </c>
      <c r="D34" s="742">
        <v>2457981501</v>
      </c>
      <c r="E34" s="742">
        <v>67196500</v>
      </c>
      <c r="F34" s="550">
        <f t="shared" si="5"/>
        <v>2525178001</v>
      </c>
      <c r="G34" s="742">
        <v>474967150</v>
      </c>
      <c r="H34" s="742">
        <v>13777595</v>
      </c>
      <c r="I34" s="742">
        <v>825060.56</v>
      </c>
      <c r="J34" s="742">
        <v>1129721985</v>
      </c>
      <c r="K34" s="742">
        <v>66738227</v>
      </c>
      <c r="L34" s="554">
        <f t="shared" si="8"/>
        <v>4466061164</v>
      </c>
    </row>
    <row r="35" spans="1:15">
      <c r="A35" s="747">
        <f t="shared" si="6"/>
        <v>30</v>
      </c>
      <c r="B35" s="556" t="str">
        <f t="shared" si="7"/>
        <v>Jul</v>
      </c>
      <c r="C35" s="742">
        <v>338018584</v>
      </c>
      <c r="D35" s="742">
        <v>2460636013</v>
      </c>
      <c r="E35" s="742">
        <v>67374990</v>
      </c>
      <c r="F35" s="550">
        <f t="shared" si="5"/>
        <v>2528011003</v>
      </c>
      <c r="G35" s="742">
        <v>477281786</v>
      </c>
      <c r="H35" s="742">
        <v>13763491</v>
      </c>
      <c r="I35" s="742">
        <v>843445.15</v>
      </c>
      <c r="J35" s="742">
        <v>1132775491</v>
      </c>
      <c r="K35" s="742">
        <v>67499547</v>
      </c>
      <c r="L35" s="554">
        <f t="shared" si="8"/>
        <v>4476211421</v>
      </c>
    </row>
    <row r="36" spans="1:15">
      <c r="A36" s="747">
        <f t="shared" si="6"/>
        <v>31</v>
      </c>
      <c r="B36" s="556" t="str">
        <f t="shared" si="7"/>
        <v>Aug</v>
      </c>
      <c r="C36" s="742">
        <v>339408007</v>
      </c>
      <c r="D36" s="742">
        <v>2468848426</v>
      </c>
      <c r="E36" s="742">
        <v>67553480</v>
      </c>
      <c r="F36" s="550">
        <f t="shared" si="5"/>
        <v>2536401906</v>
      </c>
      <c r="G36" s="742">
        <v>479967576</v>
      </c>
      <c r="H36" s="742">
        <v>13831633</v>
      </c>
      <c r="I36" s="742">
        <v>873249.69</v>
      </c>
      <c r="J36" s="742">
        <v>1150758799</v>
      </c>
      <c r="K36" s="742">
        <v>68592418</v>
      </c>
      <c r="L36" s="554">
        <f t="shared" si="8"/>
        <v>4507575226</v>
      </c>
    </row>
    <row r="37" spans="1:15">
      <c r="A37" s="747">
        <f t="shared" si="6"/>
        <v>32</v>
      </c>
      <c r="B37" s="556" t="str">
        <f t="shared" si="7"/>
        <v>Sep</v>
      </c>
      <c r="C37" s="742">
        <v>340858004</v>
      </c>
      <c r="D37" s="742">
        <v>2475874910</v>
      </c>
      <c r="E37" s="742">
        <v>67731970</v>
      </c>
      <c r="F37" s="550">
        <f t="shared" si="5"/>
        <v>2543606880</v>
      </c>
      <c r="G37" s="742">
        <v>481121285</v>
      </c>
      <c r="H37" s="742">
        <v>13899776</v>
      </c>
      <c r="I37" s="742">
        <v>891974.05</v>
      </c>
      <c r="J37" s="742">
        <v>1148844580</v>
      </c>
      <c r="K37" s="742">
        <v>69427269</v>
      </c>
      <c r="L37" s="554">
        <f t="shared" si="8"/>
        <v>4516126048</v>
      </c>
    </row>
    <row r="38" spans="1:15">
      <c r="A38" s="747">
        <f t="shared" si="6"/>
        <v>33</v>
      </c>
      <c r="B38" s="556" t="str">
        <f t="shared" si="7"/>
        <v>Oct</v>
      </c>
      <c r="C38" s="742">
        <v>342253461</v>
      </c>
      <c r="D38" s="742">
        <v>2481127566</v>
      </c>
      <c r="E38" s="742">
        <v>67910460</v>
      </c>
      <c r="F38" s="550">
        <f t="shared" si="5"/>
        <v>2549038026</v>
      </c>
      <c r="G38" s="742">
        <v>482877592</v>
      </c>
      <c r="H38" s="742">
        <v>13967475</v>
      </c>
      <c r="I38" s="742">
        <v>910256.81</v>
      </c>
      <c r="J38" s="742">
        <v>1150701920</v>
      </c>
      <c r="K38" s="742">
        <v>70301339</v>
      </c>
      <c r="L38" s="554">
        <f t="shared" si="8"/>
        <v>4527261878</v>
      </c>
    </row>
    <row r="39" spans="1:15">
      <c r="A39" s="747">
        <f t="shared" si="6"/>
        <v>34</v>
      </c>
      <c r="B39" s="556" t="str">
        <f t="shared" si="7"/>
        <v>Nov</v>
      </c>
      <c r="C39" s="742">
        <v>343650601</v>
      </c>
      <c r="D39" s="742">
        <v>2486632828</v>
      </c>
      <c r="E39" s="742">
        <v>68088951</v>
      </c>
      <c r="F39" s="550">
        <f t="shared" si="5"/>
        <v>2554721779</v>
      </c>
      <c r="G39" s="742">
        <v>485770850</v>
      </c>
      <c r="H39" s="742">
        <v>14031569</v>
      </c>
      <c r="I39" s="742">
        <v>944644.89</v>
      </c>
      <c r="J39" s="742">
        <v>1154784825</v>
      </c>
      <c r="K39" s="742">
        <v>70997683</v>
      </c>
      <c r="L39" s="554">
        <f t="shared" si="8"/>
        <v>4541836787</v>
      </c>
      <c r="M39" s="916"/>
    </row>
    <row r="40" spans="1:15">
      <c r="A40" s="747">
        <f t="shared" si="6"/>
        <v>35</v>
      </c>
      <c r="B40" s="556" t="str">
        <f t="shared" si="7"/>
        <v>Dec</v>
      </c>
      <c r="C40" s="742">
        <v>345064511</v>
      </c>
      <c r="D40" s="742">
        <v>2491694405</v>
      </c>
      <c r="E40" s="742">
        <v>68267440</v>
      </c>
      <c r="F40" s="550">
        <f t="shared" si="5"/>
        <v>2559961845</v>
      </c>
      <c r="G40" s="742">
        <v>483750388</v>
      </c>
      <c r="H40" s="742">
        <v>14099249</v>
      </c>
      <c r="I40" s="742">
        <v>962556.88</v>
      </c>
      <c r="J40" s="742">
        <v>1156560772</v>
      </c>
      <c r="K40" s="742">
        <v>68029004</v>
      </c>
      <c r="L40" s="551">
        <f>+C40+D40+G40+J40+K40</f>
        <v>4545099080</v>
      </c>
      <c r="M40" s="979"/>
      <c r="O40" s="859"/>
    </row>
    <row r="41" spans="1:15" s="553" customFormat="1">
      <c r="A41" s="747">
        <f t="shared" si="6"/>
        <v>36</v>
      </c>
      <c r="B41" s="558" t="s">
        <v>145</v>
      </c>
      <c r="C41" s="1513"/>
      <c r="D41" s="1513"/>
      <c r="E41" s="1513"/>
      <c r="F41" s="1513"/>
      <c r="G41" s="1513"/>
      <c r="H41" s="1513"/>
      <c r="I41" s="1513"/>
      <c r="J41" s="1513"/>
      <c r="K41" s="1513"/>
      <c r="M41" s="550" t="s">
        <v>1619</v>
      </c>
      <c r="N41" s="544"/>
      <c r="O41" s="1656"/>
    </row>
    <row r="42" spans="1:15">
      <c r="A42" s="747">
        <f t="shared" si="6"/>
        <v>37</v>
      </c>
      <c r="B42" s="558" t="s">
        <v>434</v>
      </c>
      <c r="C42" s="1477">
        <f>SUM(C28:C40)/13</f>
        <v>336778787.30769229</v>
      </c>
      <c r="D42" s="1477">
        <f t="shared" ref="D42:L42" si="9">SUM(D28:D40)/13</f>
        <v>2433505258.2307692</v>
      </c>
      <c r="E42" s="1477">
        <f t="shared" si="9"/>
        <v>67196500.076923072</v>
      </c>
      <c r="F42" s="1477">
        <f t="shared" si="9"/>
        <v>2500701758.3076925</v>
      </c>
      <c r="G42" s="1477">
        <f t="shared" si="9"/>
        <v>475677922.76923078</v>
      </c>
      <c r="H42" s="1477">
        <f t="shared" si="9"/>
        <v>13748293.538461538</v>
      </c>
      <c r="I42" s="1477">
        <f t="shared" si="9"/>
        <v>836824.88692307705</v>
      </c>
      <c r="J42" s="1477">
        <f t="shared" si="9"/>
        <v>1135999853.2307692</v>
      </c>
      <c r="K42" s="1477">
        <f t="shared" si="9"/>
        <v>66340044.307692304</v>
      </c>
      <c r="L42" s="1477">
        <f t="shared" si="9"/>
        <v>4448301865.8461542</v>
      </c>
      <c r="M42" s="282" t="s">
        <v>1621</v>
      </c>
      <c r="O42" s="553"/>
    </row>
    <row r="43" spans="1:15">
      <c r="A43" s="748"/>
      <c r="D43" s="549"/>
      <c r="E43" s="549"/>
      <c r="M43" s="980"/>
      <c r="O43" s="859"/>
    </row>
    <row r="44" spans="1:15">
      <c r="A44" s="544" t="s">
        <v>316</v>
      </c>
      <c r="D44" s="550"/>
      <c r="E44" s="550"/>
      <c r="M44" s="554"/>
    </row>
    <row r="45" spans="1:15" ht="26.4" customHeight="1">
      <c r="A45" s="1022" t="s">
        <v>176</v>
      </c>
      <c r="B45" s="1881" t="s">
        <v>565</v>
      </c>
      <c r="C45" s="1881"/>
      <c r="D45" s="1881"/>
      <c r="E45" s="1881"/>
      <c r="F45" s="1881"/>
      <c r="G45" s="1881"/>
      <c r="H45" s="1881"/>
      <c r="I45" s="1881"/>
      <c r="J45" s="1881"/>
      <c r="K45" s="1881"/>
      <c r="L45" s="1881"/>
    </row>
    <row r="46" spans="1:15" ht="27" customHeight="1">
      <c r="A46" s="1022" t="s">
        <v>338</v>
      </c>
      <c r="B46" s="1884" t="s">
        <v>1548</v>
      </c>
      <c r="C46" s="1884"/>
      <c r="D46" s="1884"/>
      <c r="E46" s="1884"/>
      <c r="F46" s="1884"/>
      <c r="G46" s="1884"/>
      <c r="H46" s="1884"/>
      <c r="I46" s="1884"/>
      <c r="J46" s="1884"/>
      <c r="K46" s="1884"/>
      <c r="L46" s="1884"/>
      <c r="M46" s="550" t="s">
        <v>1543</v>
      </c>
    </row>
    <row r="47" spans="1:15">
      <c r="E47" s="550"/>
    </row>
    <row r="48" spans="1:15">
      <c r="E48" s="550"/>
    </row>
    <row r="49" spans="4:5">
      <c r="E49" s="550"/>
    </row>
    <row r="50" spans="4:5">
      <c r="E50" s="550"/>
    </row>
    <row r="51" spans="4:5">
      <c r="D51" s="549"/>
      <c r="E51" s="550"/>
    </row>
    <row r="52" spans="4:5">
      <c r="D52" s="549"/>
      <c r="E52" s="550"/>
    </row>
    <row r="53" spans="4:5">
      <c r="E53" s="269"/>
    </row>
  </sheetData>
  <mergeCells count="5">
    <mergeCell ref="B45:L45"/>
    <mergeCell ref="A2:L2"/>
    <mergeCell ref="A1:L1"/>
    <mergeCell ref="A3:L3"/>
    <mergeCell ref="B46:L46"/>
  </mergeCells>
  <printOptions horizontalCentered="1"/>
  <pageMargins left="0.7" right="0.7" top="0.7" bottom="0.7" header="0.3" footer="0.5"/>
  <pageSetup scale="80" orientation="landscape" r:id="rId1"/>
  <headerFooter>
    <oddFooter>&amp;R&amp;A</oddFooter>
  </headerFooter>
  <ignoredErrors>
    <ignoredError sqref="A45:A4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B1"/>
    </sheetView>
  </sheetViews>
  <sheetFormatPr defaultColWidth="8.88671875" defaultRowHeight="13.2"/>
  <cols>
    <col min="1" max="1" width="3.33203125" style="1610" bestFit="1" customWidth="1"/>
    <col min="2" max="2" width="19" style="709" customWidth="1"/>
    <col min="3" max="3" width="14.109375" style="709" bestFit="1" customWidth="1"/>
    <col min="4" max="4" width="12.88671875" style="709" bestFit="1" customWidth="1"/>
    <col min="5" max="5" width="12.109375" style="709" bestFit="1" customWidth="1"/>
    <col min="6" max="6" width="10.44140625" style="709" bestFit="1" customWidth="1"/>
    <col min="7" max="7" width="11.6640625" style="709" bestFit="1" customWidth="1"/>
    <col min="8" max="8" width="11" style="709" bestFit="1" customWidth="1"/>
    <col min="9" max="9" width="11.109375" style="709" bestFit="1" customWidth="1"/>
    <col min="10" max="10" width="12.109375" style="709" bestFit="1" customWidth="1"/>
    <col min="11" max="11" width="14.109375" style="709" bestFit="1" customWidth="1"/>
    <col min="12" max="12" width="12.44140625" bestFit="1" customWidth="1"/>
    <col min="13" max="13" width="14.5546875" style="709" customWidth="1"/>
    <col min="14" max="16384" width="8.88671875" style="709"/>
  </cols>
  <sheetData>
    <row r="1" spans="1:20" s="1779" customFormat="1">
      <c r="A1" s="1878" t="str">
        <f>+'MISO Cover'!C6</f>
        <v>Entergy Arkansas, Inc.</v>
      </c>
      <c r="B1" s="1878"/>
      <c r="C1" s="1878"/>
      <c r="D1" s="1878"/>
      <c r="E1" s="1878"/>
      <c r="F1" s="1878"/>
      <c r="G1" s="1878"/>
      <c r="H1" s="1878"/>
      <c r="I1" s="1878"/>
      <c r="J1" s="1878"/>
      <c r="K1" s="1878"/>
      <c r="L1" s="1878"/>
    </row>
    <row r="2" spans="1:20" s="1779" customFormat="1">
      <c r="A2" s="1888" t="s">
        <v>1769</v>
      </c>
      <c r="B2" s="1888"/>
      <c r="C2" s="1888"/>
      <c r="D2" s="1888"/>
      <c r="E2" s="1888"/>
      <c r="F2" s="1888"/>
      <c r="G2" s="1888"/>
      <c r="H2" s="1888"/>
      <c r="I2" s="1888"/>
      <c r="J2" s="1888"/>
      <c r="K2" s="1888"/>
      <c r="L2" s="1888"/>
      <c r="M2" s="999" t="s">
        <v>1770</v>
      </c>
    </row>
    <row r="3" spans="1:20" s="1779" customFormat="1">
      <c r="A3" s="1889" t="str">
        <f>+'MISO Cover'!K4</f>
        <v>For  the 12 Months Ended 12/31/2016</v>
      </c>
      <c r="B3" s="1889"/>
      <c r="C3" s="1889"/>
      <c r="D3" s="1889"/>
      <c r="E3" s="1889"/>
      <c r="F3" s="1889"/>
      <c r="G3" s="1889"/>
      <c r="H3" s="1889"/>
      <c r="I3" s="1889"/>
      <c r="J3" s="1889"/>
      <c r="K3" s="1889"/>
      <c r="L3" s="1889"/>
    </row>
    <row r="4" spans="1:20" s="1779" customFormat="1">
      <c r="A4" s="1777"/>
      <c r="B4" s="1780"/>
      <c r="C4" s="1780"/>
      <c r="D4" s="1780"/>
      <c r="E4" s="1780"/>
      <c r="F4" s="1780"/>
      <c r="G4" s="1780"/>
      <c r="H4" s="1780"/>
      <c r="I4" s="1780"/>
      <c r="J4" s="1780"/>
      <c r="K4" s="1810" t="s">
        <v>1842</v>
      </c>
      <c r="L4" s="1812" t="s">
        <v>1840</v>
      </c>
    </row>
    <row r="5" spans="1:20" s="1779" customFormat="1">
      <c r="A5" s="1777" t="s">
        <v>72</v>
      </c>
      <c r="B5" s="1780" t="s">
        <v>119</v>
      </c>
      <c r="C5" s="1780" t="s">
        <v>60</v>
      </c>
      <c r="D5" s="1780" t="s">
        <v>73</v>
      </c>
      <c r="E5" s="1780" t="s">
        <v>71</v>
      </c>
      <c r="F5" s="1780" t="s">
        <v>161</v>
      </c>
      <c r="G5" s="1780" t="s">
        <v>74</v>
      </c>
      <c r="H5" s="1780" t="s">
        <v>174</v>
      </c>
      <c r="I5" s="1780" t="s">
        <v>64</v>
      </c>
      <c r="J5" s="1780" t="s">
        <v>65</v>
      </c>
      <c r="K5" s="1811" t="s">
        <v>76</v>
      </c>
      <c r="L5" s="1809" t="s">
        <v>103</v>
      </c>
    </row>
    <row r="6" spans="1:20" s="1783" customFormat="1" ht="43.2">
      <c r="A6" s="1781" t="s">
        <v>290</v>
      </c>
      <c r="B6" s="1782" t="s">
        <v>1603</v>
      </c>
      <c r="C6" s="1782" t="s">
        <v>1771</v>
      </c>
      <c r="D6" s="1782" t="s">
        <v>1772</v>
      </c>
      <c r="E6" s="1782" t="s">
        <v>1773</v>
      </c>
      <c r="F6" s="1782" t="s">
        <v>1774</v>
      </c>
      <c r="G6" s="1782" t="s">
        <v>1775</v>
      </c>
      <c r="H6" s="1782" t="s">
        <v>1821</v>
      </c>
      <c r="I6" s="1782" t="s">
        <v>1776</v>
      </c>
      <c r="J6" s="1782" t="s">
        <v>1777</v>
      </c>
      <c r="K6" s="1814" t="s">
        <v>1778</v>
      </c>
      <c r="L6" s="1814" t="s">
        <v>1772</v>
      </c>
      <c r="M6" s="1660"/>
      <c r="N6" s="1779"/>
      <c r="O6" s="1779"/>
      <c r="P6" s="1779"/>
    </row>
    <row r="7" spans="1:20">
      <c r="A7" s="1610">
        <v>1</v>
      </c>
      <c r="B7" s="1617" t="s">
        <v>178</v>
      </c>
      <c r="C7" s="1784">
        <f>'WP04 PIS'!K28</f>
        <v>60096395</v>
      </c>
      <c r="D7" s="1784">
        <v>9079703.4199999981</v>
      </c>
      <c r="E7" s="1784">
        <v>-4182322.28</v>
      </c>
      <c r="F7" s="1784">
        <f>'WP AJ5 GPRD'!C8</f>
        <v>1718723</v>
      </c>
      <c r="G7" s="1784">
        <v>2212280.2799999998</v>
      </c>
      <c r="H7" s="1784">
        <v>0</v>
      </c>
      <c r="I7" s="1784">
        <v>0</v>
      </c>
      <c r="J7" s="1784">
        <v>-895775.42000000179</v>
      </c>
      <c r="K7" s="1784">
        <f>'WP04 PIS'!K40</f>
        <v>68029004</v>
      </c>
      <c r="L7" s="1815">
        <f>+D7+G7+H7+I7</f>
        <v>11291983.699999997</v>
      </c>
      <c r="M7" s="1802"/>
      <c r="N7" s="1779"/>
      <c r="O7" s="1779"/>
      <c r="P7" s="1779"/>
    </row>
    <row r="8" spans="1:20" s="1617" customFormat="1">
      <c r="A8" s="1785">
        <f>+A7+1</f>
        <v>2</v>
      </c>
      <c r="B8" s="1617" t="s">
        <v>433</v>
      </c>
      <c r="C8" s="1784">
        <f>'WP04 PIS'!C28</f>
        <v>328775543</v>
      </c>
      <c r="D8" s="1784">
        <v>16293736.290000001</v>
      </c>
      <c r="E8" s="1784">
        <v>0</v>
      </c>
      <c r="F8" s="1784">
        <v>0</v>
      </c>
      <c r="G8" s="1784">
        <v>0</v>
      </c>
      <c r="H8" s="1784">
        <v>0</v>
      </c>
      <c r="I8" s="1784">
        <v>-4768.2900000214504</v>
      </c>
      <c r="J8" s="1784">
        <v>0</v>
      </c>
      <c r="K8" s="1784">
        <f>'WP04 PIS'!C40</f>
        <v>345064511</v>
      </c>
      <c r="L8" s="1815">
        <f t="shared" ref="L8:L11" si="0">+D8+G8+H8+I8</f>
        <v>16288967.99999998</v>
      </c>
      <c r="M8" s="1973"/>
      <c r="N8" s="1974"/>
      <c r="O8" s="1974"/>
      <c r="P8" s="1974"/>
    </row>
    <row r="9" spans="1:20">
      <c r="A9" s="1785">
        <f t="shared" ref="A9:A12" si="1">+A8+1</f>
        <v>3</v>
      </c>
      <c r="B9" s="1617" t="s">
        <v>630</v>
      </c>
      <c r="C9" s="1784">
        <f>'WP04 PIS'!G28</f>
        <v>466229128</v>
      </c>
      <c r="D9" s="1784">
        <v>38762518.860000007</v>
      </c>
      <c r="E9" s="1784">
        <v>-9865894.7599999998</v>
      </c>
      <c r="F9" s="1784">
        <v>0</v>
      </c>
      <c r="G9" s="1784">
        <v>0</v>
      </c>
      <c r="H9" s="1784">
        <v>-382278.50991296483</v>
      </c>
      <c r="I9" s="1784">
        <v>0</v>
      </c>
      <c r="J9" s="1784">
        <v>-10993085.590087056</v>
      </c>
      <c r="K9" s="1784">
        <f>'WP04 PIS'!G40</f>
        <v>483750388</v>
      </c>
      <c r="L9" s="1815">
        <f t="shared" si="0"/>
        <v>38380240.350087039</v>
      </c>
      <c r="M9" s="1973">
        <f>D9+G9+I9+H9-'WP18 Deprec'!E48</f>
        <v>0</v>
      </c>
      <c r="N9" s="1617"/>
      <c r="O9" s="1617"/>
      <c r="P9" s="1617"/>
      <c r="Q9" s="1617"/>
      <c r="R9" s="1617"/>
      <c r="S9" s="1617"/>
      <c r="T9" s="1617"/>
    </row>
    <row r="10" spans="1:20" ht="25.95" customHeight="1">
      <c r="A10" s="1785">
        <f t="shared" si="1"/>
        <v>4</v>
      </c>
      <c r="B10" s="1805" t="s">
        <v>1835</v>
      </c>
      <c r="C10" s="1784">
        <f>'WP04 PIS'!D28</f>
        <v>2311209500</v>
      </c>
      <c r="D10" s="1972" t="s">
        <v>1846</v>
      </c>
      <c r="E10" s="1784">
        <v>-20453860</v>
      </c>
      <c r="F10" s="1813">
        <v>0</v>
      </c>
      <c r="G10" s="1813">
        <v>0</v>
      </c>
      <c r="H10" s="1813">
        <v>0</v>
      </c>
      <c r="I10" s="1813">
        <v>0</v>
      </c>
      <c r="J10" s="1972" t="s">
        <v>1846</v>
      </c>
      <c r="K10" s="1784">
        <f>'WP04 PIS'!D40</f>
        <v>2491694405</v>
      </c>
      <c r="L10" s="1972" t="s">
        <v>1846</v>
      </c>
      <c r="M10" s="1617" t="s">
        <v>1847</v>
      </c>
      <c r="N10" s="1617"/>
      <c r="O10" s="1617"/>
      <c r="P10" s="1617"/>
      <c r="Q10" s="1617"/>
      <c r="R10" s="1617"/>
      <c r="S10" s="1617"/>
      <c r="T10" s="1617"/>
    </row>
    <row r="11" spans="1:20">
      <c r="A11" s="1785">
        <f t="shared" si="1"/>
        <v>5</v>
      </c>
      <c r="B11" s="1617" t="s">
        <v>25</v>
      </c>
      <c r="C11" s="1801">
        <f>'WP04 PIS'!J28</f>
        <v>1122790976</v>
      </c>
      <c r="D11" s="1801">
        <v>92298897.210000053</v>
      </c>
      <c r="E11" s="1801">
        <v>-38384636.479999997</v>
      </c>
      <c r="F11" s="1801">
        <v>0</v>
      </c>
      <c r="G11" s="1801">
        <v>0</v>
      </c>
      <c r="H11" s="1801">
        <v>0</v>
      </c>
      <c r="I11" s="1801">
        <v>0</v>
      </c>
      <c r="J11" s="1801">
        <v>-20144464.730000019</v>
      </c>
      <c r="K11" s="1801">
        <f>'WP04 PIS'!J40</f>
        <v>1156560772</v>
      </c>
      <c r="L11" s="1816">
        <f t="shared" si="0"/>
        <v>92298897.210000053</v>
      </c>
      <c r="M11" s="1802">
        <f>SUM(C11:J11)-K11</f>
        <v>0</v>
      </c>
    </row>
    <row r="12" spans="1:20">
      <c r="A12" s="1785">
        <f t="shared" si="1"/>
        <v>6</v>
      </c>
      <c r="B12" s="1617" t="s">
        <v>118</v>
      </c>
      <c r="C12" s="1800">
        <f>SUM(C7:C11)</f>
        <v>4289101542</v>
      </c>
      <c r="D12" s="1800">
        <f t="shared" ref="D12:L12" si="2">SUM(D7:D11)</f>
        <v>156434855.78000006</v>
      </c>
      <c r="E12" s="1800">
        <f t="shared" si="2"/>
        <v>-72886713.519999996</v>
      </c>
      <c r="F12" s="1800">
        <f t="shared" si="2"/>
        <v>1718723</v>
      </c>
      <c r="G12" s="1800">
        <f t="shared" si="2"/>
        <v>2212280.2799999998</v>
      </c>
      <c r="H12" s="1800">
        <f t="shared" si="2"/>
        <v>-382278.50991296483</v>
      </c>
      <c r="I12" s="1800">
        <f t="shared" si="2"/>
        <v>-4768.2900000214504</v>
      </c>
      <c r="J12" s="1800">
        <f t="shared" si="2"/>
        <v>-32033325.740087077</v>
      </c>
      <c r="K12" s="1800">
        <f t="shared" si="2"/>
        <v>4545099080</v>
      </c>
      <c r="L12" s="1800">
        <f t="shared" si="2"/>
        <v>158260089.26008707</v>
      </c>
    </row>
    <row r="13" spans="1:20">
      <c r="A13" s="1785"/>
      <c r="B13" s="1617"/>
      <c r="C13" s="1784"/>
      <c r="D13" s="1784"/>
      <c r="E13" s="1784"/>
      <c r="F13" s="1784"/>
      <c r="G13" s="1784"/>
      <c r="H13" s="1784"/>
      <c r="I13" s="1784"/>
      <c r="J13" s="1784"/>
      <c r="K13" s="1784"/>
      <c r="L13" s="1617"/>
    </row>
    <row r="14" spans="1:20">
      <c r="C14" s="1786" t="s">
        <v>176</v>
      </c>
      <c r="E14" s="1222" t="s">
        <v>338</v>
      </c>
      <c r="F14" s="1222" t="s">
        <v>339</v>
      </c>
      <c r="G14" s="1222" t="s">
        <v>340</v>
      </c>
      <c r="H14" s="1222" t="s">
        <v>341</v>
      </c>
      <c r="I14" s="1222" t="s">
        <v>745</v>
      </c>
      <c r="J14" s="1222" t="s">
        <v>747</v>
      </c>
      <c r="K14" s="1222" t="s">
        <v>1134</v>
      </c>
      <c r="L14" s="1222" t="s">
        <v>1662</v>
      </c>
    </row>
    <row r="15" spans="1:20">
      <c r="K15" s="1617"/>
      <c r="L15" s="1617"/>
    </row>
    <row r="16" spans="1:20">
      <c r="A16" s="1803" t="s">
        <v>316</v>
      </c>
      <c r="L16" s="709"/>
    </row>
    <row r="17" spans="1:12">
      <c r="A17" s="1786" t="s">
        <v>176</v>
      </c>
      <c r="B17" s="1885" t="s">
        <v>1779</v>
      </c>
      <c r="C17" s="1885"/>
      <c r="D17" s="1885"/>
      <c r="E17" s="1885"/>
      <c r="F17" s="1885"/>
      <c r="G17" s="1885"/>
      <c r="H17" s="1885"/>
      <c r="I17" s="1885"/>
      <c r="J17" s="1885"/>
      <c r="K17" s="1885"/>
      <c r="L17" s="1885"/>
    </row>
    <row r="18" spans="1:12">
      <c r="A18" s="1222" t="s">
        <v>338</v>
      </c>
      <c r="B18" s="1886" t="s">
        <v>1839</v>
      </c>
      <c r="C18" s="1886"/>
      <c r="D18" s="1886"/>
      <c r="E18" s="1886"/>
      <c r="F18" s="1886"/>
      <c r="G18" s="1886"/>
      <c r="H18" s="1886"/>
      <c r="I18" s="1886"/>
      <c r="J18" s="1886"/>
      <c r="K18" s="1886"/>
      <c r="L18" s="1886"/>
    </row>
    <row r="19" spans="1:12">
      <c r="A19" s="1222" t="s">
        <v>339</v>
      </c>
      <c r="B19" s="1886" t="s">
        <v>1837</v>
      </c>
      <c r="C19" s="1886"/>
      <c r="D19" s="1886"/>
      <c r="E19" s="1886"/>
      <c r="F19" s="1886"/>
      <c r="G19" s="1886"/>
      <c r="H19" s="1886"/>
      <c r="I19" s="1886"/>
      <c r="J19" s="1886"/>
      <c r="K19" s="1886"/>
      <c r="L19" s="1886"/>
    </row>
    <row r="20" spans="1:12" ht="26.4" customHeight="1">
      <c r="A20" s="1222" t="s">
        <v>340</v>
      </c>
      <c r="B20" s="1887" t="s">
        <v>1820</v>
      </c>
      <c r="C20" s="1887"/>
      <c r="D20" s="1887"/>
      <c r="E20" s="1887"/>
      <c r="F20" s="1887"/>
      <c r="G20" s="1887"/>
      <c r="H20" s="1887"/>
      <c r="I20" s="1887"/>
      <c r="J20" s="1887"/>
      <c r="K20" s="1887"/>
      <c r="L20" s="1887"/>
    </row>
    <row r="21" spans="1:12">
      <c r="A21" s="1817" t="s">
        <v>341</v>
      </c>
      <c r="B21" s="1887" t="s">
        <v>1824</v>
      </c>
      <c r="C21" s="1887"/>
      <c r="D21" s="1887"/>
      <c r="E21" s="1887"/>
      <c r="F21" s="1887"/>
      <c r="G21" s="1887"/>
      <c r="H21" s="1887"/>
      <c r="I21" s="1887"/>
      <c r="J21" s="1887"/>
      <c r="K21" s="1887"/>
      <c r="L21" s="1887"/>
    </row>
    <row r="22" spans="1:12" ht="13.2" customHeight="1">
      <c r="A22" s="1222" t="s">
        <v>745</v>
      </c>
      <c r="B22" s="1818" t="s">
        <v>1819</v>
      </c>
      <c r="C22" s="1617"/>
      <c r="D22" s="1617"/>
      <c r="E22" s="1617"/>
      <c r="F22" s="1617"/>
      <c r="G22" s="1617"/>
      <c r="H22" s="1617"/>
      <c r="I22" s="1617"/>
      <c r="J22" s="1617"/>
      <c r="K22" s="1617"/>
      <c r="L22" s="1617"/>
    </row>
    <row r="23" spans="1:12">
      <c r="A23" s="1222" t="s">
        <v>747</v>
      </c>
      <c r="B23" s="1886" t="s">
        <v>1838</v>
      </c>
      <c r="C23" s="1886"/>
      <c r="D23" s="1886"/>
      <c r="E23" s="1886"/>
      <c r="F23" s="1886"/>
      <c r="G23" s="1886"/>
      <c r="H23" s="1886"/>
      <c r="I23" s="1886"/>
      <c r="J23" s="1886"/>
      <c r="K23" s="1886"/>
      <c r="L23" s="1886"/>
    </row>
    <row r="24" spans="1:12">
      <c r="A24" s="1222" t="s">
        <v>1134</v>
      </c>
      <c r="B24" s="1886" t="s">
        <v>1780</v>
      </c>
      <c r="C24" s="1886"/>
      <c r="D24" s="1886"/>
      <c r="E24" s="1886"/>
      <c r="F24" s="1886"/>
      <c r="G24" s="1886"/>
      <c r="H24" s="1886"/>
      <c r="I24" s="1886"/>
      <c r="J24" s="1886"/>
      <c r="K24" s="1886"/>
      <c r="L24" s="1886"/>
    </row>
    <row r="25" spans="1:12" customFormat="1">
      <c r="A25" s="1819" t="s">
        <v>1662</v>
      </c>
      <c r="B25" s="1886" t="s">
        <v>1841</v>
      </c>
      <c r="C25" s="1886"/>
      <c r="D25" s="1886"/>
      <c r="E25" s="1886"/>
      <c r="F25" s="1886"/>
      <c r="G25" s="1886"/>
      <c r="H25" s="1886"/>
      <c r="I25" s="1886"/>
      <c r="J25" s="1886"/>
      <c r="K25" s="1886"/>
      <c r="L25" s="1886"/>
    </row>
    <row r="26" spans="1:12">
      <c r="A26" s="1785"/>
      <c r="B26" s="1617"/>
      <c r="C26" s="1617"/>
      <c r="D26" s="1617"/>
      <c r="E26" s="1617"/>
      <c r="F26" s="1617"/>
      <c r="G26" s="1617"/>
      <c r="H26" s="1617"/>
      <c r="I26" s="1617"/>
      <c r="J26" s="1617"/>
      <c r="K26" s="1617"/>
      <c r="L26" s="1820"/>
    </row>
    <row r="27" spans="1:12">
      <c r="A27" s="1785"/>
      <c r="B27" s="1617"/>
      <c r="C27" s="1617"/>
      <c r="D27" s="1617"/>
      <c r="E27" s="1617"/>
      <c r="F27" s="1617"/>
      <c r="G27" s="1617"/>
      <c r="H27" s="1617"/>
      <c r="I27" s="1617"/>
      <c r="J27" s="1617"/>
      <c r="K27" s="1617"/>
      <c r="L27" s="1820"/>
    </row>
    <row r="28" spans="1:12">
      <c r="A28" s="1785"/>
      <c r="B28" s="1617"/>
      <c r="C28" s="1617"/>
      <c r="D28" s="1617"/>
      <c r="E28" s="1617"/>
      <c r="F28" s="1617"/>
      <c r="G28" s="1617"/>
      <c r="H28" s="1617"/>
      <c r="I28" s="1617"/>
      <c r="J28" s="1617"/>
      <c r="K28" s="1617"/>
      <c r="L28" s="1820"/>
    </row>
  </sheetData>
  <mergeCells count="11">
    <mergeCell ref="B23:L23"/>
    <mergeCell ref="B25:L25"/>
    <mergeCell ref="B24:L24"/>
    <mergeCell ref="B21:L21"/>
    <mergeCell ref="B18:L18"/>
    <mergeCell ref="B17:L17"/>
    <mergeCell ref="B19:L19"/>
    <mergeCell ref="B20:L20"/>
    <mergeCell ref="A1:L1"/>
    <mergeCell ref="A2:L2"/>
    <mergeCell ref="A3:L3"/>
  </mergeCells>
  <printOptions horizontalCentered="1"/>
  <pageMargins left="0.5" right="0.5" top="0.75" bottom="0.75" header="0.3" footer="0.5"/>
  <pageSetup scale="90" orientation="landscape" r:id="rId1"/>
  <headerFooter>
    <oddFooter>&amp;R&amp;A</oddFooter>
  </headerFooter>
  <ignoredErrors>
    <ignoredError sqref="C14:L14 A17:A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165"/>
  <sheetViews>
    <sheetView zoomScaleNormal="100" zoomScaleSheetLayoutView="80" workbookViewId="0">
      <selection sqref="A1:B1"/>
    </sheetView>
  </sheetViews>
  <sheetFormatPr defaultColWidth="9.109375" defaultRowHeight="13.2"/>
  <cols>
    <col min="1" max="1" width="5.6640625" style="244" customWidth="1"/>
    <col min="2" max="2" width="9.88671875" style="244" customWidth="1"/>
    <col min="3" max="3" width="20.5546875" style="66" customWidth="1"/>
    <col min="4" max="4" width="20.109375" style="66" customWidth="1"/>
    <col min="5" max="5" width="13" style="66" bestFit="1" customWidth="1"/>
    <col min="6" max="16384" width="9.109375" style="66"/>
  </cols>
  <sheetData>
    <row r="1" spans="1:7" s="811" customFormat="1">
      <c r="A1" s="1890" t="str">
        <f>+'MISO Cover'!C6</f>
        <v>Entergy Arkansas, Inc.</v>
      </c>
      <c r="B1" s="1890"/>
      <c r="C1" s="1890"/>
      <c r="D1" s="1890"/>
      <c r="E1" s="633"/>
      <c r="F1" s="633"/>
      <c r="G1" s="633"/>
    </row>
    <row r="2" spans="1:7">
      <c r="A2" s="1882" t="s">
        <v>699</v>
      </c>
      <c r="B2" s="1882"/>
      <c r="C2" s="1882"/>
      <c r="D2" s="1882"/>
    </row>
    <row r="3" spans="1:7" s="179" customFormat="1">
      <c r="A3" s="1891" t="str">
        <f>+'MISO Cover'!K4</f>
        <v>For  the 12 Months Ended 12/31/2016</v>
      </c>
      <c r="B3" s="1891"/>
      <c r="C3" s="1891"/>
      <c r="D3" s="1891"/>
      <c r="E3" s="225"/>
      <c r="F3" s="225"/>
      <c r="G3" s="225"/>
    </row>
    <row r="4" spans="1:7" s="179" customFormat="1">
      <c r="A4" s="797"/>
      <c r="B4" s="797"/>
      <c r="C4" s="797"/>
      <c r="D4" s="797"/>
      <c r="E4" s="225"/>
      <c r="F4" s="225"/>
      <c r="G4" s="225"/>
    </row>
    <row r="5" spans="1:7" ht="15" customHeight="1">
      <c r="A5" s="632"/>
      <c r="B5" s="632"/>
      <c r="C5" s="632"/>
      <c r="D5" s="632"/>
    </row>
    <row r="6" spans="1:7">
      <c r="A6" s="244" t="s">
        <v>290</v>
      </c>
      <c r="B6" s="244" t="s">
        <v>72</v>
      </c>
      <c r="C6" s="244" t="s">
        <v>119</v>
      </c>
      <c r="D6" s="246" t="s">
        <v>60</v>
      </c>
    </row>
    <row r="7" spans="1:7" ht="28.2" customHeight="1">
      <c r="A7" s="244">
        <v>1</v>
      </c>
      <c r="B7" s="66" t="s">
        <v>490</v>
      </c>
      <c r="C7" s="569" t="s">
        <v>868</v>
      </c>
      <c r="D7" s="244" t="s">
        <v>280</v>
      </c>
    </row>
    <row r="8" spans="1:7">
      <c r="A8" s="244">
        <f>+A7+1</f>
        <v>2</v>
      </c>
      <c r="B8" s="245"/>
      <c r="C8" s="212"/>
      <c r="D8" s="247"/>
    </row>
    <row r="9" spans="1:7">
      <c r="A9" s="244">
        <f t="shared" ref="A9:A22" si="0">+A8+1</f>
        <v>3</v>
      </c>
      <c r="B9" s="66" t="s">
        <v>32</v>
      </c>
      <c r="C9" s="741">
        <v>4417169.8249294208</v>
      </c>
      <c r="D9" s="247">
        <f>+C9</f>
        <v>4417169.8249294208</v>
      </c>
      <c r="F9" s="740"/>
    </row>
    <row r="10" spans="1:7">
      <c r="A10" s="244">
        <f t="shared" si="0"/>
        <v>4</v>
      </c>
      <c r="B10" s="66" t="s">
        <v>33</v>
      </c>
      <c r="C10" s="741">
        <v>18620978.143183038</v>
      </c>
      <c r="D10" s="247">
        <f>+D9+C10</f>
        <v>23038147.968112458</v>
      </c>
    </row>
    <row r="11" spans="1:7">
      <c r="A11" s="244">
        <f t="shared" si="0"/>
        <v>5</v>
      </c>
      <c r="B11" s="66" t="s">
        <v>34</v>
      </c>
      <c r="C11" s="741">
        <v>16210923.721987724</v>
      </c>
      <c r="D11" s="247">
        <f t="shared" ref="D11:D20" si="1">+D10+C11</f>
        <v>39249071.690100178</v>
      </c>
    </row>
    <row r="12" spans="1:7">
      <c r="A12" s="244">
        <f t="shared" si="0"/>
        <v>6</v>
      </c>
      <c r="B12" s="66" t="s">
        <v>35</v>
      </c>
      <c r="C12" s="741">
        <v>6860108.3948012125</v>
      </c>
      <c r="D12" s="247">
        <f t="shared" si="1"/>
        <v>46109180.084901392</v>
      </c>
    </row>
    <row r="13" spans="1:7">
      <c r="A13" s="244">
        <f t="shared" si="0"/>
        <v>7</v>
      </c>
      <c r="B13" s="66" t="s">
        <v>31</v>
      </c>
      <c r="C13" s="741">
        <v>6232416.5952593284</v>
      </c>
      <c r="D13" s="247">
        <f t="shared" si="1"/>
        <v>52341596.680160724</v>
      </c>
    </row>
    <row r="14" spans="1:7">
      <c r="A14" s="244">
        <f t="shared" si="0"/>
        <v>8</v>
      </c>
      <c r="B14" s="66" t="s">
        <v>36</v>
      </c>
      <c r="C14" s="741">
        <v>27026018.944282498</v>
      </c>
      <c r="D14" s="247">
        <f t="shared" si="1"/>
        <v>79367615.624443218</v>
      </c>
    </row>
    <row r="15" spans="1:7">
      <c r="A15" s="244">
        <f t="shared" si="0"/>
        <v>9</v>
      </c>
      <c r="B15" s="66" t="s">
        <v>37</v>
      </c>
      <c r="C15" s="741">
        <v>3320325.3852525777</v>
      </c>
      <c r="D15" s="247">
        <f t="shared" si="1"/>
        <v>82687941.009695798</v>
      </c>
    </row>
    <row r="16" spans="1:7">
      <c r="A16" s="244">
        <f t="shared" si="0"/>
        <v>10</v>
      </c>
      <c r="B16" s="66" t="s">
        <v>38</v>
      </c>
      <c r="C16" s="741">
        <v>10791572.968726229</v>
      </c>
      <c r="D16" s="247">
        <f t="shared" si="1"/>
        <v>93479513.978422031</v>
      </c>
    </row>
    <row r="17" spans="1:4">
      <c r="A17" s="244">
        <f t="shared" si="0"/>
        <v>11</v>
      </c>
      <c r="B17" s="66" t="s">
        <v>39</v>
      </c>
      <c r="C17" s="741">
        <v>3888480.1371463067</v>
      </c>
      <c r="D17" s="247">
        <f t="shared" si="1"/>
        <v>97367994.11556834</v>
      </c>
    </row>
    <row r="18" spans="1:4">
      <c r="A18" s="244">
        <f t="shared" si="0"/>
        <v>12</v>
      </c>
      <c r="B18" s="66" t="s">
        <v>40</v>
      </c>
      <c r="C18" s="741">
        <v>8789138.4484765939</v>
      </c>
      <c r="D18" s="247">
        <f t="shared" si="1"/>
        <v>106157132.56404494</v>
      </c>
    </row>
    <row r="19" spans="1:4">
      <c r="A19" s="244">
        <f t="shared" si="0"/>
        <v>13</v>
      </c>
      <c r="B19" s="66" t="s">
        <v>41</v>
      </c>
      <c r="C19" s="741">
        <v>55954614.101500221</v>
      </c>
      <c r="D19" s="247">
        <f t="shared" si="1"/>
        <v>162111746.66554517</v>
      </c>
    </row>
    <row r="20" spans="1:4">
      <c r="A20" s="244">
        <f t="shared" si="0"/>
        <v>14</v>
      </c>
      <c r="B20" s="66" t="s">
        <v>42</v>
      </c>
      <c r="C20" s="1529">
        <v>23626381.965202291</v>
      </c>
      <c r="D20" s="917">
        <f t="shared" si="1"/>
        <v>185738128.63074747</v>
      </c>
    </row>
    <row r="21" spans="1:4">
      <c r="A21" s="244">
        <f t="shared" si="0"/>
        <v>15</v>
      </c>
      <c r="B21" s="66" t="s">
        <v>118</v>
      </c>
      <c r="C21" s="169">
        <f>SUM(C9:C20)</f>
        <v>185738128.63074747</v>
      </c>
    </row>
    <row r="22" spans="1:4">
      <c r="A22" s="244">
        <f t="shared" si="0"/>
        <v>16</v>
      </c>
      <c r="B22" s="66" t="s">
        <v>508</v>
      </c>
      <c r="C22" s="248"/>
      <c r="D22" s="247">
        <f>+SUM(D9:D20)/12</f>
        <v>81005436.569722578</v>
      </c>
    </row>
    <row r="23" spans="1:4" ht="13.5" customHeight="1">
      <c r="B23" s="66"/>
      <c r="C23" s="82"/>
      <c r="D23" s="245"/>
    </row>
    <row r="24" spans="1:4" s="281" customFormat="1">
      <c r="A24" s="168" t="s">
        <v>316</v>
      </c>
      <c r="C24" s="196"/>
    </row>
    <row r="25" spans="1:4" s="281" customFormat="1" ht="27.6" customHeight="1">
      <c r="A25" s="1870" t="s">
        <v>588</v>
      </c>
      <c r="B25" s="1870"/>
      <c r="C25" s="1870"/>
      <c r="D25" s="1870"/>
    </row>
    <row r="26" spans="1:4" s="281" customFormat="1" ht="40.950000000000003" customHeight="1">
      <c r="A26" s="1862" t="s">
        <v>864</v>
      </c>
      <c r="B26" s="1862"/>
      <c r="C26" s="1862"/>
      <c r="D26" s="1862"/>
    </row>
    <row r="27" spans="1:4" s="281" customFormat="1">
      <c r="A27" s="236"/>
      <c r="B27" s="236"/>
      <c r="D27" s="196"/>
    </row>
    <row r="28" spans="1:4" s="281" customFormat="1">
      <c r="A28" s="236"/>
      <c r="B28" s="236"/>
      <c r="D28" s="196"/>
    </row>
    <row r="29" spans="1:4" s="281" customFormat="1">
      <c r="A29" s="236"/>
      <c r="B29" s="236"/>
      <c r="D29" s="196"/>
    </row>
    <row r="30" spans="1:4" s="281" customFormat="1">
      <c r="A30" s="236"/>
      <c r="B30" s="236"/>
      <c r="D30" s="196"/>
    </row>
    <row r="31" spans="1:4" s="281" customFormat="1">
      <c r="A31" s="236"/>
      <c r="B31" s="236"/>
      <c r="D31" s="196"/>
    </row>
    <row r="32" spans="1:4" s="281" customFormat="1">
      <c r="A32" s="236"/>
      <c r="B32" s="236"/>
      <c r="D32" s="196"/>
    </row>
    <row r="33" spans="1:4" s="281" customFormat="1">
      <c r="A33" s="236"/>
      <c r="B33" s="236"/>
      <c r="D33" s="196"/>
    </row>
    <row r="34" spans="1:4" s="281" customFormat="1">
      <c r="A34" s="236"/>
      <c r="B34" s="236"/>
      <c r="D34" s="196"/>
    </row>
    <row r="35" spans="1:4" s="281" customFormat="1">
      <c r="A35" s="236"/>
      <c r="B35" s="236"/>
      <c r="D35" s="196"/>
    </row>
    <row r="36" spans="1:4" s="281" customFormat="1">
      <c r="A36" s="236"/>
      <c r="B36" s="236"/>
      <c r="D36" s="196"/>
    </row>
    <row r="37" spans="1:4" s="281" customFormat="1">
      <c r="A37" s="236"/>
      <c r="B37" s="236"/>
      <c r="D37" s="196"/>
    </row>
    <row r="38" spans="1:4" s="281" customFormat="1">
      <c r="A38" s="236"/>
      <c r="B38" s="236"/>
      <c r="D38" s="196"/>
    </row>
    <row r="39" spans="1:4" s="281" customFormat="1">
      <c r="A39" s="236"/>
      <c r="B39" s="236"/>
      <c r="D39" s="196"/>
    </row>
    <row r="40" spans="1:4" s="281" customFormat="1">
      <c r="A40" s="236"/>
      <c r="B40" s="236"/>
      <c r="D40" s="196"/>
    </row>
    <row r="41" spans="1:4" s="281" customFormat="1">
      <c r="A41" s="236"/>
      <c r="B41" s="236"/>
      <c r="D41" s="196"/>
    </row>
    <row r="42" spans="1:4" s="281" customFormat="1">
      <c r="A42" s="236"/>
      <c r="B42" s="236"/>
      <c r="D42" s="196"/>
    </row>
    <row r="43" spans="1:4" s="281" customFormat="1">
      <c r="A43" s="236"/>
      <c r="B43" s="236"/>
      <c r="D43" s="192"/>
    </row>
    <row r="44" spans="1:4" s="281" customFormat="1">
      <c r="A44" s="236"/>
      <c r="B44" s="236"/>
      <c r="D44" s="192"/>
    </row>
    <row r="45" spans="1:4" s="281" customFormat="1">
      <c r="A45" s="236"/>
      <c r="B45" s="236"/>
      <c r="D45" s="192"/>
    </row>
    <row r="46" spans="1:4" s="281" customFormat="1">
      <c r="A46" s="236"/>
      <c r="B46" s="236"/>
      <c r="D46" s="192"/>
    </row>
    <row r="47" spans="1:4" s="281" customFormat="1">
      <c r="A47" s="236"/>
      <c r="B47" s="236"/>
      <c r="D47" s="192"/>
    </row>
    <row r="48" spans="1:4" s="281" customFormat="1">
      <c r="A48" s="236"/>
      <c r="B48" s="236"/>
      <c r="D48" s="192"/>
    </row>
    <row r="49" spans="1:3" s="281" customFormat="1">
      <c r="A49" s="236"/>
      <c r="B49" s="236"/>
    </row>
    <row r="50" spans="1:3" s="281" customFormat="1">
      <c r="A50" s="236"/>
      <c r="B50" s="236"/>
    </row>
    <row r="51" spans="1:3" s="281" customFormat="1">
      <c r="A51" s="236"/>
      <c r="B51" s="236"/>
    </row>
    <row r="52" spans="1:3" s="281" customFormat="1">
      <c r="A52" s="236"/>
      <c r="B52" s="236"/>
      <c r="C52" s="236"/>
    </row>
    <row r="53" spans="1:3" s="281" customFormat="1">
      <c r="A53" s="236"/>
      <c r="B53" s="236"/>
    </row>
    <row r="54" spans="1:3" s="281" customFormat="1">
      <c r="A54" s="236"/>
      <c r="B54" s="236"/>
    </row>
    <row r="55" spans="1:3" s="281" customFormat="1">
      <c r="A55" s="236"/>
      <c r="B55" s="236"/>
    </row>
    <row r="56" spans="1:3" s="281" customFormat="1">
      <c r="A56" s="236"/>
      <c r="B56" s="236"/>
    </row>
    <row r="57" spans="1:3" s="281" customFormat="1">
      <c r="A57" s="236"/>
      <c r="B57" s="236"/>
    </row>
    <row r="58" spans="1:3" s="281" customFormat="1">
      <c r="A58" s="236"/>
      <c r="B58" s="236"/>
      <c r="C58" s="246"/>
    </row>
    <row r="59" spans="1:3" s="281" customFormat="1">
      <c r="A59" s="236"/>
      <c r="B59" s="236"/>
      <c r="C59" s="236"/>
    </row>
    <row r="60" spans="1:3" s="281" customFormat="1">
      <c r="A60" s="236"/>
      <c r="B60" s="236"/>
      <c r="C60" s="236"/>
    </row>
    <row r="61" spans="1:3" s="281" customFormat="1">
      <c r="A61" s="236"/>
      <c r="B61" s="236"/>
      <c r="C61" s="236"/>
    </row>
    <row r="62" spans="1:3" s="281" customFormat="1">
      <c r="A62" s="236"/>
      <c r="B62" s="236"/>
      <c r="C62" s="251"/>
    </row>
    <row r="63" spans="1:3" s="281" customFormat="1">
      <c r="A63" s="236"/>
      <c r="B63" s="236"/>
      <c r="C63" s="250"/>
    </row>
    <row r="64" spans="1:3" s="281" customFormat="1">
      <c r="A64" s="236"/>
      <c r="B64" s="236"/>
      <c r="C64" s="250"/>
    </row>
    <row r="65" spans="1:4" s="281" customFormat="1">
      <c r="A65" s="236"/>
      <c r="B65" s="236"/>
      <c r="C65" s="250"/>
    </row>
    <row r="66" spans="1:4" s="281" customFormat="1">
      <c r="A66" s="236"/>
      <c r="B66" s="236"/>
      <c r="C66" s="250"/>
    </row>
    <row r="67" spans="1:4" s="281" customFormat="1">
      <c r="A67" s="236"/>
      <c r="B67" s="236"/>
      <c r="C67" s="250"/>
    </row>
    <row r="68" spans="1:4" s="281" customFormat="1">
      <c r="A68" s="236"/>
      <c r="B68" s="236"/>
      <c r="C68" s="250"/>
    </row>
    <row r="69" spans="1:4" s="281" customFormat="1">
      <c r="A69" s="236"/>
      <c r="B69" s="236"/>
      <c r="C69" s="250"/>
    </row>
    <row r="70" spans="1:4" s="281" customFormat="1">
      <c r="A70" s="236"/>
      <c r="B70" s="236"/>
      <c r="C70" s="250"/>
    </row>
    <row r="71" spans="1:4" s="281" customFormat="1">
      <c r="A71" s="236"/>
      <c r="B71" s="236"/>
      <c r="C71" s="250"/>
    </row>
    <row r="72" spans="1:4" s="281" customFormat="1">
      <c r="A72" s="236"/>
      <c r="B72" s="236"/>
      <c r="C72" s="250"/>
    </row>
    <row r="73" spans="1:4" s="281" customFormat="1">
      <c r="A73" s="236"/>
      <c r="B73" s="236"/>
      <c r="C73" s="250"/>
    </row>
    <row r="74" spans="1:4" s="281" customFormat="1">
      <c r="A74" s="236"/>
      <c r="B74" s="236"/>
      <c r="C74" s="250"/>
    </row>
    <row r="75" spans="1:4" s="281" customFormat="1">
      <c r="A75" s="236"/>
      <c r="B75" s="236"/>
      <c r="C75" s="192"/>
      <c r="D75" s="192"/>
    </row>
    <row r="76" spans="1:4" s="281" customFormat="1">
      <c r="A76" s="236"/>
      <c r="B76" s="236"/>
    </row>
    <row r="77" spans="1:4" s="281" customFormat="1">
      <c r="B77" s="236"/>
    </row>
    <row r="78" spans="1:4" s="281" customFormat="1"/>
    <row r="79" spans="1:4" s="281" customFormat="1">
      <c r="A79" s="236"/>
      <c r="C79" s="236"/>
    </row>
    <row r="80" spans="1:4" s="281" customFormat="1">
      <c r="A80" s="236"/>
      <c r="B80" s="236"/>
      <c r="C80" s="236"/>
    </row>
    <row r="81" spans="1:34" s="281" customFormat="1">
      <c r="A81" s="236"/>
      <c r="B81" s="236"/>
      <c r="C81" s="236"/>
    </row>
    <row r="82" spans="1:34" s="281" customFormat="1">
      <c r="A82" s="236"/>
      <c r="B82" s="236"/>
      <c r="C82" s="236"/>
    </row>
    <row r="83" spans="1:34" s="281" customFormat="1">
      <c r="A83" s="236"/>
      <c r="B83" s="236"/>
    </row>
    <row r="84" spans="1:34" s="281" customFormat="1">
      <c r="A84" s="236"/>
      <c r="B84" s="212"/>
    </row>
    <row r="85" spans="1:34" s="281" customFormat="1">
      <c r="A85" s="236"/>
      <c r="B85" s="236"/>
      <c r="C85" s="249"/>
    </row>
    <row r="86" spans="1:34" s="281" customFormat="1">
      <c r="A86" s="236"/>
      <c r="B86" s="236"/>
    </row>
    <row r="87" spans="1:34" s="281" customFormat="1">
      <c r="A87" s="236"/>
      <c r="B87" s="236"/>
    </row>
    <row r="88" spans="1:34">
      <c r="A88" s="252"/>
      <c r="B88" s="236"/>
      <c r="C88" s="281"/>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row>
    <row r="89" spans="1:34">
      <c r="A89" s="252"/>
      <c r="B89" s="25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row>
    <row r="90" spans="1:34">
      <c r="A90" s="252"/>
      <c r="B90" s="25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row>
    <row r="91" spans="1:34">
      <c r="A91" s="252"/>
      <c r="B91" s="25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row>
    <row r="92" spans="1:34">
      <c r="A92" s="252"/>
      <c r="B92" s="25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row>
    <row r="93" spans="1:34">
      <c r="A93" s="252"/>
      <c r="B93" s="25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row>
    <row r="94" spans="1:34">
      <c r="A94" s="252"/>
      <c r="B94" s="25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row>
    <row r="95" spans="1:34">
      <c r="A95" s="252"/>
      <c r="B95" s="25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row>
    <row r="96" spans="1:34">
      <c r="A96" s="252"/>
      <c r="B96" s="25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row>
    <row r="97" spans="1:34">
      <c r="A97" s="252"/>
      <c r="B97" s="25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row>
    <row r="98" spans="1:34">
      <c r="A98" s="252"/>
      <c r="B98" s="25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row>
    <row r="99" spans="1:34">
      <c r="A99" s="252"/>
      <c r="B99" s="25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row>
    <row r="100" spans="1:34">
      <c r="A100" s="252"/>
      <c r="B100" s="25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row>
    <row r="101" spans="1:34">
      <c r="A101" s="252"/>
      <c r="B101" s="25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row>
    <row r="102" spans="1:34">
      <c r="A102" s="252"/>
      <c r="B102" s="25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row>
    <row r="103" spans="1:34">
      <c r="A103" s="252"/>
      <c r="B103" s="25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row>
    <row r="104" spans="1:34">
      <c r="A104" s="252"/>
      <c r="B104" s="25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row>
    <row r="105" spans="1:34">
      <c r="A105" s="252"/>
      <c r="B105" s="25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row>
    <row r="106" spans="1:34">
      <c r="A106" s="252"/>
      <c r="B106" s="25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row>
    <row r="107" spans="1:34">
      <c r="A107" s="252"/>
      <c r="B107" s="25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row>
    <row r="108" spans="1:34">
      <c r="A108" s="252"/>
      <c r="B108" s="25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row>
    <row r="109" spans="1:34">
      <c r="A109" s="252"/>
      <c r="B109" s="25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row>
    <row r="110" spans="1:34">
      <c r="A110" s="252"/>
      <c r="B110" s="25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row>
    <row r="111" spans="1:34">
      <c r="A111" s="252"/>
      <c r="B111" s="25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row>
    <row r="112" spans="1:34">
      <c r="A112" s="252"/>
      <c r="B112" s="25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row>
    <row r="113" spans="1:34">
      <c r="A113" s="252"/>
      <c r="B113" s="25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row>
    <row r="114" spans="1:34">
      <c r="A114" s="252"/>
      <c r="B114" s="25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row>
    <row r="115" spans="1:34">
      <c r="A115" s="252"/>
      <c r="B115" s="25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row>
    <row r="116" spans="1:34">
      <c r="A116" s="252"/>
      <c r="B116" s="25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row>
    <row r="117" spans="1:34">
      <c r="A117" s="252"/>
      <c r="B117" s="25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row>
    <row r="118" spans="1:34">
      <c r="A118" s="252"/>
      <c r="B118" s="25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row>
    <row r="119" spans="1:34">
      <c r="A119" s="252"/>
      <c r="B119" s="25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row>
    <row r="120" spans="1:34">
      <c r="A120" s="252"/>
      <c r="B120" s="25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row>
    <row r="121" spans="1:34">
      <c r="A121" s="252"/>
      <c r="B121" s="25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row>
    <row r="122" spans="1:34">
      <c r="A122" s="252"/>
      <c r="B122" s="25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row>
    <row r="123" spans="1:34">
      <c r="A123" s="252"/>
      <c r="B123" s="25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row>
    <row r="124" spans="1:34">
      <c r="A124" s="252"/>
      <c r="B124" s="25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row>
    <row r="125" spans="1:34">
      <c r="A125" s="252"/>
      <c r="B125" s="25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row>
    <row r="126" spans="1:34">
      <c r="A126" s="252"/>
      <c r="B126" s="25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row>
    <row r="127" spans="1:34">
      <c r="A127" s="252"/>
      <c r="B127" s="25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row>
    <row r="128" spans="1:34">
      <c r="A128" s="252"/>
      <c r="B128" s="25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row>
    <row r="129" spans="1:34">
      <c r="A129" s="252"/>
      <c r="B129" s="25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row>
    <row r="130" spans="1:34">
      <c r="A130" s="252"/>
      <c r="B130" s="25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row>
    <row r="131" spans="1:34">
      <c r="A131" s="252"/>
      <c r="B131" s="25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row>
    <row r="132" spans="1:34">
      <c r="A132" s="252"/>
      <c r="B132" s="25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row>
    <row r="133" spans="1:34">
      <c r="A133" s="252"/>
      <c r="B133" s="25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row>
    <row r="134" spans="1:34">
      <c r="A134" s="252"/>
      <c r="B134" s="25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row>
    <row r="135" spans="1:34">
      <c r="A135" s="252"/>
      <c r="B135" s="25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row>
    <row r="136" spans="1:34">
      <c r="A136" s="252"/>
      <c r="B136" s="25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row>
    <row r="137" spans="1:34">
      <c r="A137" s="252"/>
      <c r="B137" s="25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row>
    <row r="138" spans="1:34">
      <c r="A138" s="252"/>
      <c r="B138" s="25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row>
    <row r="139" spans="1:34">
      <c r="A139" s="252"/>
      <c r="B139" s="25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row>
    <row r="140" spans="1:34">
      <c r="A140" s="252"/>
      <c r="B140" s="25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row>
    <row r="141" spans="1:34">
      <c r="A141" s="252"/>
      <c r="B141" s="25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row>
    <row r="142" spans="1:34">
      <c r="A142" s="252"/>
      <c r="B142" s="25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row>
    <row r="143" spans="1:34">
      <c r="A143" s="252"/>
      <c r="B143" s="25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row>
    <row r="144" spans="1:34">
      <c r="A144" s="252"/>
      <c r="B144" s="25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row>
    <row r="145" spans="1:34" s="244" customFormat="1">
      <c r="A145" s="252"/>
      <c r="B145" s="252"/>
      <c r="C145" s="82"/>
      <c r="D145" s="8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row>
    <row r="146" spans="1:34">
      <c r="A146" s="252"/>
      <c r="B146" s="25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row>
    <row r="147" spans="1:34">
      <c r="A147" s="236"/>
      <c r="B147" s="252"/>
      <c r="C147" s="82"/>
      <c r="D147" s="281"/>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row>
    <row r="148" spans="1:34">
      <c r="A148" s="236"/>
      <c r="B148" s="236"/>
      <c r="C148" s="281"/>
      <c r="D148" s="281"/>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row>
    <row r="149" spans="1:34">
      <c r="A149" s="236"/>
      <c r="B149" s="236"/>
      <c r="C149" s="281"/>
      <c r="D149" s="281"/>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row>
    <row r="150" spans="1:34">
      <c r="A150" s="236"/>
      <c r="B150" s="236"/>
      <c r="C150" s="281"/>
      <c r="D150" s="281"/>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row>
    <row r="151" spans="1:34">
      <c r="A151" s="236"/>
      <c r="B151" s="236"/>
      <c r="C151" s="281"/>
      <c r="D151" s="281"/>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row>
    <row r="152" spans="1:34">
      <c r="A152" s="236"/>
      <c r="B152" s="236"/>
      <c r="C152" s="281"/>
      <c r="D152" s="281"/>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row>
    <row r="153" spans="1:34">
      <c r="A153" s="236"/>
      <c r="B153" s="236"/>
      <c r="C153" s="281"/>
      <c r="D153" s="281"/>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row>
    <row r="154" spans="1:34">
      <c r="A154" s="236"/>
      <c r="B154" s="236"/>
      <c r="C154" s="281"/>
      <c r="D154" s="281"/>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row>
    <row r="155" spans="1:34">
      <c r="A155" s="236"/>
      <c r="B155" s="236"/>
      <c r="C155" s="281"/>
      <c r="D155" s="281"/>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row>
    <row r="156" spans="1:34">
      <c r="A156" s="252"/>
      <c r="B156" s="236"/>
      <c r="C156" s="281"/>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row>
    <row r="157" spans="1:34">
      <c r="A157" s="252"/>
      <c r="B157" s="25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row>
    <row r="158" spans="1:34">
      <c r="A158" s="252"/>
      <c r="B158" s="25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row>
    <row r="159" spans="1:34">
      <c r="A159" s="252"/>
      <c r="B159" s="25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row>
    <row r="160" spans="1:34">
      <c r="A160" s="252"/>
      <c r="B160" s="25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row>
    <row r="161" spans="1:34">
      <c r="A161" s="252"/>
      <c r="B161" s="25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row>
    <row r="162" spans="1:34">
      <c r="A162" s="252"/>
      <c r="B162" s="25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row>
    <row r="163" spans="1:34">
      <c r="A163" s="252"/>
      <c r="B163" s="25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row>
    <row r="164" spans="1:34">
      <c r="A164" s="252"/>
      <c r="B164" s="25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row>
    <row r="165" spans="1:34">
      <c r="A165" s="252"/>
      <c r="B165" s="25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row>
  </sheetData>
  <mergeCells count="5">
    <mergeCell ref="A26:D26"/>
    <mergeCell ref="A1:D1"/>
    <mergeCell ref="A3:D3"/>
    <mergeCell ref="A2:D2"/>
    <mergeCell ref="A25:D25"/>
  </mergeCells>
  <printOptions horizontalCentered="1"/>
  <pageMargins left="0.7" right="0.7" top="0.7" bottom="0.7" header="0.3" footer="0.5"/>
  <pageSetup scale="85" orientation="portrait"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X235"/>
  <sheetViews>
    <sheetView zoomScale="90" zoomScaleNormal="90" workbookViewId="0">
      <selection sqref="A1:B1"/>
    </sheetView>
  </sheetViews>
  <sheetFormatPr defaultColWidth="9.109375" defaultRowHeight="13.2"/>
  <cols>
    <col min="1" max="1" width="5.6640625" style="769" customWidth="1"/>
    <col min="2" max="2" width="8.5546875" style="726" customWidth="1"/>
    <col min="3" max="3" width="30" style="726" customWidth="1"/>
    <col min="4" max="4" width="15.33203125" style="726" customWidth="1"/>
    <col min="5" max="5" width="15.44140625" style="44" customWidth="1"/>
    <col min="6" max="6" width="14" style="44" customWidth="1"/>
    <col min="7" max="7" width="14" style="43" customWidth="1"/>
    <col min="8" max="8" width="15.88671875" style="43" bestFit="1" customWidth="1"/>
    <col min="9" max="11" width="14" style="43" customWidth="1"/>
    <col min="12" max="12" width="15.88671875" style="43" bestFit="1" customWidth="1"/>
    <col min="13" max="13" width="14" style="43" customWidth="1"/>
    <col min="14" max="14" width="72.5546875" style="43" customWidth="1"/>
    <col min="15" max="17" width="9.109375" style="44"/>
    <col min="18" max="18" width="10.33203125" style="44" bestFit="1" customWidth="1"/>
    <col min="19" max="16384" width="9.109375" style="44"/>
  </cols>
  <sheetData>
    <row r="1" spans="1:17">
      <c r="A1" s="1892" t="str">
        <f>+'MISO Cover'!C6</f>
        <v>Entergy Arkansas, Inc.</v>
      </c>
      <c r="B1" s="1892"/>
      <c r="C1" s="1892"/>
      <c r="D1" s="1892"/>
      <c r="E1" s="1892"/>
      <c r="F1" s="1892"/>
      <c r="G1" s="1892"/>
      <c r="H1" s="1892"/>
      <c r="I1" s="1892"/>
      <c r="J1" s="1892"/>
      <c r="K1" s="1892"/>
      <c r="L1" s="1892"/>
      <c r="M1" s="1892"/>
      <c r="N1" s="1892"/>
    </row>
    <row r="2" spans="1:17" s="43" customFormat="1" ht="15" customHeight="1">
      <c r="A2" s="1893" t="s">
        <v>723</v>
      </c>
      <c r="B2" s="1893"/>
      <c r="C2" s="1893"/>
      <c r="D2" s="1893"/>
      <c r="E2" s="1893"/>
      <c r="F2" s="1893"/>
      <c r="G2" s="1893"/>
      <c r="H2" s="1893"/>
      <c r="I2" s="1893"/>
      <c r="J2" s="1893"/>
      <c r="K2" s="1893"/>
      <c r="L2" s="1893"/>
      <c r="M2" s="1893"/>
      <c r="N2" s="1893"/>
    </row>
    <row r="3" spans="1:17">
      <c r="A3" s="1892" t="str">
        <f>+'MISO Cover'!K4</f>
        <v>For  the 12 Months Ended 12/31/2016</v>
      </c>
      <c r="B3" s="1892"/>
      <c r="C3" s="1892"/>
      <c r="D3" s="1892"/>
      <c r="E3" s="1892"/>
      <c r="F3" s="1892"/>
      <c r="G3" s="1892"/>
      <c r="H3" s="1892"/>
      <c r="I3" s="1892"/>
      <c r="J3" s="1892"/>
      <c r="K3" s="1892"/>
      <c r="L3" s="1892"/>
      <c r="M3" s="1892"/>
      <c r="N3" s="1892"/>
      <c r="O3" s="225"/>
      <c r="P3" s="225"/>
      <c r="Q3" s="225"/>
    </row>
    <row r="4" spans="1:17" ht="12.6" customHeight="1">
      <c r="A4" s="1896" t="s">
        <v>155</v>
      </c>
      <c r="B4" s="790"/>
      <c r="C4" s="790"/>
      <c r="D4" s="790"/>
      <c r="E4" s="195"/>
      <c r="F4" s="195"/>
      <c r="G4" s="184"/>
      <c r="H4" s="184"/>
      <c r="I4" s="184"/>
      <c r="J4" s="184"/>
      <c r="K4" s="184"/>
      <c r="L4" s="184"/>
      <c r="M4" s="184"/>
      <c r="N4" s="184"/>
      <c r="O4" s="225"/>
      <c r="P4" s="225"/>
      <c r="Q4" s="225"/>
    </row>
    <row r="5" spans="1:17" s="43" customFormat="1">
      <c r="A5" s="1896"/>
      <c r="B5" s="505" t="s">
        <v>72</v>
      </c>
      <c r="C5" s="505" t="s">
        <v>119</v>
      </c>
      <c r="D5" s="505" t="s">
        <v>60</v>
      </c>
      <c r="E5" s="505" t="s">
        <v>73</v>
      </c>
      <c r="F5" s="505" t="s">
        <v>71</v>
      </c>
      <c r="G5" s="505" t="s">
        <v>161</v>
      </c>
      <c r="H5" s="505" t="s">
        <v>74</v>
      </c>
      <c r="I5" s="505" t="s">
        <v>174</v>
      </c>
      <c r="J5" s="505" t="s">
        <v>435</v>
      </c>
      <c r="K5" s="505" t="s">
        <v>65</v>
      </c>
      <c r="L5" s="505" t="s">
        <v>76</v>
      </c>
      <c r="M5" s="505" t="s">
        <v>103</v>
      </c>
      <c r="N5" s="505" t="s">
        <v>104</v>
      </c>
    </row>
    <row r="6" spans="1:17" ht="16.8">
      <c r="A6" s="1027"/>
      <c r="B6" s="790"/>
      <c r="C6" s="790"/>
      <c r="D6" s="790"/>
      <c r="E6" s="194"/>
      <c r="F6" s="1897" t="s">
        <v>1127</v>
      </c>
      <c r="G6" s="1897"/>
      <c r="H6" s="1897"/>
      <c r="I6" s="1898"/>
      <c r="J6" s="1899" t="s">
        <v>443</v>
      </c>
      <c r="K6" s="1897"/>
      <c r="L6" s="1897"/>
      <c r="M6" s="1898"/>
      <c r="O6" s="508"/>
    </row>
    <row r="7" spans="1:17" ht="46.5" customHeight="1">
      <c r="A7" s="1027">
        <v>1</v>
      </c>
      <c r="B7" s="44"/>
      <c r="C7" s="219"/>
      <c r="D7" s="497" t="s">
        <v>170</v>
      </c>
      <c r="E7" s="656" t="s">
        <v>165</v>
      </c>
      <c r="F7" s="545" t="s">
        <v>441</v>
      </c>
      <c r="G7" s="545" t="s">
        <v>442</v>
      </c>
      <c r="H7" s="545" t="s">
        <v>151</v>
      </c>
      <c r="I7" s="656" t="s">
        <v>152</v>
      </c>
      <c r="J7" s="658" t="s">
        <v>441</v>
      </c>
      <c r="K7" s="545" t="s">
        <v>442</v>
      </c>
      <c r="L7" s="545" t="s">
        <v>151</v>
      </c>
      <c r="M7" s="656" t="s">
        <v>152</v>
      </c>
      <c r="N7" s="798" t="s">
        <v>445</v>
      </c>
    </row>
    <row r="8" spans="1:17" ht="16.8">
      <c r="A8" s="1027">
        <f>+A7+1</f>
        <v>2</v>
      </c>
      <c r="B8" s="498"/>
      <c r="C8" s="219"/>
      <c r="D8" s="219"/>
      <c r="E8" s="657"/>
      <c r="F8" s="1897" t="s">
        <v>458</v>
      </c>
      <c r="G8" s="1897"/>
      <c r="H8" s="1897"/>
      <c r="I8" s="1898"/>
      <c r="J8" s="1899" t="s">
        <v>765</v>
      </c>
      <c r="K8" s="1897"/>
      <c r="L8" s="1897"/>
      <c r="M8" s="1898"/>
      <c r="N8" s="44"/>
    </row>
    <row r="9" spans="1:17">
      <c r="A9" s="1027">
        <f t="shared" ref="A9:A17" si="0">+A8+1</f>
        <v>3</v>
      </c>
      <c r="C9" s="219"/>
      <c r="D9" s="219"/>
      <c r="E9" s="1571" t="s">
        <v>142</v>
      </c>
      <c r="F9" s="80">
        <f t="shared" ref="F9:M9" si="1">+F107</f>
        <v>266986835.68499982</v>
      </c>
      <c r="G9" s="80">
        <f t="shared" si="1"/>
        <v>0</v>
      </c>
      <c r="H9" s="80">
        <f t="shared" si="1"/>
        <v>22373855.189999998</v>
      </c>
      <c r="I9" s="817">
        <f t="shared" si="1"/>
        <v>-110188035.80500001</v>
      </c>
      <c r="J9" s="928">
        <f t="shared" si="1"/>
        <v>264243484.35000005</v>
      </c>
      <c r="K9" s="282">
        <f t="shared" si="1"/>
        <v>0</v>
      </c>
      <c r="L9" s="282">
        <f t="shared" si="1"/>
        <v>50344006.82</v>
      </c>
      <c r="M9" s="817">
        <f t="shared" si="1"/>
        <v>-117810494.51000001</v>
      </c>
      <c r="N9" s="282" t="str">
        <f>+"Ln "&amp;A107</f>
        <v>Ln 15</v>
      </c>
    </row>
    <row r="10" spans="1:17">
      <c r="A10" s="1027">
        <f t="shared" si="0"/>
        <v>4</v>
      </c>
      <c r="C10" s="219"/>
      <c r="D10" s="219"/>
      <c r="E10" s="1571" t="s">
        <v>231</v>
      </c>
      <c r="F10" s="80">
        <v>0</v>
      </c>
      <c r="G10" s="80">
        <v>0</v>
      </c>
      <c r="H10" s="80">
        <v>0</v>
      </c>
      <c r="I10" s="817">
        <v>0</v>
      </c>
      <c r="J10" s="928">
        <v>0</v>
      </c>
      <c r="K10" s="282">
        <v>0</v>
      </c>
      <c r="L10" s="282">
        <v>0</v>
      </c>
      <c r="M10" s="817">
        <v>0</v>
      </c>
      <c r="N10" s="43" t="s">
        <v>444</v>
      </c>
    </row>
    <row r="11" spans="1:17">
      <c r="A11" s="1027">
        <f t="shared" si="0"/>
        <v>5</v>
      </c>
      <c r="C11" s="219"/>
      <c r="D11" s="219"/>
      <c r="E11" s="1571" t="s">
        <v>143</v>
      </c>
      <c r="F11" s="80">
        <f>+F179</f>
        <v>-304026400.6049999</v>
      </c>
      <c r="G11" s="80">
        <f t="shared" ref="G11:M11" si="2">+G179</f>
        <v>-11332420.755000001</v>
      </c>
      <c r="H11" s="80">
        <f t="shared" si="2"/>
        <v>-1408430029.3108749</v>
      </c>
      <c r="I11" s="817">
        <f t="shared" si="2"/>
        <v>-17147966.495000001</v>
      </c>
      <c r="J11" s="928">
        <f t="shared" si="2"/>
        <v>-321935020.12000006</v>
      </c>
      <c r="K11" s="282">
        <f t="shared" si="2"/>
        <v>-11897383.149999999</v>
      </c>
      <c r="L11" s="282">
        <f t="shared" si="2"/>
        <v>-1466097494.45175</v>
      </c>
      <c r="M11" s="817">
        <f t="shared" si="2"/>
        <v>-16440366.490000002</v>
      </c>
      <c r="N11" s="282" t="str">
        <f>+"Ln "&amp;A179</f>
        <v>Ln 21</v>
      </c>
    </row>
    <row r="12" spans="1:17" ht="15">
      <c r="A12" s="1027">
        <f t="shared" si="0"/>
        <v>6</v>
      </c>
      <c r="C12" s="219"/>
      <c r="D12" s="219"/>
      <c r="E12" s="1571" t="s">
        <v>144</v>
      </c>
      <c r="F12" s="496">
        <f>+F225</f>
        <v>-398079604.83000004</v>
      </c>
      <c r="G12" s="496">
        <f t="shared" ref="G12:M12" si="3">+G225</f>
        <v>-12448717.924999999</v>
      </c>
      <c r="H12" s="496">
        <f t="shared" si="3"/>
        <v>-12219168.935000001</v>
      </c>
      <c r="I12" s="502">
        <f t="shared" si="3"/>
        <v>0</v>
      </c>
      <c r="J12" s="1572">
        <f t="shared" si="3"/>
        <v>-404925285.20000005</v>
      </c>
      <c r="K12" s="499">
        <f t="shared" si="3"/>
        <v>-10790986.469999999</v>
      </c>
      <c r="L12" s="499">
        <f t="shared" si="3"/>
        <v>-13193471.51</v>
      </c>
      <c r="M12" s="502">
        <f t="shared" si="3"/>
        <v>0</v>
      </c>
      <c r="N12" s="282" t="str">
        <f>+"Ln "&amp;A225</f>
        <v>Ln 27</v>
      </c>
    </row>
    <row r="13" spans="1:17">
      <c r="A13" s="1027">
        <f t="shared" si="0"/>
        <v>7</v>
      </c>
      <c r="C13" s="219"/>
      <c r="D13" s="219"/>
      <c r="E13" s="1571" t="s">
        <v>440</v>
      </c>
      <c r="F13" s="239">
        <f t="shared" ref="F13:M13" si="4">+SUM(F9:F12)</f>
        <v>-435119169.75000012</v>
      </c>
      <c r="G13" s="239">
        <f t="shared" si="4"/>
        <v>-23781138.68</v>
      </c>
      <c r="H13" s="239">
        <f t="shared" si="4"/>
        <v>-1398275343.0558748</v>
      </c>
      <c r="I13" s="818">
        <f t="shared" si="4"/>
        <v>-127336002.30000001</v>
      </c>
      <c r="J13" s="1573">
        <f t="shared" si="4"/>
        <v>-462616820.97000003</v>
      </c>
      <c r="K13" s="241">
        <f t="shared" si="4"/>
        <v>-22688369.619999997</v>
      </c>
      <c r="L13" s="241">
        <f t="shared" si="4"/>
        <v>-1428946959.1417501</v>
      </c>
      <c r="M13" s="818">
        <f t="shared" si="4"/>
        <v>-134250861</v>
      </c>
      <c r="N13" s="241" t="str">
        <f>+"Sum of Ln "&amp;A9&amp;" + "&amp;A10&amp;" + "&amp;A11&amp;" + "&amp;A12</f>
        <v>Sum of Ln 3 + 4 + 5 + 6</v>
      </c>
    </row>
    <row r="14" spans="1:17">
      <c r="A14" s="1027">
        <f t="shared" si="0"/>
        <v>8</v>
      </c>
      <c r="B14" s="44"/>
      <c r="C14" s="219"/>
      <c r="D14" s="219"/>
      <c r="E14" s="1571"/>
      <c r="F14" s="239"/>
      <c r="G14" s="239"/>
      <c r="H14" s="239"/>
      <c r="I14" s="818"/>
      <c r="J14" s="1573"/>
      <c r="K14" s="241"/>
      <c r="L14" s="241"/>
      <c r="M14" s="818"/>
    </row>
    <row r="15" spans="1:17" ht="16.8">
      <c r="A15" s="1027">
        <f t="shared" si="0"/>
        <v>9</v>
      </c>
      <c r="B15" s="790"/>
      <c r="C15" s="790"/>
      <c r="D15" s="790"/>
      <c r="E15" s="194"/>
      <c r="F15" s="1897" t="s">
        <v>1127</v>
      </c>
      <c r="G15" s="1897"/>
      <c r="H15" s="1897"/>
      <c r="I15" s="1898"/>
      <c r="J15" s="1899" t="s">
        <v>443</v>
      </c>
      <c r="K15" s="1897"/>
      <c r="L15" s="1897"/>
      <c r="M15" s="1898"/>
    </row>
    <row r="16" spans="1:17" ht="33.6">
      <c r="A16" s="1027">
        <f t="shared" si="0"/>
        <v>10</v>
      </c>
      <c r="C16" s="219"/>
      <c r="D16" s="497" t="s">
        <v>170</v>
      </c>
      <c r="E16" s="656" t="s">
        <v>165</v>
      </c>
      <c r="F16" s="545" t="s">
        <v>441</v>
      </c>
      <c r="G16" s="545" t="s">
        <v>442</v>
      </c>
      <c r="H16" s="545" t="s">
        <v>151</v>
      </c>
      <c r="I16" s="656" t="s">
        <v>152</v>
      </c>
      <c r="J16" s="658" t="s">
        <v>441</v>
      </c>
      <c r="K16" s="545" t="s">
        <v>442</v>
      </c>
      <c r="L16" s="545" t="s">
        <v>151</v>
      </c>
      <c r="M16" s="656" t="s">
        <v>152</v>
      </c>
      <c r="N16" s="798" t="s">
        <v>54</v>
      </c>
    </row>
    <row r="17" spans="1:14" ht="16.8">
      <c r="A17" s="1027">
        <f t="shared" si="0"/>
        <v>11</v>
      </c>
      <c r="B17" s="498" t="s">
        <v>142</v>
      </c>
      <c r="C17" s="219"/>
      <c r="D17" s="219"/>
      <c r="E17" s="657"/>
      <c r="F17" s="1897" t="str">
        <f>F8</f>
        <v>Average of BOY/EOY (Col (C+D)/2)</v>
      </c>
      <c r="G17" s="1897"/>
      <c r="H17" s="1897"/>
      <c r="I17" s="1898"/>
      <c r="J17" s="1899" t="str">
        <f>J8</f>
        <v>EOY (Col D)</v>
      </c>
      <c r="K17" s="1897"/>
      <c r="L17" s="1897"/>
      <c r="M17" s="1898"/>
    </row>
    <row r="18" spans="1:14">
      <c r="A18" s="828">
        <f t="shared" ref="A18:A83" si="5">+A17+0.01</f>
        <v>11.01</v>
      </c>
      <c r="B18" s="1580" t="s">
        <v>1203</v>
      </c>
      <c r="C18" s="1580"/>
      <c r="D18" s="199">
        <v>61196.729999999981</v>
      </c>
      <c r="E18" s="199">
        <v>61196.729999999981</v>
      </c>
      <c r="F18" s="1291">
        <f>+SUM($D18:$E18)/2</f>
        <v>61196.729999999981</v>
      </c>
      <c r="G18" s="187"/>
      <c r="H18" s="187"/>
      <c r="I18" s="500"/>
      <c r="J18" s="1291">
        <f t="shared" ref="J18:J27" si="6">+E18</f>
        <v>61196.729999999981</v>
      </c>
      <c r="K18" s="187"/>
      <c r="L18" s="187"/>
      <c r="M18" s="500"/>
      <c r="N18" s="1401" t="s">
        <v>229</v>
      </c>
    </row>
    <row r="19" spans="1:14">
      <c r="A19" s="828">
        <f t="shared" si="5"/>
        <v>11.02</v>
      </c>
      <c r="B19" s="1580" t="s">
        <v>1204</v>
      </c>
      <c r="C19" s="1580"/>
      <c r="D19" s="199">
        <v>12155.200000000012</v>
      </c>
      <c r="E19" s="199">
        <v>12155.200000000012</v>
      </c>
      <c r="F19" s="1291">
        <f t="shared" ref="F19:F27" si="7">+SUM($D19:$E19)/2</f>
        <v>12155.200000000012</v>
      </c>
      <c r="G19" s="187"/>
      <c r="H19" s="187"/>
      <c r="I19" s="500"/>
      <c r="J19" s="1291">
        <f t="shared" si="6"/>
        <v>12155.200000000012</v>
      </c>
      <c r="K19" s="187"/>
      <c r="L19" s="187"/>
      <c r="M19" s="500"/>
      <c r="N19" s="1401" t="s">
        <v>229</v>
      </c>
    </row>
    <row r="20" spans="1:14">
      <c r="A20" s="828">
        <f t="shared" si="5"/>
        <v>11.03</v>
      </c>
      <c r="B20" s="1580" t="s">
        <v>1205</v>
      </c>
      <c r="C20" s="1580"/>
      <c r="D20" s="199">
        <v>-150604.85999999999</v>
      </c>
      <c r="E20" s="199">
        <v>-296850.57</v>
      </c>
      <c r="F20" s="1291">
        <f t="shared" si="7"/>
        <v>-223727.715</v>
      </c>
      <c r="G20" s="187"/>
      <c r="H20" s="187"/>
      <c r="I20" s="500"/>
      <c r="J20" s="1291">
        <f t="shared" si="6"/>
        <v>-296850.57</v>
      </c>
      <c r="K20" s="187"/>
      <c r="L20" s="187"/>
      <c r="M20" s="500"/>
      <c r="N20" s="1401" t="s">
        <v>200</v>
      </c>
    </row>
    <row r="21" spans="1:14">
      <c r="A21" s="828">
        <f t="shared" si="5"/>
        <v>11.04</v>
      </c>
      <c r="B21" s="1580" t="s">
        <v>1206</v>
      </c>
      <c r="C21" s="1580"/>
      <c r="D21" s="199">
        <v>-29913.87</v>
      </c>
      <c r="E21" s="199">
        <v>-58961.91</v>
      </c>
      <c r="F21" s="1291">
        <f t="shared" si="7"/>
        <v>-44437.89</v>
      </c>
      <c r="G21" s="187"/>
      <c r="H21" s="187"/>
      <c r="I21" s="500"/>
      <c r="J21" s="1291">
        <f t="shared" si="6"/>
        <v>-58961.91</v>
      </c>
      <c r="K21" s="187"/>
      <c r="L21" s="187"/>
      <c r="M21" s="500"/>
      <c r="N21" s="1401" t="s">
        <v>200</v>
      </c>
    </row>
    <row r="22" spans="1:14">
      <c r="A22" s="828">
        <f t="shared" si="5"/>
        <v>11.049999999999999</v>
      </c>
      <c r="B22" s="1580" t="s">
        <v>1207</v>
      </c>
      <c r="C22" s="1580"/>
      <c r="D22" s="199">
        <v>-758560.56</v>
      </c>
      <c r="E22" s="199">
        <v>-3146064.03</v>
      </c>
      <c r="F22" s="1291">
        <f t="shared" si="7"/>
        <v>-1952312.2949999999</v>
      </c>
      <c r="G22" s="187"/>
      <c r="H22" s="187"/>
      <c r="I22" s="500"/>
      <c r="J22" s="1291">
        <f t="shared" si="6"/>
        <v>-3146064.03</v>
      </c>
      <c r="K22" s="187"/>
      <c r="L22" s="187"/>
      <c r="M22" s="500"/>
      <c r="N22" s="1401" t="s">
        <v>200</v>
      </c>
    </row>
    <row r="23" spans="1:14">
      <c r="A23" s="828">
        <f t="shared" si="5"/>
        <v>11.059999999999999</v>
      </c>
      <c r="B23" s="1580" t="s">
        <v>1208</v>
      </c>
      <c r="C23" s="1580"/>
      <c r="D23" s="199">
        <v>-150669.01</v>
      </c>
      <c r="E23" s="199">
        <v>-624886.66</v>
      </c>
      <c r="F23" s="1291">
        <f t="shared" si="7"/>
        <v>-387777.83500000002</v>
      </c>
      <c r="G23" s="187"/>
      <c r="H23" s="187"/>
      <c r="I23" s="500"/>
      <c r="J23" s="1291">
        <f t="shared" si="6"/>
        <v>-624886.66</v>
      </c>
      <c r="K23" s="187"/>
      <c r="L23" s="187"/>
      <c r="M23" s="500"/>
      <c r="N23" s="1401" t="s">
        <v>200</v>
      </c>
    </row>
    <row r="24" spans="1:14">
      <c r="A24" s="828">
        <f t="shared" si="5"/>
        <v>11.069999999999999</v>
      </c>
      <c r="B24" s="1580" t="s">
        <v>1209</v>
      </c>
      <c r="C24" s="1580"/>
      <c r="D24" s="199">
        <v>8188572.7199999997</v>
      </c>
      <c r="E24" s="199">
        <v>5672118.7699999996</v>
      </c>
      <c r="F24" s="1291">
        <f t="shared" si="7"/>
        <v>6930345.7449999992</v>
      </c>
      <c r="G24" s="187"/>
      <c r="H24" s="187"/>
      <c r="I24" s="500"/>
      <c r="J24" s="1291">
        <f t="shared" si="6"/>
        <v>5672118.7699999996</v>
      </c>
      <c r="K24" s="187"/>
      <c r="L24" s="187"/>
      <c r="M24" s="500"/>
      <c r="N24" s="1401" t="s">
        <v>230</v>
      </c>
    </row>
    <row r="25" spans="1:14">
      <c r="A25" s="828">
        <f t="shared" si="5"/>
        <v>11.079999999999998</v>
      </c>
      <c r="B25" s="1580" t="s">
        <v>1210</v>
      </c>
      <c r="C25" s="1580"/>
      <c r="D25" s="199">
        <v>1626454.48</v>
      </c>
      <c r="E25" s="199">
        <v>1126624.0499999998</v>
      </c>
      <c r="F25" s="1291">
        <f t="shared" si="7"/>
        <v>1376539.2649999999</v>
      </c>
      <c r="G25" s="187"/>
      <c r="H25" s="187"/>
      <c r="I25" s="500"/>
      <c r="J25" s="1291">
        <f t="shared" si="6"/>
        <v>1126624.0499999998</v>
      </c>
      <c r="K25" s="187"/>
      <c r="L25" s="187"/>
      <c r="M25" s="500"/>
      <c r="N25" s="1401" t="s">
        <v>230</v>
      </c>
    </row>
    <row r="26" spans="1:14">
      <c r="A26" s="828">
        <f t="shared" si="5"/>
        <v>11.089999999999998</v>
      </c>
      <c r="B26" s="1580" t="s">
        <v>1211</v>
      </c>
      <c r="C26" s="1580"/>
      <c r="D26" s="199">
        <v>-13981358.530000001</v>
      </c>
      <c r="E26" s="199">
        <v>-11324592.140000001</v>
      </c>
      <c r="F26" s="1291">
        <f t="shared" si="7"/>
        <v>-12652975.335000001</v>
      </c>
      <c r="G26" s="187"/>
      <c r="H26" s="187"/>
      <c r="I26" s="500"/>
      <c r="J26" s="1291">
        <f t="shared" si="6"/>
        <v>-11324592.140000001</v>
      </c>
      <c r="K26" s="187"/>
      <c r="L26" s="187"/>
      <c r="M26" s="500"/>
      <c r="N26" s="1401" t="s">
        <v>201</v>
      </c>
    </row>
    <row r="27" spans="1:14">
      <c r="A27" s="828">
        <f t="shared" si="5"/>
        <v>11.099999999999998</v>
      </c>
      <c r="B27" s="1580" t="s">
        <v>1212</v>
      </c>
      <c r="C27" s="1580"/>
      <c r="D27" s="199">
        <v>-2777046.01</v>
      </c>
      <c r="E27" s="199">
        <v>-2249346.0399999991</v>
      </c>
      <c r="F27" s="1291">
        <f t="shared" si="7"/>
        <v>-2513196.0249999994</v>
      </c>
      <c r="G27" s="187"/>
      <c r="H27" s="187"/>
      <c r="I27" s="500"/>
      <c r="J27" s="1291">
        <f t="shared" si="6"/>
        <v>-2249346.0399999991</v>
      </c>
      <c r="K27" s="187"/>
      <c r="L27" s="187"/>
      <c r="M27" s="500"/>
      <c r="N27" s="1401" t="s">
        <v>201</v>
      </c>
    </row>
    <row r="28" spans="1:14">
      <c r="A28" s="828">
        <f t="shared" si="5"/>
        <v>11.109999999999998</v>
      </c>
      <c r="B28" s="1580" t="s">
        <v>1213</v>
      </c>
      <c r="C28" s="1580"/>
      <c r="D28" s="199">
        <v>872025.19</v>
      </c>
      <c r="E28" s="199">
        <v>489733.85</v>
      </c>
      <c r="F28" s="1291"/>
      <c r="G28" s="187"/>
      <c r="H28" s="187">
        <f>+SUM($D28:$E28)/2</f>
        <v>680879.52</v>
      </c>
      <c r="I28" s="500"/>
      <c r="J28" s="1291"/>
      <c r="K28" s="187"/>
      <c r="L28" s="187">
        <f>+E28</f>
        <v>489733.85</v>
      </c>
      <c r="M28" s="500"/>
      <c r="N28" s="1401" t="s">
        <v>202</v>
      </c>
    </row>
    <row r="29" spans="1:14">
      <c r="A29" s="828">
        <f t="shared" si="5"/>
        <v>11.119999999999997</v>
      </c>
      <c r="B29" s="1580" t="s">
        <v>1214</v>
      </c>
      <c r="C29" s="1580"/>
      <c r="D29" s="199">
        <v>320016.09999999998</v>
      </c>
      <c r="E29" s="199">
        <v>175737.02</v>
      </c>
      <c r="F29" s="1291"/>
      <c r="G29" s="187"/>
      <c r="H29" s="187">
        <f>+SUM($D29:$E29)/2</f>
        <v>247876.56</v>
      </c>
      <c r="I29" s="500"/>
      <c r="J29" s="1291"/>
      <c r="K29" s="187"/>
      <c r="L29" s="187">
        <f>+E29</f>
        <v>175737.02</v>
      </c>
      <c r="M29" s="500"/>
      <c r="N29" s="1401" t="s">
        <v>202</v>
      </c>
    </row>
    <row r="30" spans="1:14">
      <c r="A30" s="828">
        <f t="shared" si="5"/>
        <v>11.129999999999997</v>
      </c>
      <c r="B30" s="1580" t="s">
        <v>1215</v>
      </c>
      <c r="C30" s="1580"/>
      <c r="D30" s="199">
        <v>1323207.5</v>
      </c>
      <c r="E30" s="199">
        <v>1227533.32</v>
      </c>
      <c r="F30" s="1291"/>
      <c r="G30" s="187"/>
      <c r="H30" s="187"/>
      <c r="I30" s="500">
        <f>+SUM($D30:$E30)/2</f>
        <v>1275370.4100000001</v>
      </c>
      <c r="J30" s="1291"/>
      <c r="K30" s="187"/>
      <c r="L30" s="187"/>
      <c r="M30" s="500">
        <f>+E30</f>
        <v>1227533.32</v>
      </c>
      <c r="N30" s="1401" t="s">
        <v>203</v>
      </c>
    </row>
    <row r="31" spans="1:14">
      <c r="A31" s="828">
        <f t="shared" si="5"/>
        <v>11.139999999999997</v>
      </c>
      <c r="B31" s="1580" t="s">
        <v>1216</v>
      </c>
      <c r="C31" s="1580"/>
      <c r="D31" s="199">
        <v>262821.95</v>
      </c>
      <c r="E31" s="199">
        <v>243818.67</v>
      </c>
      <c r="F31" s="1291"/>
      <c r="G31" s="187"/>
      <c r="H31" s="187"/>
      <c r="I31" s="500">
        <f>+SUM($D31:$E31)/2</f>
        <v>253320.31</v>
      </c>
      <c r="J31" s="1291"/>
      <c r="K31" s="187"/>
      <c r="L31" s="187"/>
      <c r="M31" s="500">
        <f>+E31</f>
        <v>243818.67</v>
      </c>
      <c r="N31" s="1401" t="s">
        <v>203</v>
      </c>
    </row>
    <row r="32" spans="1:14">
      <c r="A32" s="828">
        <f t="shared" si="5"/>
        <v>11.149999999999997</v>
      </c>
      <c r="B32" s="1580" t="s">
        <v>1217</v>
      </c>
      <c r="C32" s="1580"/>
      <c r="D32" s="199">
        <v>-1.0000001639127731E-2</v>
      </c>
      <c r="E32" s="199">
        <v>-1.0000001639127731E-2</v>
      </c>
      <c r="F32" s="1291">
        <f t="shared" ref="F32:F43" si="8">+SUM($D32:$E32)/2</f>
        <v>-1.0000001639127731E-2</v>
      </c>
      <c r="G32" s="187"/>
      <c r="H32" s="187"/>
      <c r="I32" s="500"/>
      <c r="J32" s="1291">
        <f t="shared" ref="J32:J41" si="9">+E32</f>
        <v>-1.0000001639127731E-2</v>
      </c>
      <c r="K32" s="187"/>
      <c r="L32" s="187"/>
      <c r="M32" s="500"/>
      <c r="N32" s="1401" t="s">
        <v>204</v>
      </c>
    </row>
    <row r="33" spans="1:15">
      <c r="A33" s="828">
        <f t="shared" si="5"/>
        <v>11.159999999999997</v>
      </c>
      <c r="B33" s="1580" t="s">
        <v>1218</v>
      </c>
      <c r="C33" s="1580"/>
      <c r="D33" s="199">
        <v>-9.9999997764825821E-3</v>
      </c>
      <c r="E33" s="199">
        <v>-9.9999997764825821E-3</v>
      </c>
      <c r="F33" s="1291">
        <f t="shared" si="8"/>
        <v>-9.9999997764825821E-3</v>
      </c>
      <c r="G33" s="187"/>
      <c r="H33" s="187"/>
      <c r="I33" s="500"/>
      <c r="J33" s="1291">
        <f t="shared" si="9"/>
        <v>-9.9999997764825821E-3</v>
      </c>
      <c r="K33" s="187"/>
      <c r="L33" s="187"/>
      <c r="M33" s="500"/>
      <c r="N33" s="1401" t="s">
        <v>204</v>
      </c>
    </row>
    <row r="34" spans="1:15">
      <c r="A34" s="828">
        <f t="shared" si="5"/>
        <v>11.169999999999996</v>
      </c>
      <c r="B34" s="1580" t="s">
        <v>1219</v>
      </c>
      <c r="C34" s="1580"/>
      <c r="D34" s="199">
        <v>-90095171</v>
      </c>
      <c r="E34" s="199">
        <v>-103680674.95999999</v>
      </c>
      <c r="F34" s="1291"/>
      <c r="G34" s="187"/>
      <c r="H34" s="187"/>
      <c r="I34" s="500">
        <f>+SUM($D34:$E34)/2</f>
        <v>-96887922.979999989</v>
      </c>
      <c r="J34" s="1291"/>
      <c r="K34" s="187"/>
      <c r="L34" s="187"/>
      <c r="M34" s="500">
        <f>+E34</f>
        <v>-103680674.95999999</v>
      </c>
      <c r="N34" s="1401" t="s">
        <v>205</v>
      </c>
      <c r="O34" s="66" t="s">
        <v>1649</v>
      </c>
    </row>
    <row r="35" spans="1:15">
      <c r="A35" s="828">
        <f t="shared" si="5"/>
        <v>11.179999999999996</v>
      </c>
      <c r="B35" s="1580" t="s">
        <v>1220</v>
      </c>
      <c r="C35" s="1580"/>
      <c r="D35" s="199">
        <v>-17895144.75</v>
      </c>
      <c r="E35" s="199">
        <v>-20593564.18</v>
      </c>
      <c r="F35" s="1291"/>
      <c r="G35" s="187"/>
      <c r="H35" s="187"/>
      <c r="I35" s="500">
        <f>+SUM($D35:$E35)/2</f>
        <v>-19244354.465</v>
      </c>
      <c r="J35" s="1291"/>
      <c r="K35" s="187"/>
      <c r="L35" s="187"/>
      <c r="M35" s="500">
        <f>+E35</f>
        <v>-20593564.18</v>
      </c>
      <c r="N35" s="1401" t="s">
        <v>205</v>
      </c>
      <c r="O35" s="66" t="s">
        <v>1649</v>
      </c>
    </row>
    <row r="36" spans="1:15">
      <c r="A36" s="828">
        <f t="shared" si="5"/>
        <v>11.189999999999996</v>
      </c>
      <c r="B36" s="1580" t="s">
        <v>1221</v>
      </c>
      <c r="C36" s="1580"/>
      <c r="D36" s="199">
        <v>241514218.07999998</v>
      </c>
      <c r="E36" s="199">
        <v>248510480.13999996</v>
      </c>
      <c r="F36" s="1291">
        <f t="shared" si="8"/>
        <v>245012349.10999995</v>
      </c>
      <c r="G36" s="187"/>
      <c r="H36" s="187"/>
      <c r="I36" s="500"/>
      <c r="J36" s="1291">
        <f t="shared" si="9"/>
        <v>248510480.13999996</v>
      </c>
      <c r="K36" s="187"/>
      <c r="L36" s="187"/>
      <c r="M36" s="500"/>
      <c r="N36" s="1401" t="s">
        <v>205</v>
      </c>
    </row>
    <row r="37" spans="1:15">
      <c r="A37" s="828">
        <f t="shared" si="5"/>
        <v>11.199999999999996</v>
      </c>
      <c r="B37" s="1580" t="s">
        <v>1222</v>
      </c>
      <c r="C37" s="1580"/>
      <c r="D37" s="199">
        <v>47970738.519999996</v>
      </c>
      <c r="E37" s="199">
        <v>49360370.350000001</v>
      </c>
      <c r="F37" s="1291">
        <f t="shared" si="8"/>
        <v>48665554.435000002</v>
      </c>
      <c r="G37" s="187"/>
      <c r="H37" s="187"/>
      <c r="I37" s="500"/>
      <c r="J37" s="1291">
        <f t="shared" si="9"/>
        <v>49360370.350000001</v>
      </c>
      <c r="K37" s="187"/>
      <c r="L37" s="187"/>
      <c r="M37" s="500"/>
      <c r="N37" s="1401" t="s">
        <v>205</v>
      </c>
    </row>
    <row r="38" spans="1:15">
      <c r="A38" s="828">
        <f t="shared" si="5"/>
        <v>11.209999999999996</v>
      </c>
      <c r="B38" s="1580" t="s">
        <v>1223</v>
      </c>
      <c r="C38" s="1580"/>
      <c r="D38" s="199">
        <v>765259.12</v>
      </c>
      <c r="E38" s="199">
        <v>321709.43</v>
      </c>
      <c r="F38" s="1291">
        <f t="shared" si="8"/>
        <v>543484.27500000002</v>
      </c>
      <c r="G38" s="187"/>
      <c r="H38" s="187"/>
      <c r="I38" s="500"/>
      <c r="J38" s="1291">
        <f t="shared" si="9"/>
        <v>321709.43</v>
      </c>
      <c r="K38" s="187"/>
      <c r="L38" s="187"/>
      <c r="M38" s="500"/>
      <c r="N38" s="1401" t="s">
        <v>205</v>
      </c>
    </row>
    <row r="39" spans="1:15">
      <c r="A39" s="828">
        <f t="shared" si="5"/>
        <v>11.219999999999995</v>
      </c>
      <c r="B39" s="1580" t="s">
        <v>1224</v>
      </c>
      <c r="C39" s="1580"/>
      <c r="D39" s="199">
        <v>151999.51999999999</v>
      </c>
      <c r="E39" s="199">
        <v>63899.5</v>
      </c>
      <c r="F39" s="1291">
        <f t="shared" si="8"/>
        <v>107949.51</v>
      </c>
      <c r="G39" s="187"/>
      <c r="H39" s="187"/>
      <c r="I39" s="500"/>
      <c r="J39" s="1291">
        <f t="shared" si="9"/>
        <v>63899.5</v>
      </c>
      <c r="K39" s="187"/>
      <c r="L39" s="187"/>
      <c r="M39" s="500"/>
      <c r="N39" s="1401" t="s">
        <v>205</v>
      </c>
    </row>
    <row r="40" spans="1:15">
      <c r="A40" s="828">
        <f t="shared" si="5"/>
        <v>11.229999999999995</v>
      </c>
      <c r="B40" s="1580" t="s">
        <v>1225</v>
      </c>
      <c r="C40" s="1580"/>
      <c r="D40" s="199">
        <v>-19206558.210000001</v>
      </c>
      <c r="E40" s="199">
        <v>-22846569.5</v>
      </c>
      <c r="F40" s="1291">
        <f t="shared" si="8"/>
        <v>-21026563.855</v>
      </c>
      <c r="G40" s="187"/>
      <c r="H40" s="187"/>
      <c r="I40" s="500"/>
      <c r="J40" s="1291">
        <f t="shared" si="9"/>
        <v>-22846569.5</v>
      </c>
      <c r="K40" s="187"/>
      <c r="L40" s="187"/>
      <c r="M40" s="500"/>
      <c r="N40" s="1401" t="s">
        <v>205</v>
      </c>
    </row>
    <row r="41" spans="1:15">
      <c r="A41" s="828">
        <f t="shared" si="5"/>
        <v>11.239999999999995</v>
      </c>
      <c r="B41" s="1580" t="s">
        <v>1226</v>
      </c>
      <c r="C41" s="1580"/>
      <c r="D41" s="199">
        <v>-3814900.76</v>
      </c>
      <c r="E41" s="199">
        <v>-4537897.6900000004</v>
      </c>
      <c r="F41" s="1291">
        <f t="shared" si="8"/>
        <v>-4176399.2250000001</v>
      </c>
      <c r="G41" s="187"/>
      <c r="H41" s="187"/>
      <c r="I41" s="500"/>
      <c r="J41" s="1291">
        <f t="shared" si="9"/>
        <v>-4537897.6900000004</v>
      </c>
      <c r="K41" s="187"/>
      <c r="L41" s="187"/>
      <c r="M41" s="500"/>
      <c r="N41" s="1401" t="s">
        <v>205</v>
      </c>
    </row>
    <row r="42" spans="1:15">
      <c r="A42" s="828">
        <f t="shared" si="5"/>
        <v>11.249999999999995</v>
      </c>
      <c r="B42" s="1580" t="s">
        <v>1227</v>
      </c>
      <c r="C42" s="1580"/>
      <c r="D42" s="199">
        <v>-6380221.8000000007</v>
      </c>
      <c r="E42" s="199">
        <v>-12325905.27</v>
      </c>
      <c r="F42" s="1291">
        <f t="shared" si="8"/>
        <v>-9353063.5350000001</v>
      </c>
      <c r="G42" s="187"/>
      <c r="H42" s="187"/>
      <c r="I42" s="500"/>
      <c r="J42" s="1291">
        <f>+E42</f>
        <v>-12325905.27</v>
      </c>
      <c r="K42" s="187"/>
      <c r="L42" s="187"/>
      <c r="M42" s="500"/>
      <c r="N42" s="1401" t="s">
        <v>206</v>
      </c>
    </row>
    <row r="43" spans="1:15">
      <c r="A43" s="828">
        <f t="shared" si="5"/>
        <v>11.259999999999994</v>
      </c>
      <c r="B43" s="1580" t="s">
        <v>1228</v>
      </c>
      <c r="C43" s="1580"/>
      <c r="D43" s="199">
        <v>-1267270.9500000002</v>
      </c>
      <c r="E43" s="199">
        <v>-2448231.7599999998</v>
      </c>
      <c r="F43" s="1291">
        <f t="shared" si="8"/>
        <v>-1857751.355</v>
      </c>
      <c r="G43" s="187"/>
      <c r="H43" s="187"/>
      <c r="I43" s="500"/>
      <c r="J43" s="1291">
        <f>+E43</f>
        <v>-2448231.7599999998</v>
      </c>
      <c r="K43" s="187"/>
      <c r="L43" s="187"/>
      <c r="M43" s="500"/>
      <c r="N43" s="1401" t="s">
        <v>206</v>
      </c>
    </row>
    <row r="44" spans="1:15">
      <c r="A44" s="828">
        <f t="shared" si="5"/>
        <v>11.269999999999994</v>
      </c>
      <c r="B44" s="1580" t="s">
        <v>1229</v>
      </c>
      <c r="C44" s="1580"/>
      <c r="D44" s="199">
        <v>-8128225.2400000002</v>
      </c>
      <c r="E44" s="199">
        <v>-11264818.310000001</v>
      </c>
      <c r="F44" s="1291"/>
      <c r="G44" s="187"/>
      <c r="H44" s="187">
        <f>+SUM($D44:$E44)/2</f>
        <v>-9696521.7750000004</v>
      </c>
      <c r="I44" s="500"/>
      <c r="J44" s="1291"/>
      <c r="K44" s="187"/>
      <c r="L44" s="187">
        <f>+E44</f>
        <v>-11264818.310000001</v>
      </c>
      <c r="M44" s="500"/>
      <c r="N44" s="1401" t="s">
        <v>207</v>
      </c>
    </row>
    <row r="45" spans="1:15">
      <c r="A45" s="828">
        <f t="shared" si="5"/>
        <v>11.279999999999994</v>
      </c>
      <c r="B45" s="1580" t="s">
        <v>1230</v>
      </c>
      <c r="C45" s="1580"/>
      <c r="D45" s="199">
        <v>-1628867.22</v>
      </c>
      <c r="E45" s="199">
        <v>-2251429.3199999998</v>
      </c>
      <c r="F45" s="1291"/>
      <c r="G45" s="187"/>
      <c r="H45" s="187">
        <f>+SUM($D45:$E45)/2</f>
        <v>-1940148.27</v>
      </c>
      <c r="I45" s="500"/>
      <c r="J45" s="1291"/>
      <c r="K45" s="187"/>
      <c r="L45" s="187">
        <f>+E45</f>
        <v>-2251429.3199999998</v>
      </c>
      <c r="M45" s="500"/>
      <c r="N45" s="1401" t="s">
        <v>207</v>
      </c>
    </row>
    <row r="46" spans="1:15">
      <c r="A46" s="828">
        <f t="shared" si="5"/>
        <v>11.289999999999994</v>
      </c>
      <c r="B46" s="1581" t="s">
        <v>1231</v>
      </c>
      <c r="C46" s="1581"/>
      <c r="D46" s="199">
        <v>0</v>
      </c>
      <c r="E46" s="199">
        <v>0</v>
      </c>
      <c r="F46" s="1291">
        <f>+SUM($D46:$E46)/2</f>
        <v>0</v>
      </c>
      <c r="G46" s="187"/>
      <c r="H46" s="187"/>
      <c r="I46" s="500"/>
      <c r="J46" s="1291">
        <f>+E46</f>
        <v>0</v>
      </c>
      <c r="K46" s="187"/>
      <c r="L46" s="187"/>
      <c r="M46" s="500"/>
      <c r="N46" s="1401" t="s">
        <v>200</v>
      </c>
    </row>
    <row r="47" spans="1:15">
      <c r="A47" s="828">
        <f t="shared" si="5"/>
        <v>11.299999999999994</v>
      </c>
      <c r="B47" s="1581" t="s">
        <v>1232</v>
      </c>
      <c r="C47" s="1581"/>
      <c r="D47" s="199">
        <v>0</v>
      </c>
      <c r="E47" s="199">
        <v>0</v>
      </c>
      <c r="F47" s="1291">
        <f>+SUM($D47:$E47)/2</f>
        <v>0</v>
      </c>
      <c r="G47" s="187"/>
      <c r="H47" s="187"/>
      <c r="I47" s="500"/>
      <c r="J47" s="1291">
        <f>+E47</f>
        <v>0</v>
      </c>
      <c r="K47" s="187"/>
      <c r="L47" s="187"/>
      <c r="M47" s="500"/>
      <c r="N47" s="1401" t="s">
        <v>200</v>
      </c>
    </row>
    <row r="48" spans="1:15">
      <c r="A48" s="828">
        <f>+A47+0.01</f>
        <v>11.309999999999993</v>
      </c>
      <c r="B48" s="1580" t="s">
        <v>1233</v>
      </c>
      <c r="C48" s="1580"/>
      <c r="D48" s="199">
        <v>0</v>
      </c>
      <c r="E48" s="199">
        <v>0</v>
      </c>
      <c r="F48" s="1291"/>
      <c r="G48" s="187"/>
      <c r="H48" s="187"/>
      <c r="I48" s="500">
        <f>+SUM($D48:$E48)/2</f>
        <v>0</v>
      </c>
      <c r="J48" s="1291"/>
      <c r="K48" s="187"/>
      <c r="L48" s="187"/>
      <c r="M48" s="500">
        <f>+E48</f>
        <v>0</v>
      </c>
      <c r="N48" s="1401" t="s">
        <v>911</v>
      </c>
      <c r="O48" s="44" t="s">
        <v>1139</v>
      </c>
    </row>
    <row r="49" spans="1:15">
      <c r="A49" s="828">
        <f>+A48+0.01</f>
        <v>11.319999999999993</v>
      </c>
      <c r="B49" s="1580" t="s">
        <v>1234</v>
      </c>
      <c r="C49" s="1580"/>
      <c r="D49" s="199">
        <v>0</v>
      </c>
      <c r="E49" s="199">
        <v>0</v>
      </c>
      <c r="F49" s="1291"/>
      <c r="G49" s="187"/>
      <c r="H49" s="187"/>
      <c r="I49" s="500">
        <f>+SUM($D49:$E49)/2</f>
        <v>0</v>
      </c>
      <c r="J49" s="1291"/>
      <c r="K49" s="187"/>
      <c r="L49" s="187"/>
      <c r="M49" s="500">
        <f>+E49</f>
        <v>0</v>
      </c>
      <c r="N49" s="1401" t="s">
        <v>911</v>
      </c>
      <c r="O49" s="44" t="s">
        <v>1139</v>
      </c>
    </row>
    <row r="50" spans="1:15">
      <c r="A50" s="828">
        <f>+A49+0.01</f>
        <v>11.329999999999993</v>
      </c>
      <c r="B50" s="1580" t="s">
        <v>1235</v>
      </c>
      <c r="C50" s="1580"/>
      <c r="D50" s="199">
        <v>2170756.0299999998</v>
      </c>
      <c r="E50" s="199">
        <v>2434394.19</v>
      </c>
      <c r="F50" s="1291"/>
      <c r="G50" s="187"/>
      <c r="H50" s="187"/>
      <c r="I50" s="500">
        <f>+SUM($D50:$E50)/2</f>
        <v>2302575.11</v>
      </c>
      <c r="J50" s="1291"/>
      <c r="K50" s="187"/>
      <c r="L50" s="187"/>
      <c r="M50" s="500">
        <f>+E50</f>
        <v>2434394.19</v>
      </c>
      <c r="N50" s="1401" t="s">
        <v>205</v>
      </c>
    </row>
    <row r="51" spans="1:15">
      <c r="A51" s="828">
        <f t="shared" si="5"/>
        <v>11.339999999999993</v>
      </c>
      <c r="B51" s="1580" t="s">
        <v>1236</v>
      </c>
      <c r="C51" s="1580"/>
      <c r="D51" s="199">
        <v>431166.2</v>
      </c>
      <c r="E51" s="199">
        <v>483531.31</v>
      </c>
      <c r="F51" s="1291"/>
      <c r="G51" s="187"/>
      <c r="H51" s="187"/>
      <c r="I51" s="500">
        <f>+SUM($D51:$E51)/2</f>
        <v>457348.755</v>
      </c>
      <c r="J51" s="1291"/>
      <c r="K51" s="187"/>
      <c r="L51" s="187"/>
      <c r="M51" s="500">
        <f>+E51</f>
        <v>483531.31</v>
      </c>
      <c r="N51" s="1401" t="s">
        <v>205</v>
      </c>
    </row>
    <row r="52" spans="1:15">
      <c r="A52" s="828">
        <f t="shared" si="5"/>
        <v>11.349999999999993</v>
      </c>
      <c r="B52" s="1580" t="s">
        <v>1237</v>
      </c>
      <c r="C52" s="1580"/>
      <c r="D52" s="199">
        <v>6316248.2699999996</v>
      </c>
      <c r="E52" s="199">
        <v>396332.81</v>
      </c>
      <c r="F52" s="1291">
        <f t="shared" ref="F52:F59" si="10">+SUM($D52:$E52)/2</f>
        <v>3356290.5399999996</v>
      </c>
      <c r="G52" s="187"/>
      <c r="H52" s="187"/>
      <c r="I52" s="500"/>
      <c r="J52" s="1291">
        <f t="shared" ref="J52:J59" si="11">+E52</f>
        <v>396332.81</v>
      </c>
      <c r="K52" s="187"/>
      <c r="L52" s="187"/>
      <c r="M52" s="500"/>
      <c r="N52" s="1401" t="s">
        <v>208</v>
      </c>
    </row>
    <row r="53" spans="1:15">
      <c r="A53" s="828">
        <f t="shared" si="5"/>
        <v>11.359999999999992</v>
      </c>
      <c r="B53" s="1580" t="s">
        <v>1238</v>
      </c>
      <c r="C53" s="1580"/>
      <c r="D53" s="199">
        <v>1254564.2</v>
      </c>
      <c r="E53" s="199">
        <v>78721.56</v>
      </c>
      <c r="F53" s="1291">
        <f t="shared" si="10"/>
        <v>666642.88</v>
      </c>
      <c r="G53" s="187"/>
      <c r="H53" s="187"/>
      <c r="I53" s="500"/>
      <c r="J53" s="1291">
        <f t="shared" si="11"/>
        <v>78721.56</v>
      </c>
      <c r="K53" s="187"/>
      <c r="L53" s="187"/>
      <c r="M53" s="500"/>
      <c r="N53" s="1401" t="s">
        <v>208</v>
      </c>
    </row>
    <row r="54" spans="1:15">
      <c r="A54" s="828">
        <f t="shared" si="5"/>
        <v>11.369999999999992</v>
      </c>
      <c r="B54" s="1582" t="s">
        <v>1239</v>
      </c>
      <c r="C54" s="1582"/>
      <c r="D54" s="199">
        <v>0</v>
      </c>
      <c r="E54" s="199">
        <v>0</v>
      </c>
      <c r="F54" s="1291">
        <f t="shared" si="10"/>
        <v>0</v>
      </c>
      <c r="G54" s="187"/>
      <c r="H54" s="187"/>
      <c r="I54" s="500"/>
      <c r="J54" s="1291">
        <f t="shared" si="11"/>
        <v>0</v>
      </c>
      <c r="K54" s="187"/>
      <c r="L54" s="187"/>
      <c r="M54" s="500"/>
      <c r="N54" s="1401" t="s">
        <v>209</v>
      </c>
    </row>
    <row r="55" spans="1:15">
      <c r="A55" s="828">
        <f t="shared" si="5"/>
        <v>11.379999999999992</v>
      </c>
      <c r="B55" s="1580" t="s">
        <v>1240</v>
      </c>
      <c r="C55" s="1580"/>
      <c r="D55" s="199">
        <v>0</v>
      </c>
      <c r="E55" s="199">
        <v>0</v>
      </c>
      <c r="F55" s="1291">
        <f t="shared" si="10"/>
        <v>0</v>
      </c>
      <c r="G55" s="187"/>
      <c r="H55" s="187"/>
      <c r="I55" s="500"/>
      <c r="J55" s="1291">
        <f t="shared" si="11"/>
        <v>0</v>
      </c>
      <c r="K55" s="187"/>
      <c r="L55" s="187"/>
      <c r="M55" s="500"/>
      <c r="N55" s="1401" t="s">
        <v>209</v>
      </c>
    </row>
    <row r="56" spans="1:15">
      <c r="A56" s="828">
        <f t="shared" si="5"/>
        <v>11.389999999999992</v>
      </c>
      <c r="B56" s="1583" t="s">
        <v>1241</v>
      </c>
      <c r="C56" s="1583"/>
      <c r="D56" s="199">
        <v>0</v>
      </c>
      <c r="E56" s="199">
        <v>-3415.84</v>
      </c>
      <c r="F56" s="1291">
        <f t="shared" si="10"/>
        <v>-1707.92</v>
      </c>
      <c r="G56" s="187"/>
      <c r="H56" s="187"/>
      <c r="I56" s="500"/>
      <c r="J56" s="1291">
        <f t="shared" si="11"/>
        <v>-3415.84</v>
      </c>
      <c r="K56" s="187"/>
      <c r="L56" s="187"/>
      <c r="M56" s="500"/>
      <c r="N56" s="1401" t="s">
        <v>210</v>
      </c>
    </row>
    <row r="57" spans="1:15">
      <c r="A57" s="828">
        <f t="shared" si="5"/>
        <v>11.399999999999991</v>
      </c>
      <c r="B57" s="1580" t="s">
        <v>1242</v>
      </c>
      <c r="C57" s="1580"/>
      <c r="D57" s="199">
        <v>0</v>
      </c>
      <c r="E57" s="199">
        <v>-678.47</v>
      </c>
      <c r="F57" s="1291">
        <f t="shared" si="10"/>
        <v>-339.23500000000001</v>
      </c>
      <c r="G57" s="187"/>
      <c r="H57" s="187"/>
      <c r="I57" s="500"/>
      <c r="J57" s="1291">
        <f t="shared" si="11"/>
        <v>-678.47</v>
      </c>
      <c r="K57" s="187"/>
      <c r="L57" s="187"/>
      <c r="M57" s="500"/>
      <c r="N57" s="1401" t="s">
        <v>210</v>
      </c>
    </row>
    <row r="58" spans="1:15">
      <c r="A58" s="828">
        <f t="shared" si="5"/>
        <v>11.409999999999991</v>
      </c>
      <c r="B58" s="1580" t="s">
        <v>1243</v>
      </c>
      <c r="C58" s="1580"/>
      <c r="D58" s="199">
        <v>548.05999999999995</v>
      </c>
      <c r="E58" s="199">
        <v>3702.4</v>
      </c>
      <c r="F58" s="1291">
        <f t="shared" si="10"/>
        <v>2125.23</v>
      </c>
      <c r="G58" s="187"/>
      <c r="H58" s="187"/>
      <c r="I58" s="500"/>
      <c r="J58" s="1291">
        <f t="shared" si="11"/>
        <v>3702.4</v>
      </c>
      <c r="K58" s="187"/>
      <c r="L58" s="187"/>
      <c r="M58" s="500"/>
      <c r="N58" s="1401" t="s">
        <v>211</v>
      </c>
    </row>
    <row r="59" spans="1:15">
      <c r="A59" s="828">
        <f t="shared" si="5"/>
        <v>11.419999999999991</v>
      </c>
      <c r="B59" s="1580" t="s">
        <v>1244</v>
      </c>
      <c r="C59" s="1580"/>
      <c r="D59" s="199">
        <v>108.85</v>
      </c>
      <c r="E59" s="199">
        <v>735.38</v>
      </c>
      <c r="F59" s="1291">
        <f t="shared" si="10"/>
        <v>422.11500000000001</v>
      </c>
      <c r="G59" s="187"/>
      <c r="H59" s="187"/>
      <c r="I59" s="500"/>
      <c r="J59" s="1291">
        <f t="shared" si="11"/>
        <v>735.38</v>
      </c>
      <c r="K59" s="187"/>
      <c r="L59" s="187"/>
      <c r="M59" s="500"/>
      <c r="N59" s="1401" t="s">
        <v>211</v>
      </c>
    </row>
    <row r="60" spans="1:15">
      <c r="A60" s="828">
        <f t="shared" si="5"/>
        <v>11.429999999999991</v>
      </c>
      <c r="B60" s="1580" t="s">
        <v>1245</v>
      </c>
      <c r="C60" s="1580"/>
      <c r="D60" s="199">
        <v>493819.82</v>
      </c>
      <c r="E60" s="199">
        <v>591995.23</v>
      </c>
      <c r="F60" s="1291"/>
      <c r="G60" s="187"/>
      <c r="H60" s="187">
        <f>+SUM($D60:$E60)/2</f>
        <v>542907.52500000002</v>
      </c>
      <c r="I60" s="500"/>
      <c r="J60" s="1291"/>
      <c r="K60" s="187"/>
      <c r="L60" s="187">
        <f>+E60</f>
        <v>591995.23</v>
      </c>
      <c r="M60" s="500"/>
      <c r="N60" s="1401" t="s">
        <v>212</v>
      </c>
    </row>
    <row r="61" spans="1:15">
      <c r="A61" s="828">
        <f t="shared" si="5"/>
        <v>11.439999999999991</v>
      </c>
      <c r="B61" s="1580" t="s">
        <v>1246</v>
      </c>
      <c r="C61" s="1580"/>
      <c r="D61" s="199">
        <v>98084.9</v>
      </c>
      <c r="E61" s="199">
        <v>117584.98</v>
      </c>
      <c r="F61" s="1291"/>
      <c r="G61" s="187"/>
      <c r="H61" s="187">
        <f>+SUM($D61:$E61)/2</f>
        <v>107834.94</v>
      </c>
      <c r="I61" s="500"/>
      <c r="J61" s="1291"/>
      <c r="K61" s="187"/>
      <c r="L61" s="187">
        <f>+E61</f>
        <v>117584.98</v>
      </c>
      <c r="M61" s="500"/>
      <c r="N61" s="1401" t="s">
        <v>212</v>
      </c>
    </row>
    <row r="62" spans="1:15">
      <c r="A62" s="828">
        <f t="shared" si="5"/>
        <v>11.44999999999999</v>
      </c>
      <c r="B62" s="1580" t="s">
        <v>1247</v>
      </c>
      <c r="C62" s="1580"/>
      <c r="D62" s="199">
        <v>740420.12000000011</v>
      </c>
      <c r="E62" s="199">
        <v>1578334.51</v>
      </c>
      <c r="F62" s="1291">
        <f t="shared" ref="F62:F81" si="12">+SUM($D62:$E62)/2</f>
        <v>1159377.3149999999</v>
      </c>
      <c r="G62" s="187"/>
      <c r="H62" s="187"/>
      <c r="I62" s="500"/>
      <c r="J62" s="1291">
        <f t="shared" ref="J62:J81" si="13">+E62</f>
        <v>1578334.51</v>
      </c>
      <c r="K62" s="187"/>
      <c r="L62" s="187"/>
      <c r="M62" s="500"/>
      <c r="N62" s="1401" t="s">
        <v>205</v>
      </c>
    </row>
    <row r="63" spans="1:15">
      <c r="A63" s="828">
        <f t="shared" si="5"/>
        <v>11.45999999999999</v>
      </c>
      <c r="B63" s="1580" t="s">
        <v>1248</v>
      </c>
      <c r="C63" s="1580"/>
      <c r="D63" s="199">
        <v>147065.88</v>
      </c>
      <c r="E63" s="199">
        <v>313496.55</v>
      </c>
      <c r="F63" s="1291">
        <f t="shared" si="12"/>
        <v>230281.215</v>
      </c>
      <c r="G63" s="187"/>
      <c r="H63" s="187"/>
      <c r="I63" s="500"/>
      <c r="J63" s="1291">
        <f t="shared" si="13"/>
        <v>313496.55</v>
      </c>
      <c r="K63" s="187"/>
      <c r="L63" s="187"/>
      <c r="M63" s="500"/>
      <c r="N63" s="1401" t="s">
        <v>205</v>
      </c>
    </row>
    <row r="64" spans="1:15">
      <c r="A64" s="828">
        <f t="shared" si="5"/>
        <v>11.46999999999999</v>
      </c>
      <c r="B64" s="1580" t="s">
        <v>1249</v>
      </c>
      <c r="C64" s="1580"/>
      <c r="D64" s="199">
        <v>11187</v>
      </c>
      <c r="E64" s="199">
        <v>2.0000000018626451E-2</v>
      </c>
      <c r="F64" s="1291">
        <f t="shared" si="12"/>
        <v>5593.5100000000093</v>
      </c>
      <c r="G64" s="187"/>
      <c r="H64" s="187"/>
      <c r="I64" s="500"/>
      <c r="J64" s="1291">
        <f t="shared" si="13"/>
        <v>2.0000000018626451E-2</v>
      </c>
      <c r="K64" s="187"/>
      <c r="L64" s="187"/>
      <c r="M64" s="500"/>
      <c r="N64" s="1401" t="s">
        <v>206</v>
      </c>
    </row>
    <row r="65" spans="1:15">
      <c r="A65" s="828">
        <f t="shared" si="5"/>
        <v>11.47999999999999</v>
      </c>
      <c r="B65" s="1580" t="s">
        <v>1250</v>
      </c>
      <c r="C65" s="1580"/>
      <c r="D65" s="199">
        <v>2222.0399999999936</v>
      </c>
      <c r="E65" s="199">
        <v>2.9999999998835847E-2</v>
      </c>
      <c r="F65" s="1291">
        <f t="shared" si="12"/>
        <v>1111.0349999999962</v>
      </c>
      <c r="G65" s="187"/>
      <c r="H65" s="187"/>
      <c r="I65" s="500"/>
      <c r="J65" s="1291">
        <f t="shared" si="13"/>
        <v>2.9999999998835847E-2</v>
      </c>
      <c r="K65" s="187"/>
      <c r="L65" s="187"/>
      <c r="M65" s="500"/>
      <c r="N65" s="1401" t="s">
        <v>206</v>
      </c>
    </row>
    <row r="66" spans="1:15">
      <c r="A66" s="828">
        <f t="shared" si="5"/>
        <v>11.48999999999999</v>
      </c>
      <c r="B66" s="1584" t="s">
        <v>1251</v>
      </c>
      <c r="C66" s="1584"/>
      <c r="D66" s="199">
        <v>0</v>
      </c>
      <c r="E66" s="199">
        <v>0</v>
      </c>
      <c r="F66" s="1291">
        <f t="shared" si="12"/>
        <v>0</v>
      </c>
      <c r="G66" s="187"/>
      <c r="H66" s="187"/>
      <c r="I66" s="500"/>
      <c r="J66" s="1291">
        <f t="shared" si="13"/>
        <v>0</v>
      </c>
      <c r="K66" s="187"/>
      <c r="L66" s="187"/>
      <c r="M66" s="500"/>
      <c r="N66" s="1401" t="s">
        <v>205</v>
      </c>
    </row>
    <row r="67" spans="1:15">
      <c r="A67" s="828">
        <f t="shared" si="5"/>
        <v>11.499999999999989</v>
      </c>
      <c r="B67" s="1584" t="s">
        <v>1252</v>
      </c>
      <c r="C67" s="1584"/>
      <c r="D67" s="199">
        <v>0</v>
      </c>
      <c r="E67" s="199">
        <v>0</v>
      </c>
      <c r="F67" s="1291">
        <f t="shared" si="12"/>
        <v>0</v>
      </c>
      <c r="G67" s="187"/>
      <c r="H67" s="187"/>
      <c r="I67" s="500"/>
      <c r="J67" s="1291">
        <f t="shared" si="13"/>
        <v>0</v>
      </c>
      <c r="K67" s="187"/>
      <c r="L67" s="187"/>
      <c r="M67" s="500"/>
      <c r="N67" s="1401" t="s">
        <v>205</v>
      </c>
    </row>
    <row r="68" spans="1:15">
      <c r="A68" s="828">
        <f t="shared" si="5"/>
        <v>11.509999999999989</v>
      </c>
      <c r="B68" s="1580" t="s">
        <v>1253</v>
      </c>
      <c r="C68" s="1580"/>
      <c r="D68" s="199">
        <v>88540.43</v>
      </c>
      <c r="E68" s="199">
        <v>87867.6</v>
      </c>
      <c r="F68" s="1291">
        <f t="shared" si="12"/>
        <v>88204.014999999999</v>
      </c>
      <c r="G68" s="187"/>
      <c r="H68" s="187"/>
      <c r="I68" s="500"/>
      <c r="J68" s="1291">
        <f t="shared" si="13"/>
        <v>87867.6</v>
      </c>
      <c r="K68" s="187"/>
      <c r="L68" s="187"/>
      <c r="M68" s="500"/>
      <c r="N68" s="1401" t="s">
        <v>205</v>
      </c>
    </row>
    <row r="69" spans="1:15">
      <c r="A69" s="828">
        <f t="shared" si="5"/>
        <v>11.519999999999989</v>
      </c>
      <c r="B69" s="1580" t="s">
        <v>1254</v>
      </c>
      <c r="C69" s="1580"/>
      <c r="D69" s="199">
        <v>17586.349999999999</v>
      </c>
      <c r="E69" s="199">
        <v>17452.71</v>
      </c>
      <c r="F69" s="1291">
        <f t="shared" si="12"/>
        <v>17519.53</v>
      </c>
      <c r="G69" s="187"/>
      <c r="H69" s="187"/>
      <c r="I69" s="500"/>
      <c r="J69" s="1291">
        <f t="shared" si="13"/>
        <v>17452.71</v>
      </c>
      <c r="K69" s="187"/>
      <c r="L69" s="187"/>
      <c r="M69" s="500"/>
      <c r="N69" s="1401" t="s">
        <v>205</v>
      </c>
    </row>
    <row r="70" spans="1:15">
      <c r="A70" s="828">
        <f t="shared" si="5"/>
        <v>11.529999999999989</v>
      </c>
      <c r="B70" s="1580" t="s">
        <v>1255</v>
      </c>
      <c r="C70" s="1580"/>
      <c r="D70" s="199">
        <v>506309.46</v>
      </c>
      <c r="E70" s="199">
        <v>457189.3</v>
      </c>
      <c r="F70" s="1291">
        <f t="shared" si="12"/>
        <v>481749.38</v>
      </c>
      <c r="G70" s="187"/>
      <c r="H70" s="187"/>
      <c r="I70" s="500"/>
      <c r="J70" s="1291">
        <f t="shared" si="13"/>
        <v>457189.3</v>
      </c>
      <c r="K70" s="187"/>
      <c r="L70" s="187"/>
      <c r="M70" s="500"/>
      <c r="N70" s="1401" t="s">
        <v>205</v>
      </c>
    </row>
    <row r="71" spans="1:15">
      <c r="A71" s="828">
        <f t="shared" si="5"/>
        <v>11.539999999999988</v>
      </c>
      <c r="B71" s="1580" t="s">
        <v>1256</v>
      </c>
      <c r="C71" s="1580"/>
      <c r="D71" s="199">
        <v>100565.68</v>
      </c>
      <c r="E71" s="199">
        <v>90809.19</v>
      </c>
      <c r="F71" s="1291">
        <f t="shared" si="12"/>
        <v>95687.434999999998</v>
      </c>
      <c r="G71" s="187"/>
      <c r="H71" s="187"/>
      <c r="I71" s="500"/>
      <c r="J71" s="1291">
        <f t="shared" si="13"/>
        <v>90809.19</v>
      </c>
      <c r="K71" s="187"/>
      <c r="L71" s="187"/>
      <c r="M71" s="500"/>
      <c r="N71" s="1401" t="s">
        <v>205</v>
      </c>
    </row>
    <row r="72" spans="1:15">
      <c r="A72" s="828">
        <f t="shared" si="5"/>
        <v>11.549999999999988</v>
      </c>
      <c r="B72" s="1580" t="s">
        <v>1257</v>
      </c>
      <c r="C72" s="1580"/>
      <c r="D72" s="199">
        <v>0</v>
      </c>
      <c r="E72" s="199">
        <v>0</v>
      </c>
      <c r="F72" s="1291">
        <f t="shared" si="12"/>
        <v>0</v>
      </c>
      <c r="G72" s="187"/>
      <c r="H72" s="187"/>
      <c r="I72" s="500"/>
      <c r="J72" s="1291">
        <f t="shared" si="13"/>
        <v>0</v>
      </c>
      <c r="K72" s="187"/>
      <c r="L72" s="187"/>
      <c r="M72" s="500"/>
      <c r="N72" s="1401" t="s">
        <v>205</v>
      </c>
    </row>
    <row r="73" spans="1:15">
      <c r="A73" s="828">
        <f t="shared" si="5"/>
        <v>11.559999999999988</v>
      </c>
      <c r="B73" s="1580" t="s">
        <v>1258</v>
      </c>
      <c r="C73" s="1580"/>
      <c r="D73" s="199">
        <v>0</v>
      </c>
      <c r="E73" s="199">
        <v>0</v>
      </c>
      <c r="F73" s="1291">
        <f t="shared" si="12"/>
        <v>0</v>
      </c>
      <c r="G73" s="187"/>
      <c r="H73" s="187"/>
      <c r="I73" s="500"/>
      <c r="J73" s="1291">
        <f t="shared" si="13"/>
        <v>0</v>
      </c>
      <c r="K73" s="187"/>
      <c r="L73" s="187"/>
      <c r="M73" s="500"/>
      <c r="N73" s="1401" t="s">
        <v>205</v>
      </c>
    </row>
    <row r="74" spans="1:15">
      <c r="A74" s="828">
        <f t="shared" si="5"/>
        <v>11.569999999999988</v>
      </c>
      <c r="B74" s="1580" t="s">
        <v>1259</v>
      </c>
      <c r="C74" s="1580"/>
      <c r="D74" s="199">
        <v>201682.72</v>
      </c>
      <c r="E74" s="199">
        <v>201504.05</v>
      </c>
      <c r="F74" s="1291">
        <f t="shared" si="12"/>
        <v>201593.38500000001</v>
      </c>
      <c r="G74" s="187"/>
      <c r="H74" s="187"/>
      <c r="I74" s="500"/>
      <c r="J74" s="1291">
        <f t="shared" si="13"/>
        <v>201504.05</v>
      </c>
      <c r="K74" s="187"/>
      <c r="L74" s="187"/>
      <c r="M74" s="500"/>
      <c r="N74" s="1401" t="s">
        <v>205</v>
      </c>
    </row>
    <row r="75" spans="1:15">
      <c r="A75" s="828">
        <f t="shared" si="5"/>
        <v>11.579999999999988</v>
      </c>
      <c r="B75" s="1580" t="s">
        <v>1260</v>
      </c>
      <c r="C75" s="1580"/>
      <c r="D75" s="199">
        <v>40059.199999999997</v>
      </c>
      <c r="E75" s="199">
        <v>40023.72</v>
      </c>
      <c r="F75" s="1291">
        <f t="shared" si="12"/>
        <v>40041.46</v>
      </c>
      <c r="G75" s="187"/>
      <c r="H75" s="187"/>
      <c r="I75" s="500"/>
      <c r="J75" s="1291">
        <f t="shared" si="13"/>
        <v>40023.72</v>
      </c>
      <c r="K75" s="187"/>
      <c r="L75" s="187"/>
      <c r="M75" s="500"/>
      <c r="N75" s="1401" t="s">
        <v>205</v>
      </c>
    </row>
    <row r="76" spans="1:15">
      <c r="A76" s="828">
        <f t="shared" si="5"/>
        <v>11.589999999999987</v>
      </c>
      <c r="B76" s="1580" t="s">
        <v>1261</v>
      </c>
      <c r="C76" s="1580"/>
      <c r="D76" s="199">
        <v>220.22000000000116</v>
      </c>
      <c r="E76" s="199">
        <v>237.88000000000466</v>
      </c>
      <c r="F76" s="1291"/>
      <c r="G76" s="187"/>
      <c r="H76" s="187"/>
      <c r="I76" s="500">
        <f>+SUM($D76:$E76)/2</f>
        <v>229.05000000000291</v>
      </c>
      <c r="J76" s="1291"/>
      <c r="K76" s="187"/>
      <c r="L76" s="187"/>
      <c r="M76" s="500">
        <f>+E76</f>
        <v>237.88000000000466</v>
      </c>
      <c r="N76" s="1526" t="s">
        <v>213</v>
      </c>
      <c r="O76" s="44" t="s">
        <v>1141</v>
      </c>
    </row>
    <row r="77" spans="1:15">
      <c r="A77" s="828">
        <f t="shared" si="5"/>
        <v>11.599999999999987</v>
      </c>
      <c r="B77" s="1580" t="s">
        <v>1262</v>
      </c>
      <c r="C77" s="1580"/>
      <c r="D77" s="199">
        <v>43.75</v>
      </c>
      <c r="E77" s="199">
        <v>47.260000000002037</v>
      </c>
      <c r="F77" s="1291"/>
      <c r="G77" s="187"/>
      <c r="H77" s="187"/>
      <c r="I77" s="500">
        <f>+SUM($D77:$E77)/2</f>
        <v>45.505000000001019</v>
      </c>
      <c r="J77" s="1291"/>
      <c r="K77" s="187"/>
      <c r="L77" s="187"/>
      <c r="M77" s="500">
        <f>+E77</f>
        <v>47.260000000002037</v>
      </c>
      <c r="N77" s="1526" t="s">
        <v>213</v>
      </c>
    </row>
    <row r="78" spans="1:15">
      <c r="A78" s="828">
        <f t="shared" si="5"/>
        <v>11.609999999999987</v>
      </c>
      <c r="B78" s="1580" t="s">
        <v>1263</v>
      </c>
      <c r="C78" s="1580"/>
      <c r="D78" s="199">
        <v>336119.01</v>
      </c>
      <c r="E78" s="199">
        <v>501253.91</v>
      </c>
      <c r="F78" s="1291">
        <f t="shared" si="12"/>
        <v>418686.45999999996</v>
      </c>
      <c r="G78" s="187"/>
      <c r="H78" s="187"/>
      <c r="I78" s="500"/>
      <c r="J78" s="1291">
        <f t="shared" si="13"/>
        <v>501253.91</v>
      </c>
      <c r="K78" s="187"/>
      <c r="L78" s="187"/>
      <c r="M78" s="500"/>
      <c r="N78" s="1401" t="s">
        <v>214</v>
      </c>
    </row>
    <row r="79" spans="1:15">
      <c r="A79" s="828">
        <f t="shared" si="5"/>
        <v>11.619999999999987</v>
      </c>
      <c r="B79" s="1580" t="s">
        <v>1264</v>
      </c>
      <c r="C79" s="1580"/>
      <c r="D79" s="199">
        <v>66761.61</v>
      </c>
      <c r="E79" s="199">
        <v>99561.51</v>
      </c>
      <c r="F79" s="1291">
        <f t="shared" si="12"/>
        <v>83161.56</v>
      </c>
      <c r="G79" s="187"/>
      <c r="H79" s="187"/>
      <c r="I79" s="500"/>
      <c r="J79" s="1291">
        <f t="shared" si="13"/>
        <v>99561.51</v>
      </c>
      <c r="K79" s="187"/>
      <c r="L79" s="187"/>
      <c r="M79" s="500"/>
      <c r="N79" s="1401" t="s">
        <v>214</v>
      </c>
    </row>
    <row r="80" spans="1:15">
      <c r="A80" s="828">
        <f t="shared" si="5"/>
        <v>11.629999999999987</v>
      </c>
      <c r="B80" s="1580" t="s">
        <v>1265</v>
      </c>
      <c r="C80" s="1580"/>
      <c r="D80" s="199">
        <v>-27939.93</v>
      </c>
      <c r="E80" s="199">
        <v>12.83</v>
      </c>
      <c r="F80" s="1291">
        <f t="shared" si="12"/>
        <v>-13963.55</v>
      </c>
      <c r="G80" s="187"/>
      <c r="H80" s="187"/>
      <c r="I80" s="500"/>
      <c r="J80" s="1291">
        <f t="shared" si="13"/>
        <v>12.83</v>
      </c>
      <c r="K80" s="187"/>
      <c r="L80" s="187"/>
      <c r="M80" s="500"/>
      <c r="N80" s="1401" t="s">
        <v>206</v>
      </c>
    </row>
    <row r="81" spans="1:15">
      <c r="A81" s="828">
        <f t="shared" si="5"/>
        <v>11.639999999999986</v>
      </c>
      <c r="B81" s="1580" t="s">
        <v>1266</v>
      </c>
      <c r="C81" s="1580"/>
      <c r="D81" s="199">
        <v>-5549.57</v>
      </c>
      <c r="E81" s="199">
        <v>2.54</v>
      </c>
      <c r="F81" s="1291">
        <f t="shared" si="12"/>
        <v>-2773.5149999999999</v>
      </c>
      <c r="G81" s="187"/>
      <c r="H81" s="187"/>
      <c r="I81" s="500"/>
      <c r="J81" s="1291">
        <f t="shared" si="13"/>
        <v>2.54</v>
      </c>
      <c r="K81" s="187"/>
      <c r="L81" s="187"/>
      <c r="M81" s="500"/>
      <c r="N81" s="1401" t="s">
        <v>206</v>
      </c>
    </row>
    <row r="82" spans="1:15">
      <c r="A82" s="828">
        <f t="shared" si="5"/>
        <v>11.649999999999986</v>
      </c>
      <c r="B82" s="1580" t="s">
        <v>1267</v>
      </c>
      <c r="C82" s="1580"/>
      <c r="D82" s="199">
        <v>0</v>
      </c>
      <c r="E82" s="199">
        <v>0</v>
      </c>
      <c r="F82" s="1291"/>
      <c r="G82" s="187"/>
      <c r="H82" s="187"/>
      <c r="I82" s="500">
        <f>+SUM($D82:$E82)/2</f>
        <v>0</v>
      </c>
      <c r="J82" s="1291"/>
      <c r="K82" s="187"/>
      <c r="L82" s="187"/>
      <c r="M82" s="500">
        <f>+E82</f>
        <v>0</v>
      </c>
      <c r="N82" s="1401" t="s">
        <v>312</v>
      </c>
      <c r="O82" s="44" t="s">
        <v>1138</v>
      </c>
    </row>
    <row r="83" spans="1:15">
      <c r="A83" s="828">
        <f t="shared" si="5"/>
        <v>11.659999999999986</v>
      </c>
      <c r="B83" s="1580" t="s">
        <v>1268</v>
      </c>
      <c r="C83" s="1580"/>
      <c r="D83" s="199">
        <v>0</v>
      </c>
      <c r="E83" s="199">
        <v>0</v>
      </c>
      <c r="F83" s="1291"/>
      <c r="G83" s="187"/>
      <c r="H83" s="187"/>
      <c r="I83" s="500">
        <f>+SUM($D83:$E83)/2</f>
        <v>0</v>
      </c>
      <c r="J83" s="1291"/>
      <c r="K83" s="187"/>
      <c r="L83" s="187"/>
      <c r="M83" s="500">
        <f>+E83</f>
        <v>0</v>
      </c>
      <c r="N83" s="1401" t="s">
        <v>312</v>
      </c>
      <c r="O83" s="44" t="s">
        <v>1138</v>
      </c>
    </row>
    <row r="84" spans="1:15">
      <c r="A84" s="828">
        <f t="shared" ref="A84:A97" si="14">+A83+0.01</f>
        <v>11.669999999999986</v>
      </c>
      <c r="B84" s="1580" t="s">
        <v>1269</v>
      </c>
      <c r="C84" s="1580"/>
      <c r="D84" s="199">
        <v>6641108.3399999999</v>
      </c>
      <c r="E84" s="199">
        <v>7798553.0999999996</v>
      </c>
      <c r="F84" s="1291">
        <f>+SUM($D84:$E84)/2</f>
        <v>7219830.7199999997</v>
      </c>
      <c r="G84" s="187"/>
      <c r="H84" s="187"/>
      <c r="I84" s="500"/>
      <c r="J84" s="1291">
        <f>+E84</f>
        <v>7798553.0999999996</v>
      </c>
      <c r="K84" s="187"/>
      <c r="L84" s="187"/>
      <c r="M84" s="500"/>
      <c r="N84" s="1401" t="s">
        <v>215</v>
      </c>
    </row>
    <row r="85" spans="1:15">
      <c r="A85" s="828">
        <f t="shared" si="14"/>
        <v>11.679999999999986</v>
      </c>
      <c r="B85" s="1580" t="s">
        <v>1270</v>
      </c>
      <c r="C85" s="1580"/>
      <c r="D85" s="199">
        <v>1319089.51</v>
      </c>
      <c r="E85" s="199">
        <v>1548986.86</v>
      </c>
      <c r="F85" s="1291">
        <f>+SUM($D85:$E85)/2</f>
        <v>1434038.1850000001</v>
      </c>
      <c r="G85" s="187"/>
      <c r="H85" s="187"/>
      <c r="I85" s="500"/>
      <c r="J85" s="1291">
        <f>+E85</f>
        <v>1548986.86</v>
      </c>
      <c r="K85" s="187"/>
      <c r="L85" s="187"/>
      <c r="M85" s="500"/>
      <c r="N85" s="1401" t="s">
        <v>215</v>
      </c>
    </row>
    <row r="86" spans="1:15">
      <c r="A86" s="828">
        <f t="shared" si="14"/>
        <v>11.689999999999985</v>
      </c>
      <c r="B86" s="1580" t="s">
        <v>1271</v>
      </c>
      <c r="C86" s="1580"/>
      <c r="D86" s="199">
        <v>27693961.670000002</v>
      </c>
      <c r="E86" s="199">
        <v>19010435.32</v>
      </c>
      <c r="F86" s="1291">
        <f>+SUM($D86:$E86)/2</f>
        <v>23352198.495000001</v>
      </c>
      <c r="G86" s="187"/>
      <c r="H86" s="187"/>
      <c r="I86" s="500"/>
      <c r="J86" s="1291">
        <f>+E86</f>
        <v>19010435.32</v>
      </c>
      <c r="K86" s="187"/>
      <c r="L86" s="187"/>
      <c r="M86" s="500"/>
      <c r="N86" s="1401" t="s">
        <v>216</v>
      </c>
    </row>
    <row r="87" spans="1:15">
      <c r="A87" s="828">
        <f t="shared" si="14"/>
        <v>11.699999999999985</v>
      </c>
      <c r="B87" s="1580" t="s">
        <v>1272</v>
      </c>
      <c r="C87" s="1580"/>
      <c r="D87" s="199">
        <v>5500710.3700000001</v>
      </c>
      <c r="E87" s="199">
        <v>3775945.66</v>
      </c>
      <c r="F87" s="1291">
        <f>+SUM($D87:$E87)/2</f>
        <v>4638328.0150000006</v>
      </c>
      <c r="G87" s="187"/>
      <c r="H87" s="187"/>
      <c r="I87" s="500"/>
      <c r="J87" s="1291">
        <f>+E87</f>
        <v>3775945.66</v>
      </c>
      <c r="K87" s="187"/>
      <c r="L87" s="187"/>
      <c r="M87" s="500"/>
      <c r="N87" s="1401" t="s">
        <v>216</v>
      </c>
    </row>
    <row r="88" spans="1:15">
      <c r="A88" s="828">
        <f t="shared" si="14"/>
        <v>11.709999999999985</v>
      </c>
      <c r="B88" s="1580" t="s">
        <v>1273</v>
      </c>
      <c r="C88" s="1580"/>
      <c r="D88" s="199">
        <v>0</v>
      </c>
      <c r="E88" s="199">
        <v>0</v>
      </c>
      <c r="F88" s="1291"/>
      <c r="G88" s="187"/>
      <c r="H88" s="187">
        <f>+SUM($D88:$E88)/2</f>
        <v>0</v>
      </c>
      <c r="I88" s="500"/>
      <c r="J88" s="1291"/>
      <c r="K88" s="187"/>
      <c r="L88" s="187">
        <f>+E88</f>
        <v>0</v>
      </c>
      <c r="M88" s="500"/>
      <c r="N88" s="1401" t="s">
        <v>438</v>
      </c>
    </row>
    <row r="89" spans="1:15">
      <c r="A89" s="828">
        <f t="shared" si="14"/>
        <v>11.719999999999985</v>
      </c>
      <c r="B89" s="1580" t="s">
        <v>1274</v>
      </c>
      <c r="C89" s="1580"/>
      <c r="D89" s="199">
        <v>0</v>
      </c>
      <c r="E89" s="199">
        <v>0</v>
      </c>
      <c r="F89" s="1291"/>
      <c r="G89" s="187"/>
      <c r="H89" s="187">
        <f>+SUM($D89:$E89)/2</f>
        <v>0</v>
      </c>
      <c r="I89" s="500"/>
      <c r="J89" s="1291"/>
      <c r="K89" s="187"/>
      <c r="L89" s="187">
        <f>+E89</f>
        <v>0</v>
      </c>
      <c r="M89" s="500"/>
      <c r="N89" s="749" t="s">
        <v>439</v>
      </c>
    </row>
    <row r="90" spans="1:15">
      <c r="A90" s="828">
        <f t="shared" si="14"/>
        <v>11.729999999999984</v>
      </c>
      <c r="B90" s="1585" t="s">
        <v>1275</v>
      </c>
      <c r="C90" s="1585"/>
      <c r="D90" s="199">
        <v>0</v>
      </c>
      <c r="E90" s="199">
        <v>414400</v>
      </c>
      <c r="F90" s="1291">
        <f>+SUM($D90:$E90)/2</f>
        <v>207200</v>
      </c>
      <c r="G90" s="187"/>
      <c r="H90" s="187"/>
      <c r="I90" s="500"/>
      <c r="J90" s="1291">
        <f>+E90</f>
        <v>414400</v>
      </c>
      <c r="K90" s="187"/>
      <c r="L90" s="187"/>
      <c r="M90" s="500"/>
      <c r="N90" s="749" t="s">
        <v>217</v>
      </c>
    </row>
    <row r="91" spans="1:15">
      <c r="A91" s="828">
        <f t="shared" si="14"/>
        <v>11.739999999999984</v>
      </c>
      <c r="B91" s="1580" t="s">
        <v>1276</v>
      </c>
      <c r="C91" s="1580"/>
      <c r="D91" s="199">
        <v>1236523</v>
      </c>
      <c r="E91" s="199">
        <v>2074182</v>
      </c>
      <c r="F91" s="1291"/>
      <c r="G91" s="187"/>
      <c r="H91" s="187"/>
      <c r="I91" s="500">
        <f>+SUM($D91:$E91)/2</f>
        <v>1655352.5</v>
      </c>
      <c r="J91" s="1291"/>
      <c r="K91" s="187"/>
      <c r="L91" s="187"/>
      <c r="M91" s="500">
        <f>+E91</f>
        <v>2074182</v>
      </c>
      <c r="N91" s="1401" t="s">
        <v>287</v>
      </c>
    </row>
    <row r="92" spans="1:15">
      <c r="A92" s="828">
        <f t="shared" si="14"/>
        <v>11.749999999999984</v>
      </c>
      <c r="B92" s="1585" t="s">
        <v>1277</v>
      </c>
      <c r="C92" s="1585"/>
      <c r="D92" s="199">
        <v>0</v>
      </c>
      <c r="E92" s="199">
        <v>0</v>
      </c>
      <c r="F92" s="1291"/>
      <c r="G92" s="187"/>
      <c r="H92" s="187">
        <f>+SUM($D92:$E92)/2</f>
        <v>0</v>
      </c>
      <c r="I92" s="500"/>
      <c r="J92" s="1291"/>
      <c r="K92" s="187"/>
      <c r="L92" s="187">
        <f>+E92</f>
        <v>0</v>
      </c>
      <c r="M92" s="500"/>
      <c r="N92" s="1401" t="s">
        <v>437</v>
      </c>
    </row>
    <row r="93" spans="1:15">
      <c r="A93" s="828">
        <f t="shared" si="14"/>
        <v>11.759999999999984</v>
      </c>
      <c r="B93" s="1580" t="s">
        <v>1278</v>
      </c>
      <c r="C93" s="1580"/>
      <c r="D93" s="199">
        <v>0</v>
      </c>
      <c r="E93" s="199">
        <v>-1819596.64</v>
      </c>
      <c r="F93" s="1291"/>
      <c r="G93" s="187"/>
      <c r="H93" s="187">
        <f>+SUM($D93:$E93)/2</f>
        <v>-909798.32</v>
      </c>
      <c r="I93" s="500"/>
      <c r="J93" s="1291"/>
      <c r="K93" s="187"/>
      <c r="L93" s="187">
        <f>+E93</f>
        <v>-1819596.64</v>
      </c>
      <c r="M93" s="500"/>
      <c r="N93" s="1401" t="s">
        <v>288</v>
      </c>
    </row>
    <row r="94" spans="1:15">
      <c r="A94" s="828">
        <f>+A93+0.01</f>
        <v>11.769999999999984</v>
      </c>
      <c r="B94" s="1580" t="s">
        <v>1279</v>
      </c>
      <c r="C94" s="1580"/>
      <c r="D94" s="199">
        <v>0.01</v>
      </c>
      <c r="E94" s="199">
        <v>0.01</v>
      </c>
      <c r="F94" s="1291"/>
      <c r="G94" s="187"/>
      <c r="H94" s="187">
        <f>+SUM($D94:$E94)/2</f>
        <v>0.01</v>
      </c>
      <c r="I94" s="500"/>
      <c r="J94" s="1291"/>
      <c r="K94" s="187"/>
      <c r="L94" s="187">
        <f>+E94</f>
        <v>0.01</v>
      </c>
      <c r="M94" s="500"/>
      <c r="N94" s="1557" t="s">
        <v>288</v>
      </c>
      <c r="O94" s="44" t="s">
        <v>1139</v>
      </c>
    </row>
    <row r="95" spans="1:15">
      <c r="A95" s="828">
        <f>+A94+0.01</f>
        <v>11.779999999999983</v>
      </c>
      <c r="B95" s="1580" t="s">
        <v>1280</v>
      </c>
      <c r="C95" s="1580"/>
      <c r="D95" s="199">
        <v>2376850</v>
      </c>
      <c r="E95" s="199">
        <v>64304800</v>
      </c>
      <c r="F95" s="1291"/>
      <c r="G95" s="187"/>
      <c r="H95" s="187">
        <f>+SUM($D95:$E95)/2</f>
        <v>33340825</v>
      </c>
      <c r="I95" s="500"/>
      <c r="J95" s="1291"/>
      <c r="K95" s="187"/>
      <c r="L95" s="187">
        <f>+E95</f>
        <v>64304800</v>
      </c>
      <c r="M95" s="500"/>
      <c r="N95" s="749" t="s">
        <v>438</v>
      </c>
    </row>
    <row r="96" spans="1:15">
      <c r="A96" s="828">
        <f t="shared" si="14"/>
        <v>11.789999999999983</v>
      </c>
      <c r="B96" s="1580" t="s">
        <v>1281</v>
      </c>
      <c r="C96" s="1580"/>
      <c r="D96" s="199">
        <v>0</v>
      </c>
      <c r="E96" s="199">
        <v>0</v>
      </c>
      <c r="F96" s="1291">
        <f t="shared" ref="F96:F101" si="15">+SUM($D96:$E96)/2</f>
        <v>0</v>
      </c>
      <c r="G96" s="187"/>
      <c r="H96" s="187"/>
      <c r="I96" s="500"/>
      <c r="J96" s="1291">
        <f t="shared" ref="J96:J101" si="16">+E96</f>
        <v>0</v>
      </c>
      <c r="K96" s="187"/>
      <c r="L96" s="187"/>
      <c r="M96" s="500"/>
      <c r="N96" s="749" t="s">
        <v>217</v>
      </c>
    </row>
    <row r="97" spans="1:15">
      <c r="A97" s="828">
        <f t="shared" si="14"/>
        <v>11.799999999999983</v>
      </c>
      <c r="B97" s="1580" t="s">
        <v>1282</v>
      </c>
      <c r="C97" s="1580"/>
      <c r="D97" s="199">
        <v>200000</v>
      </c>
      <c r="E97" s="199">
        <v>0</v>
      </c>
      <c r="F97" s="1291">
        <f t="shared" si="15"/>
        <v>100000</v>
      </c>
      <c r="G97" s="197"/>
      <c r="H97" s="197"/>
      <c r="I97" s="501"/>
      <c r="J97" s="1291">
        <f t="shared" si="16"/>
        <v>0</v>
      </c>
      <c r="K97" s="197"/>
      <c r="L97" s="197"/>
      <c r="M97" s="501"/>
      <c r="N97" s="749" t="s">
        <v>0</v>
      </c>
    </row>
    <row r="98" spans="1:15">
      <c r="A98" s="1375">
        <f>+A97+0.01</f>
        <v>11.809999999999983</v>
      </c>
      <c r="B98" s="201" t="s">
        <v>1555</v>
      </c>
      <c r="C98" s="201"/>
      <c r="D98" s="199">
        <v>0</v>
      </c>
      <c r="E98" s="506">
        <v>125595.55</v>
      </c>
      <c r="F98" s="1349">
        <f t="shared" si="15"/>
        <v>62797.775000000001</v>
      </c>
      <c r="G98" s="200"/>
      <c r="H98" s="200"/>
      <c r="I98" s="506"/>
      <c r="J98" s="200">
        <f t="shared" si="16"/>
        <v>125595.55</v>
      </c>
      <c r="K98" s="200"/>
      <c r="L98" s="200"/>
      <c r="M98" s="506"/>
      <c r="N98" s="203" t="s">
        <v>206</v>
      </c>
      <c r="O98" s="44" t="s">
        <v>1557</v>
      </c>
    </row>
    <row r="99" spans="1:15">
      <c r="A99" s="1375">
        <f>+A98+0.01</f>
        <v>11.819999999999983</v>
      </c>
      <c r="B99" s="201" t="s">
        <v>1556</v>
      </c>
      <c r="C99" s="201"/>
      <c r="D99" s="199">
        <v>0</v>
      </c>
      <c r="E99" s="506">
        <v>24946.400000000001</v>
      </c>
      <c r="F99" s="1349">
        <f t="shared" si="15"/>
        <v>12473.2</v>
      </c>
      <c r="G99" s="200"/>
      <c r="H99" s="200"/>
      <c r="I99" s="506"/>
      <c r="J99" s="200">
        <f t="shared" si="16"/>
        <v>24946.400000000001</v>
      </c>
      <c r="K99" s="200"/>
      <c r="L99" s="200"/>
      <c r="M99" s="506"/>
      <c r="N99" s="203" t="s">
        <v>206</v>
      </c>
      <c r="O99" s="44" t="s">
        <v>1557</v>
      </c>
    </row>
    <row r="100" spans="1:15" s="188" customFormat="1" ht="26.4">
      <c r="A100" s="1375">
        <f>+A99+0.01</f>
        <v>11.829999999999982</v>
      </c>
      <c r="B100" s="1644" t="s">
        <v>1558</v>
      </c>
      <c r="C100" s="1644"/>
      <c r="D100" s="1558">
        <v>0</v>
      </c>
      <c r="E100" s="1789">
        <v>5198847.55</v>
      </c>
      <c r="F100" s="1791">
        <f t="shared" si="15"/>
        <v>2599423.7749999999</v>
      </c>
      <c r="G100" s="1788"/>
      <c r="H100" s="1788"/>
      <c r="I100" s="1789"/>
      <c r="J100" s="1788">
        <f t="shared" si="16"/>
        <v>5198847.55</v>
      </c>
      <c r="K100" s="1788"/>
      <c r="L100" s="1788"/>
      <c r="M100" s="1789"/>
      <c r="N100" s="1790" t="s">
        <v>1559</v>
      </c>
      <c r="O100" s="188" t="s">
        <v>1557</v>
      </c>
    </row>
    <row r="101" spans="1:15">
      <c r="A101" s="1376">
        <f>+A100+0.01</f>
        <v>11.839999999999982</v>
      </c>
      <c r="B101" s="198"/>
      <c r="C101" s="201" t="s">
        <v>969</v>
      </c>
      <c r="D101" s="199">
        <v>0</v>
      </c>
      <c r="E101" s="506">
        <v>0</v>
      </c>
      <c r="F101" s="1349">
        <f t="shared" si="15"/>
        <v>0</v>
      </c>
      <c r="G101" s="200"/>
      <c r="H101" s="200"/>
      <c r="I101" s="506"/>
      <c r="J101" s="200">
        <f t="shared" si="16"/>
        <v>0</v>
      </c>
      <c r="K101" s="200"/>
      <c r="L101" s="200"/>
      <c r="M101" s="506"/>
      <c r="N101" s="203"/>
    </row>
    <row r="102" spans="1:15">
      <c r="A102" s="1376" t="s">
        <v>960</v>
      </c>
      <c r="B102" s="198"/>
      <c r="C102" s="201" t="s">
        <v>969</v>
      </c>
      <c r="D102" s="200">
        <v>0</v>
      </c>
      <c r="E102" s="200">
        <v>0</v>
      </c>
      <c r="F102" s="1349"/>
      <c r="G102" s="201"/>
      <c r="H102" s="200">
        <f>+SUM($D102:$E102)/2</f>
        <v>0</v>
      </c>
      <c r="I102" s="1359"/>
      <c r="J102" s="1349"/>
      <c r="K102" s="201"/>
      <c r="L102" s="200">
        <f>+E102</f>
        <v>0</v>
      </c>
      <c r="M102" s="1359"/>
      <c r="N102" s="203"/>
    </row>
    <row r="103" spans="1:15">
      <c r="A103" s="1535" t="str">
        <f>+A17&amp;".xx"</f>
        <v>11.xx</v>
      </c>
      <c r="B103" s="201"/>
      <c r="C103" s="201" t="s">
        <v>969</v>
      </c>
      <c r="D103" s="204">
        <v>0</v>
      </c>
      <c r="E103" s="1645">
        <v>0</v>
      </c>
      <c r="F103" s="1350"/>
      <c r="G103" s="1351"/>
      <c r="H103" s="200">
        <f>+SUM($D103:$E103)/2</f>
        <v>0</v>
      </c>
      <c r="I103" s="1352"/>
      <c r="J103" s="1350"/>
      <c r="K103" s="1351"/>
      <c r="L103" s="200">
        <f>+E103</f>
        <v>0</v>
      </c>
      <c r="M103" s="1352"/>
      <c r="N103" s="203"/>
    </row>
    <row r="104" spans="1:15" ht="13.8" thickBot="1">
      <c r="A104" s="827">
        <f>+A17+1</f>
        <v>12</v>
      </c>
      <c r="B104" s="799"/>
      <c r="C104" s="799"/>
      <c r="D104" s="241"/>
      <c r="E104" s="241"/>
      <c r="F104" s="819"/>
      <c r="G104" s="820"/>
      <c r="H104" s="820"/>
      <c r="I104" s="821"/>
      <c r="J104" s="819"/>
      <c r="K104" s="820"/>
      <c r="L104" s="820"/>
      <c r="M104" s="821"/>
      <c r="N104" s="749"/>
    </row>
    <row r="105" spans="1:15" s="43" customFormat="1" ht="14.4" thickBot="1">
      <c r="A105" s="827">
        <f>+A104+1</f>
        <v>13</v>
      </c>
      <c r="B105" s="503" t="s">
        <v>554</v>
      </c>
      <c r="C105" s="504"/>
      <c r="D105" s="822">
        <f t="shared" ref="D105:I105" si="17">SUM(D18:D102)</f>
        <v>194762985.51999992</v>
      </c>
      <c r="E105" s="822">
        <f t="shared" si="17"/>
        <v>219563377.63999999</v>
      </c>
      <c r="F105" s="823">
        <f t="shared" si="17"/>
        <v>294977362.19499981</v>
      </c>
      <c r="G105" s="282">
        <f t="shared" si="17"/>
        <v>0</v>
      </c>
      <c r="H105" s="282">
        <f t="shared" si="17"/>
        <v>22373855.189999998</v>
      </c>
      <c r="I105" s="817">
        <f t="shared" si="17"/>
        <v>-110188035.80500001</v>
      </c>
      <c r="J105" s="823">
        <f>SUM(J18:J104)</f>
        <v>287029865.33000004</v>
      </c>
      <c r="K105" s="282">
        <f>SUM(K18:K104)</f>
        <v>0</v>
      </c>
      <c r="L105" s="282">
        <f>SUM(L18:L104)</f>
        <v>50344006.82</v>
      </c>
      <c r="M105" s="817">
        <f>SUM(M18:M104)</f>
        <v>-117810494.51000001</v>
      </c>
      <c r="N105" s="749" t="str">
        <f>+"Sum by Column of Line "&amp;A17&amp;" Subparts"</f>
        <v>Sum by Column of Line 11 Subparts</v>
      </c>
    </row>
    <row r="106" spans="1:15" ht="15">
      <c r="A106" s="827">
        <f>+A105+1</f>
        <v>14</v>
      </c>
      <c r="B106" s="1895" t="s">
        <v>594</v>
      </c>
      <c r="C106" s="1895"/>
      <c r="D106" s="499">
        <f t="shared" ref="D106:M106" si="18">+D86+D87</f>
        <v>33194672.040000003</v>
      </c>
      <c r="E106" s="499">
        <f t="shared" si="18"/>
        <v>22786380.98</v>
      </c>
      <c r="F106" s="507">
        <f t="shared" si="18"/>
        <v>27990526.510000002</v>
      </c>
      <c r="G106" s="499">
        <f t="shared" si="18"/>
        <v>0</v>
      </c>
      <c r="H106" s="499">
        <f t="shared" si="18"/>
        <v>0</v>
      </c>
      <c r="I106" s="502">
        <f t="shared" si="18"/>
        <v>0</v>
      </c>
      <c r="J106" s="507">
        <f t="shared" si="18"/>
        <v>22786380.98</v>
      </c>
      <c r="K106" s="499">
        <f t="shared" si="18"/>
        <v>0</v>
      </c>
      <c r="L106" s="499">
        <f t="shared" si="18"/>
        <v>0</v>
      </c>
      <c r="M106" s="502">
        <f t="shared" si="18"/>
        <v>0</v>
      </c>
      <c r="N106" s="1520"/>
    </row>
    <row r="107" spans="1:15" ht="13.8">
      <c r="A107" s="827">
        <f>+A106+1</f>
        <v>15</v>
      </c>
      <c r="B107" s="75" t="s">
        <v>552</v>
      </c>
      <c r="C107" s="172"/>
      <c r="D107" s="282">
        <f>+D105-D106</f>
        <v>161568313.47999993</v>
      </c>
      <c r="E107" s="282">
        <f>+E105-E106</f>
        <v>196776996.66</v>
      </c>
      <c r="F107" s="823">
        <f>+F105-F106</f>
        <v>266986835.68499982</v>
      </c>
      <c r="G107" s="282">
        <f t="shared" ref="G107:M107" si="19">+G105-G106</f>
        <v>0</v>
      </c>
      <c r="H107" s="282">
        <f t="shared" si="19"/>
        <v>22373855.189999998</v>
      </c>
      <c r="I107" s="817">
        <f t="shared" si="19"/>
        <v>-110188035.80500001</v>
      </c>
      <c r="J107" s="823">
        <f t="shared" si="19"/>
        <v>264243484.35000005</v>
      </c>
      <c r="K107" s="282">
        <f t="shared" si="19"/>
        <v>0</v>
      </c>
      <c r="L107" s="282">
        <f t="shared" si="19"/>
        <v>50344006.82</v>
      </c>
      <c r="M107" s="817">
        <f t="shared" si="19"/>
        <v>-117810494.51000001</v>
      </c>
      <c r="N107" s="45" t="str">
        <f>+"Ln "&amp;A105&amp;" Less Ln "&amp;A106</f>
        <v>Ln 13 Less Ln 14</v>
      </c>
    </row>
    <row r="108" spans="1:15">
      <c r="A108" s="827">
        <f>+A107+1</f>
        <v>16</v>
      </c>
      <c r="B108" s="824"/>
      <c r="C108" s="824"/>
      <c r="D108" s="824"/>
      <c r="E108" s="171"/>
      <c r="F108" s="509"/>
      <c r="G108" s="509"/>
      <c r="H108" s="509"/>
      <c r="I108" s="509"/>
      <c r="J108" s="241"/>
      <c r="K108" s="45"/>
      <c r="L108" s="825"/>
      <c r="M108" s="509"/>
      <c r="N108" s="749"/>
    </row>
    <row r="109" spans="1:15" ht="16.8">
      <c r="A109" s="827">
        <f>+A108+1</f>
        <v>17</v>
      </c>
      <c r="B109" s="75" t="s">
        <v>805</v>
      </c>
      <c r="C109" s="219"/>
      <c r="D109" s="219"/>
      <c r="E109" s="165"/>
      <c r="F109" s="1894" t="str">
        <f>F8</f>
        <v>Average of BOY/EOY (Col (C+D)/2)</v>
      </c>
      <c r="G109" s="1894"/>
      <c r="H109" s="1894"/>
      <c r="I109" s="1894"/>
      <c r="J109" s="1894" t="str">
        <f>J8</f>
        <v>EOY (Col D)</v>
      </c>
      <c r="K109" s="1894"/>
      <c r="L109" s="1894"/>
      <c r="M109" s="1894"/>
      <c r="N109" s="798" t="s">
        <v>54</v>
      </c>
    </row>
    <row r="110" spans="1:15">
      <c r="A110" s="828">
        <f>+A109+0.01</f>
        <v>17.010000000000002</v>
      </c>
      <c r="B110" s="1580" t="s">
        <v>1283</v>
      </c>
      <c r="C110" s="1580"/>
      <c r="D110" s="199">
        <v>-803353645.65999997</v>
      </c>
      <c r="E110" s="506">
        <v>-895457361.88999999</v>
      </c>
      <c r="F110" s="184"/>
      <c r="G110" s="184"/>
      <c r="H110" s="185">
        <f>+SUM($D110:$E110)/2</f>
        <v>-849405503.77499998</v>
      </c>
      <c r="I110" s="501"/>
      <c r="J110" s="184"/>
      <c r="K110" s="184"/>
      <c r="L110" s="185">
        <f>+E110</f>
        <v>-895457361.88999999</v>
      </c>
      <c r="M110" s="501"/>
      <c r="N110" s="1401" t="s">
        <v>1</v>
      </c>
    </row>
    <row r="111" spans="1:15">
      <c r="A111" s="828">
        <f>+A110+0.01</f>
        <v>17.020000000000003</v>
      </c>
      <c r="B111" s="1580" t="s">
        <v>1284</v>
      </c>
      <c r="C111" s="1580"/>
      <c r="D111" s="199">
        <v>-100126986.05</v>
      </c>
      <c r="E111" s="506">
        <v>-106475543.47</v>
      </c>
      <c r="F111" s="184"/>
      <c r="G111" s="185"/>
      <c r="H111" s="185">
        <f>+SUM($D111:$E111)/2</f>
        <v>-103301264.75999999</v>
      </c>
      <c r="I111" s="500"/>
      <c r="J111" s="184"/>
      <c r="K111" s="185"/>
      <c r="L111" s="185">
        <f>+E111</f>
        <v>-106475543.47</v>
      </c>
      <c r="M111" s="500"/>
      <c r="N111" s="1401" t="s">
        <v>1</v>
      </c>
    </row>
    <row r="112" spans="1:15">
      <c r="A112" s="828">
        <f t="shared" ref="A112:A172" si="20">+A111+0.01</f>
        <v>17.030000000000005</v>
      </c>
      <c r="B112" s="1580" t="s">
        <v>1285</v>
      </c>
      <c r="C112" s="1580"/>
      <c r="D112" s="199">
        <v>4629124.3699999973</v>
      </c>
      <c r="E112" s="506">
        <v>3395209.5799999982</v>
      </c>
      <c r="F112" s="184"/>
      <c r="G112" s="185"/>
      <c r="H112" s="185">
        <f>+SUM($D112:$E112)/2</f>
        <v>4012166.9749999978</v>
      </c>
      <c r="I112" s="500"/>
      <c r="J112" s="184"/>
      <c r="K112" s="185"/>
      <c r="L112" s="185">
        <f>+E112</f>
        <v>3395209.5799999982</v>
      </c>
      <c r="M112" s="500"/>
      <c r="N112" s="1401" t="s">
        <v>1</v>
      </c>
    </row>
    <row r="113" spans="1:14">
      <c r="A113" s="828">
        <f t="shared" si="20"/>
        <v>17.040000000000006</v>
      </c>
      <c r="B113" s="1580" t="s">
        <v>1286</v>
      </c>
      <c r="C113" s="1580"/>
      <c r="D113" s="199">
        <v>919459.37999999989</v>
      </c>
      <c r="E113" s="506">
        <v>674373.1799999997</v>
      </c>
      <c r="F113" s="184"/>
      <c r="G113" s="185"/>
      <c r="H113" s="185">
        <f>+SUM($D113:$E113)/2</f>
        <v>796916.2799999998</v>
      </c>
      <c r="I113" s="500"/>
      <c r="J113" s="184"/>
      <c r="K113" s="185"/>
      <c r="L113" s="185">
        <f>+E113</f>
        <v>674373.1799999997</v>
      </c>
      <c r="M113" s="500"/>
      <c r="N113" s="1401" t="s">
        <v>1</v>
      </c>
    </row>
    <row r="114" spans="1:14">
      <c r="A114" s="828">
        <f t="shared" si="20"/>
        <v>17.050000000000008</v>
      </c>
      <c r="B114" s="1580" t="s">
        <v>1287</v>
      </c>
      <c r="C114" s="1580"/>
      <c r="D114" s="199">
        <v>706226.64</v>
      </c>
      <c r="E114" s="506">
        <v>684684.09</v>
      </c>
      <c r="F114" s="185">
        <f>+SUM($D114:$E114)/2</f>
        <v>695455.36499999999</v>
      </c>
      <c r="G114" s="185"/>
      <c r="H114" s="185"/>
      <c r="I114" s="500"/>
      <c r="J114" s="185">
        <f>+E114</f>
        <v>684684.09</v>
      </c>
      <c r="K114" s="185"/>
      <c r="L114" s="185"/>
      <c r="M114" s="500"/>
      <c r="N114" s="1401" t="s">
        <v>206</v>
      </c>
    </row>
    <row r="115" spans="1:14">
      <c r="A115" s="828">
        <f t="shared" si="20"/>
        <v>17.060000000000009</v>
      </c>
      <c r="B115" s="1580" t="s">
        <v>1288</v>
      </c>
      <c r="C115" s="1580"/>
      <c r="D115" s="199">
        <v>144399.91999999998</v>
      </c>
      <c r="E115" s="506">
        <v>139995.18</v>
      </c>
      <c r="F115" s="185">
        <f>+SUM($D115:$E115)/2</f>
        <v>142197.54999999999</v>
      </c>
      <c r="G115" s="185"/>
      <c r="H115" s="185"/>
      <c r="I115" s="500"/>
      <c r="J115" s="185">
        <f>+E115</f>
        <v>139995.18</v>
      </c>
      <c r="K115" s="185"/>
      <c r="L115" s="185"/>
      <c r="M115" s="500"/>
      <c r="N115" s="1401" t="s">
        <v>206</v>
      </c>
    </row>
    <row r="116" spans="1:14">
      <c r="A116" s="828">
        <f t="shared" si="20"/>
        <v>17.070000000000011</v>
      </c>
      <c r="B116" s="1580" t="s">
        <v>1289</v>
      </c>
      <c r="C116" s="1580"/>
      <c r="D116" s="199">
        <v>-471025.94999999995</v>
      </c>
      <c r="E116" s="506">
        <v>-467464.68999999994</v>
      </c>
      <c r="F116" s="185">
        <f>+SUM($D116:$E116)/2</f>
        <v>-469245.31999999995</v>
      </c>
      <c r="G116" s="185"/>
      <c r="H116" s="185"/>
      <c r="I116" s="500"/>
      <c r="J116" s="185">
        <f>+E116</f>
        <v>-467464.68999999994</v>
      </c>
      <c r="K116" s="185"/>
      <c r="L116" s="185"/>
      <c r="M116" s="500"/>
      <c r="N116" s="1401" t="s">
        <v>206</v>
      </c>
    </row>
    <row r="117" spans="1:14">
      <c r="A117" s="828">
        <f t="shared" si="20"/>
        <v>17.080000000000013</v>
      </c>
      <c r="B117" s="1580" t="s">
        <v>1290</v>
      </c>
      <c r="C117" s="1580"/>
      <c r="D117" s="199">
        <v>-87500.59</v>
      </c>
      <c r="E117" s="506">
        <v>-86839.03</v>
      </c>
      <c r="F117" s="185">
        <f>+SUM($D117:$E117)/2</f>
        <v>-87169.81</v>
      </c>
      <c r="G117" s="185"/>
      <c r="H117" s="185"/>
      <c r="I117" s="500"/>
      <c r="J117" s="185">
        <f>+E117</f>
        <v>-86839.03</v>
      </c>
      <c r="K117" s="185"/>
      <c r="L117" s="185"/>
      <c r="M117" s="500"/>
      <c r="N117" s="1401" t="s">
        <v>206</v>
      </c>
    </row>
    <row r="118" spans="1:14">
      <c r="A118" s="828">
        <f t="shared" si="20"/>
        <v>17.090000000000014</v>
      </c>
      <c r="B118" s="1580" t="s">
        <v>1291</v>
      </c>
      <c r="C118" s="1580"/>
      <c r="D118" s="199">
        <v>424120.29999999981</v>
      </c>
      <c r="E118" s="506">
        <v>389048.79000000004</v>
      </c>
      <c r="F118" s="185"/>
      <c r="G118" s="185"/>
      <c r="H118" s="185">
        <f>+SUM($D118:$E118)/2</f>
        <v>406584.54499999993</v>
      </c>
      <c r="I118" s="500"/>
      <c r="J118" s="185"/>
      <c r="K118" s="185"/>
      <c r="L118" s="185">
        <f>+E118</f>
        <v>389048.79000000004</v>
      </c>
      <c r="M118" s="500"/>
      <c r="N118" s="1401" t="s">
        <v>2</v>
      </c>
    </row>
    <row r="119" spans="1:14">
      <c r="A119" s="828">
        <f t="shared" si="20"/>
        <v>17.100000000000016</v>
      </c>
      <c r="B119" s="1580" t="s">
        <v>1292</v>
      </c>
      <c r="C119" s="1580"/>
      <c r="D119" s="199">
        <v>32478.010000000009</v>
      </c>
      <c r="E119" s="506">
        <v>29704.790000000037</v>
      </c>
      <c r="F119" s="185"/>
      <c r="G119" s="185"/>
      <c r="H119" s="185">
        <f>+SUM($D119:$E119)/2</f>
        <v>31091.400000000023</v>
      </c>
      <c r="I119" s="500"/>
      <c r="J119" s="185"/>
      <c r="K119" s="185"/>
      <c r="L119" s="185">
        <f>+E119</f>
        <v>29704.790000000037</v>
      </c>
      <c r="M119" s="500"/>
      <c r="N119" s="1401" t="s">
        <v>2</v>
      </c>
    </row>
    <row r="120" spans="1:14">
      <c r="A120" s="828">
        <f t="shared" si="20"/>
        <v>17.110000000000017</v>
      </c>
      <c r="B120" s="1580" t="s">
        <v>1293</v>
      </c>
      <c r="C120" s="1580"/>
      <c r="D120" s="199">
        <v>-30257024.960000001</v>
      </c>
      <c r="E120" s="506">
        <v>-30648562.859999999</v>
      </c>
      <c r="F120" s="185"/>
      <c r="G120" s="185"/>
      <c r="H120" s="185">
        <f>+SUM($D120:$E120)/2</f>
        <v>-30452793.91</v>
      </c>
      <c r="I120" s="500"/>
      <c r="J120" s="185"/>
      <c r="K120" s="185"/>
      <c r="L120" s="185">
        <f>+E120</f>
        <v>-30648562.859999999</v>
      </c>
      <c r="M120" s="500"/>
      <c r="N120" s="1401" t="s">
        <v>2</v>
      </c>
    </row>
    <row r="121" spans="1:14">
      <c r="A121" s="828">
        <f t="shared" si="20"/>
        <v>17.120000000000019</v>
      </c>
      <c r="B121" s="1580" t="s">
        <v>1294</v>
      </c>
      <c r="C121" s="1580"/>
      <c r="D121" s="199">
        <v>-6032286.3300000001</v>
      </c>
      <c r="E121" s="506">
        <v>-6109796.2699999996</v>
      </c>
      <c r="F121" s="185"/>
      <c r="G121" s="185"/>
      <c r="H121" s="185">
        <f>+SUM($D121:$E121)/2</f>
        <v>-6071041.2999999998</v>
      </c>
      <c r="I121" s="500"/>
      <c r="J121" s="185"/>
      <c r="K121" s="185"/>
      <c r="L121" s="185">
        <f>+E121</f>
        <v>-6109796.2699999996</v>
      </c>
      <c r="M121" s="500"/>
      <c r="N121" s="1401" t="s">
        <v>2</v>
      </c>
    </row>
    <row r="122" spans="1:14">
      <c r="A122" s="828">
        <f t="shared" si="20"/>
        <v>17.13000000000002</v>
      </c>
      <c r="B122" s="1580" t="s">
        <v>1295</v>
      </c>
      <c r="C122" s="1580"/>
      <c r="D122" s="199">
        <v>-37399530.060000002</v>
      </c>
      <c r="E122" s="506">
        <v>-53752940.850000001</v>
      </c>
      <c r="F122" s="185">
        <f>+SUM($D122:$E122)/2</f>
        <v>-45576235.454999998</v>
      </c>
      <c r="G122" s="185"/>
      <c r="H122" s="185"/>
      <c r="I122" s="500"/>
      <c r="J122" s="185">
        <f>+E122</f>
        <v>-53752940.850000001</v>
      </c>
      <c r="K122" s="185"/>
      <c r="L122" s="185"/>
      <c r="M122" s="500"/>
      <c r="N122" s="1401" t="s">
        <v>206</v>
      </c>
    </row>
    <row r="123" spans="1:14">
      <c r="A123" s="828">
        <f t="shared" si="20"/>
        <v>17.140000000000022</v>
      </c>
      <c r="B123" s="1580" t="s">
        <v>1296</v>
      </c>
      <c r="C123" s="1580"/>
      <c r="D123" s="199">
        <v>-2476034.96</v>
      </c>
      <c r="E123" s="506">
        <v>-4914068.3100000005</v>
      </c>
      <c r="F123" s="185">
        <f>+SUM($D123:$E123)/2</f>
        <v>-3695051.6350000002</v>
      </c>
      <c r="G123" s="185"/>
      <c r="H123" s="185"/>
      <c r="I123" s="500"/>
      <c r="J123" s="185">
        <f>+E123</f>
        <v>-4914068.3100000005</v>
      </c>
      <c r="K123" s="185"/>
      <c r="L123" s="185"/>
      <c r="M123" s="500"/>
      <c r="N123" s="1401" t="s">
        <v>206</v>
      </c>
    </row>
    <row r="124" spans="1:14">
      <c r="A124" s="828">
        <f t="shared" si="20"/>
        <v>17.150000000000023</v>
      </c>
      <c r="B124" s="1580" t="s">
        <v>1297</v>
      </c>
      <c r="C124" s="1580"/>
      <c r="D124" s="199">
        <v>-3449977.81</v>
      </c>
      <c r="E124" s="506">
        <v>-2743606.72</v>
      </c>
      <c r="F124" s="185">
        <f>+SUM($D124:$E124)/2</f>
        <v>-3096792.2650000001</v>
      </c>
      <c r="G124" s="185"/>
      <c r="H124" s="185"/>
      <c r="I124" s="500"/>
      <c r="J124" s="185">
        <f>+E124</f>
        <v>-2743606.72</v>
      </c>
      <c r="K124" s="185"/>
      <c r="L124" s="185"/>
      <c r="M124" s="500"/>
      <c r="N124" s="1401" t="s">
        <v>206</v>
      </c>
    </row>
    <row r="125" spans="1:14">
      <c r="A125" s="828">
        <f t="shared" si="20"/>
        <v>17.160000000000025</v>
      </c>
      <c r="B125" s="1580" t="s">
        <v>1298</v>
      </c>
      <c r="C125" s="1580"/>
      <c r="D125" s="199">
        <v>-685251.51</v>
      </c>
      <c r="E125" s="506">
        <v>-544948.62</v>
      </c>
      <c r="F125" s="185">
        <f>+SUM($D125:$E125)/2</f>
        <v>-615100.06499999994</v>
      </c>
      <c r="G125" s="185"/>
      <c r="H125" s="185"/>
      <c r="I125" s="500"/>
      <c r="J125" s="185">
        <f>+E125</f>
        <v>-544948.62</v>
      </c>
      <c r="K125" s="185"/>
      <c r="L125" s="185"/>
      <c r="M125" s="500"/>
      <c r="N125" s="1401" t="s">
        <v>206</v>
      </c>
    </row>
    <row r="126" spans="1:14">
      <c r="A126" s="828">
        <f t="shared" si="20"/>
        <v>17.170000000000027</v>
      </c>
      <c r="B126" s="1580" t="s">
        <v>1299</v>
      </c>
      <c r="C126" s="1580"/>
      <c r="D126" s="199">
        <v>-150153.30000000005</v>
      </c>
      <c r="E126" s="506">
        <v>-142392.79000000004</v>
      </c>
      <c r="F126" s="185"/>
      <c r="G126" s="185"/>
      <c r="H126" s="185"/>
      <c r="I126" s="500">
        <f>+SUM($D126:$E126)/2</f>
        <v>-146273.04500000004</v>
      </c>
      <c r="J126" s="185"/>
      <c r="K126" s="185"/>
      <c r="L126" s="185"/>
      <c r="M126" s="500">
        <f>+E126</f>
        <v>-142392.79000000004</v>
      </c>
      <c r="N126" s="1401" t="s">
        <v>912</v>
      </c>
    </row>
    <row r="127" spans="1:14">
      <c r="A127" s="828">
        <f t="shared" si="20"/>
        <v>17.180000000000028</v>
      </c>
      <c r="B127" s="1580" t="s">
        <v>1300</v>
      </c>
      <c r="C127" s="1580"/>
      <c r="D127" s="199">
        <v>-29824.170000000013</v>
      </c>
      <c r="E127" s="506">
        <v>-28282.739999999991</v>
      </c>
      <c r="F127" s="185"/>
      <c r="G127" s="185"/>
      <c r="H127" s="185"/>
      <c r="I127" s="500">
        <f>+SUM($D127:$E127)/2</f>
        <v>-29053.455000000002</v>
      </c>
      <c r="J127" s="185"/>
      <c r="K127" s="185"/>
      <c r="L127" s="185"/>
      <c r="M127" s="500">
        <f>+E127</f>
        <v>-28282.739999999991</v>
      </c>
      <c r="N127" s="1401" t="s">
        <v>912</v>
      </c>
    </row>
    <row r="128" spans="1:14">
      <c r="A128" s="828">
        <f t="shared" si="20"/>
        <v>17.19000000000003</v>
      </c>
      <c r="B128" s="1580" t="s">
        <v>1301</v>
      </c>
      <c r="C128" s="1580"/>
      <c r="D128" s="199">
        <v>-25945674.760000002</v>
      </c>
      <c r="E128" s="506">
        <v>-25124894.810000002</v>
      </c>
      <c r="F128" s="185"/>
      <c r="G128" s="185"/>
      <c r="H128" s="185">
        <f>+SUM($D128:$E128)/2</f>
        <v>-25535284.785000004</v>
      </c>
      <c r="I128" s="500"/>
      <c r="J128" s="185"/>
      <c r="K128" s="185"/>
      <c r="L128" s="185">
        <f>+E128</f>
        <v>-25124894.810000002</v>
      </c>
      <c r="M128" s="500"/>
      <c r="N128" s="1401" t="s">
        <v>2</v>
      </c>
    </row>
    <row r="129" spans="1:14">
      <c r="A129" s="828">
        <f t="shared" si="20"/>
        <v>17.200000000000031</v>
      </c>
      <c r="B129" s="1580" t="s">
        <v>1302</v>
      </c>
      <c r="C129" s="1580"/>
      <c r="D129" s="199">
        <v>-5172230.16</v>
      </c>
      <c r="E129" s="506">
        <v>-5007536.5600000005</v>
      </c>
      <c r="F129" s="185"/>
      <c r="G129" s="185"/>
      <c r="H129" s="185">
        <f>+SUM($D129:$E129)/2</f>
        <v>-5089883.3600000003</v>
      </c>
      <c r="I129" s="500"/>
      <c r="J129" s="185"/>
      <c r="K129" s="185"/>
      <c r="L129" s="185">
        <f>+E129</f>
        <v>-5007536.5600000005</v>
      </c>
      <c r="M129" s="500"/>
      <c r="N129" s="1401" t="s">
        <v>2</v>
      </c>
    </row>
    <row r="130" spans="1:14">
      <c r="A130" s="828">
        <f t="shared" si="20"/>
        <v>17.210000000000033</v>
      </c>
      <c r="B130" s="1580" t="s">
        <v>1303</v>
      </c>
      <c r="C130" s="1580"/>
      <c r="D130" s="199">
        <v>-6160390.5199999996</v>
      </c>
      <c r="E130" s="506">
        <v>-5277785.2699999996</v>
      </c>
      <c r="F130" s="185">
        <f>+SUM($D130:$E130)/2</f>
        <v>-5719087.8949999996</v>
      </c>
      <c r="G130" s="185"/>
      <c r="H130" s="185"/>
      <c r="I130" s="500"/>
      <c r="J130" s="185">
        <f>+E130</f>
        <v>-5277785.2699999996</v>
      </c>
      <c r="K130" s="185"/>
      <c r="L130" s="185"/>
      <c r="M130" s="500"/>
      <c r="N130" s="1401" t="s">
        <v>200</v>
      </c>
    </row>
    <row r="131" spans="1:14">
      <c r="A131" s="828">
        <f t="shared" si="20"/>
        <v>17.220000000000034</v>
      </c>
      <c r="B131" s="1580" t="s">
        <v>1304</v>
      </c>
      <c r="C131" s="1580"/>
      <c r="D131" s="199">
        <v>-1361235.29</v>
      </c>
      <c r="E131" s="506">
        <v>-1162835.7</v>
      </c>
      <c r="F131" s="185">
        <f>+SUM($D131:$E131)/2</f>
        <v>-1262035.4950000001</v>
      </c>
      <c r="G131" s="185"/>
      <c r="H131" s="185"/>
      <c r="I131" s="500"/>
      <c r="J131" s="185">
        <f>+E131</f>
        <v>-1162835.7</v>
      </c>
      <c r="K131" s="185"/>
      <c r="L131" s="185"/>
      <c r="M131" s="500"/>
      <c r="N131" s="1401" t="s">
        <v>200</v>
      </c>
    </row>
    <row r="132" spans="1:14">
      <c r="A132" s="828">
        <f t="shared" si="20"/>
        <v>17.230000000000036</v>
      </c>
      <c r="B132" s="1580" t="s">
        <v>1305</v>
      </c>
      <c r="C132" s="1580"/>
      <c r="D132" s="199">
        <v>-1240438.3</v>
      </c>
      <c r="E132" s="506">
        <v>-1142241.49</v>
      </c>
      <c r="F132" s="185"/>
      <c r="G132" s="185"/>
      <c r="H132" s="185">
        <f>+SUM($D132:$E132)/2</f>
        <v>-1191339.895</v>
      </c>
      <c r="I132" s="500"/>
      <c r="J132" s="185"/>
      <c r="K132" s="185"/>
      <c r="L132" s="185">
        <f>+E132</f>
        <v>-1142241.49</v>
      </c>
      <c r="M132" s="500"/>
      <c r="N132" s="1401" t="s">
        <v>2</v>
      </c>
    </row>
    <row r="133" spans="1:14">
      <c r="A133" s="828">
        <f t="shared" si="20"/>
        <v>17.240000000000038</v>
      </c>
      <c r="B133" s="1580" t="s">
        <v>1306</v>
      </c>
      <c r="C133" s="1580"/>
      <c r="D133" s="199">
        <v>-250725.87</v>
      </c>
      <c r="E133" s="506">
        <v>-209873.01</v>
      </c>
      <c r="F133" s="185"/>
      <c r="G133" s="185"/>
      <c r="H133" s="185">
        <f>+SUM($D133:$E133)/2</f>
        <v>-230299.44</v>
      </c>
      <c r="I133" s="500"/>
      <c r="J133" s="185"/>
      <c r="K133" s="185"/>
      <c r="L133" s="185">
        <f>+E133</f>
        <v>-209873.01</v>
      </c>
      <c r="M133" s="500"/>
      <c r="N133" s="1401" t="s">
        <v>2</v>
      </c>
    </row>
    <row r="134" spans="1:14">
      <c r="A134" s="828">
        <f t="shared" si="20"/>
        <v>17.250000000000039</v>
      </c>
      <c r="B134" s="1585" t="s">
        <v>1307</v>
      </c>
      <c r="C134" s="1585"/>
      <c r="D134" s="199">
        <v>0</v>
      </c>
      <c r="E134" s="506">
        <v>0</v>
      </c>
      <c r="F134" s="185">
        <f>+SUM($D134:$E134)/2</f>
        <v>0</v>
      </c>
      <c r="G134" s="185"/>
      <c r="H134" s="185"/>
      <c r="I134" s="500"/>
      <c r="J134" s="185">
        <f>+E134</f>
        <v>0</v>
      </c>
      <c r="K134" s="185"/>
      <c r="L134" s="185"/>
      <c r="M134" s="500"/>
      <c r="N134" s="1401" t="s">
        <v>206</v>
      </c>
    </row>
    <row r="135" spans="1:14">
      <c r="A135" s="828">
        <f t="shared" si="20"/>
        <v>17.260000000000041</v>
      </c>
      <c r="B135" s="1585" t="s">
        <v>1308</v>
      </c>
      <c r="C135" s="1585"/>
      <c r="D135" s="199">
        <v>0</v>
      </c>
      <c r="E135" s="506">
        <v>0</v>
      </c>
      <c r="F135" s="185">
        <f>+SUM($D135:$E135)/2</f>
        <v>0</v>
      </c>
      <c r="G135" s="185"/>
      <c r="H135" s="185"/>
      <c r="I135" s="500"/>
      <c r="J135" s="185">
        <f>+E135</f>
        <v>0</v>
      </c>
      <c r="K135" s="185"/>
      <c r="L135" s="185"/>
      <c r="M135" s="500"/>
      <c r="N135" s="1401" t="s">
        <v>206</v>
      </c>
    </row>
    <row r="136" spans="1:14">
      <c r="A136" s="828">
        <f t="shared" si="20"/>
        <v>17.270000000000042</v>
      </c>
      <c r="B136" s="1586" t="s">
        <v>1309</v>
      </c>
      <c r="C136" s="1586"/>
      <c r="D136" s="199">
        <v>-429905.87</v>
      </c>
      <c r="E136" s="506">
        <v>-417230.53</v>
      </c>
      <c r="F136" s="185"/>
      <c r="G136" s="185"/>
      <c r="H136" s="185"/>
      <c r="I136" s="500">
        <f>+SUM($D136:$E136)/2</f>
        <v>-423568.2</v>
      </c>
      <c r="J136" s="185"/>
      <c r="K136" s="185"/>
      <c r="L136" s="185"/>
      <c r="M136" s="500">
        <f>+E136</f>
        <v>-417230.53</v>
      </c>
      <c r="N136" s="1401" t="s">
        <v>3</v>
      </c>
    </row>
    <row r="137" spans="1:14">
      <c r="A137" s="828">
        <f t="shared" si="20"/>
        <v>17.280000000000044</v>
      </c>
      <c r="B137" s="1580" t="s">
        <v>1310</v>
      </c>
      <c r="C137" s="1580"/>
      <c r="D137" s="199">
        <v>-85390.080000000002</v>
      </c>
      <c r="E137" s="506">
        <v>-82872.42</v>
      </c>
      <c r="F137" s="185"/>
      <c r="G137" s="185"/>
      <c r="H137" s="185"/>
      <c r="I137" s="500">
        <f>+SUM($D137:$E137)/2</f>
        <v>-84131.25</v>
      </c>
      <c r="J137" s="185"/>
      <c r="K137" s="185"/>
      <c r="L137" s="185"/>
      <c r="M137" s="500">
        <f>+E137</f>
        <v>-82872.42</v>
      </c>
      <c r="N137" s="1401" t="s">
        <v>3</v>
      </c>
    </row>
    <row r="138" spans="1:14">
      <c r="A138" s="828">
        <f t="shared" si="20"/>
        <v>17.290000000000045</v>
      </c>
      <c r="B138" s="1580" t="s">
        <v>1311</v>
      </c>
      <c r="C138" s="1580"/>
      <c r="D138" s="199">
        <v>-237795.36</v>
      </c>
      <c r="E138" s="506">
        <v>-232471.79000000004</v>
      </c>
      <c r="F138" s="185">
        <f>+SUM($D138:$E138)/2</f>
        <v>-235133.57500000001</v>
      </c>
      <c r="G138" s="185"/>
      <c r="H138" s="185"/>
      <c r="I138" s="500"/>
      <c r="J138" s="185">
        <f>+E138</f>
        <v>-232471.79000000004</v>
      </c>
      <c r="K138" s="185"/>
      <c r="L138" s="185"/>
      <c r="M138" s="500"/>
      <c r="N138" s="1401" t="s">
        <v>206</v>
      </c>
    </row>
    <row r="139" spans="1:14">
      <c r="A139" s="828">
        <f t="shared" si="20"/>
        <v>17.300000000000047</v>
      </c>
      <c r="B139" s="1580" t="s">
        <v>1312</v>
      </c>
      <c r="C139" s="1580"/>
      <c r="D139" s="199">
        <v>-44265.56</v>
      </c>
      <c r="E139" s="506">
        <v>-43274.58</v>
      </c>
      <c r="F139" s="185">
        <f>+SUM($D139:$E139)/2</f>
        <v>-43770.07</v>
      </c>
      <c r="G139" s="185"/>
      <c r="H139" s="185"/>
      <c r="I139" s="500"/>
      <c r="J139" s="185">
        <f>+E139</f>
        <v>-43274.58</v>
      </c>
      <c r="K139" s="185"/>
      <c r="L139" s="185"/>
      <c r="M139" s="500"/>
      <c r="N139" s="1401" t="s">
        <v>206</v>
      </c>
    </row>
    <row r="140" spans="1:14">
      <c r="A140" s="828">
        <f t="shared" si="20"/>
        <v>17.310000000000048</v>
      </c>
      <c r="B140" s="1580" t="s">
        <v>1313</v>
      </c>
      <c r="C140" s="1580"/>
      <c r="D140" s="199">
        <v>13041110.01</v>
      </c>
      <c r="E140" s="506">
        <v>12165080.08</v>
      </c>
      <c r="F140" s="185"/>
      <c r="G140" s="185"/>
      <c r="H140" s="185">
        <f>+SUM($D140:$E140)/2</f>
        <v>12603095.045</v>
      </c>
      <c r="I140" s="500"/>
      <c r="J140" s="185"/>
      <c r="K140" s="185"/>
      <c r="L140" s="185">
        <f>+E140</f>
        <v>12165080.08</v>
      </c>
      <c r="M140" s="500"/>
      <c r="N140" s="1401" t="s">
        <v>2</v>
      </c>
    </row>
    <row r="141" spans="1:14">
      <c r="A141" s="828">
        <f t="shared" si="20"/>
        <v>17.32000000000005</v>
      </c>
      <c r="B141" s="1580" t="s">
        <v>1314</v>
      </c>
      <c r="C141" s="1580"/>
      <c r="D141" s="199">
        <v>2870689.09</v>
      </c>
      <c r="E141" s="506">
        <v>2697303.86</v>
      </c>
      <c r="F141" s="185"/>
      <c r="G141" s="185"/>
      <c r="H141" s="185">
        <f>+SUM($D141:$E141)/2</f>
        <v>2783996.4749999996</v>
      </c>
      <c r="I141" s="500"/>
      <c r="J141" s="185"/>
      <c r="K141" s="185"/>
      <c r="L141" s="185">
        <f>+E141</f>
        <v>2697303.86</v>
      </c>
      <c r="M141" s="500"/>
      <c r="N141" s="1401" t="s">
        <v>2</v>
      </c>
    </row>
    <row r="142" spans="1:14">
      <c r="A142" s="828">
        <f t="shared" si="20"/>
        <v>17.330000000000052</v>
      </c>
      <c r="B142" s="1580" t="s">
        <v>1315</v>
      </c>
      <c r="C142" s="1580"/>
      <c r="D142" s="199">
        <v>14730118.48</v>
      </c>
      <c r="E142" s="506">
        <v>15972197.039999999</v>
      </c>
      <c r="F142" s="185"/>
      <c r="G142" s="185"/>
      <c r="H142" s="185">
        <f>+SUM($D142:$E142)/2</f>
        <v>15351157.76</v>
      </c>
      <c r="I142" s="500"/>
      <c r="J142" s="185"/>
      <c r="K142" s="185"/>
      <c r="L142" s="185">
        <f>+E142</f>
        <v>15972197.039999999</v>
      </c>
      <c r="M142" s="500"/>
      <c r="N142" s="1401" t="s">
        <v>2</v>
      </c>
    </row>
    <row r="143" spans="1:14">
      <c r="A143" s="828">
        <f t="shared" si="20"/>
        <v>17.340000000000053</v>
      </c>
      <c r="B143" s="1580" t="s">
        <v>1316</v>
      </c>
      <c r="C143" s="1580"/>
      <c r="D143" s="199">
        <v>3970723.77</v>
      </c>
      <c r="E143" s="506">
        <v>4209619</v>
      </c>
      <c r="F143" s="185"/>
      <c r="G143" s="185"/>
      <c r="H143" s="185">
        <f>+SUM($D143:$E143)/2</f>
        <v>4090171.3849999998</v>
      </c>
      <c r="I143" s="500"/>
      <c r="J143" s="185"/>
      <c r="K143" s="185"/>
      <c r="L143" s="185">
        <f>+E143</f>
        <v>4209619</v>
      </c>
      <c r="M143" s="500"/>
      <c r="N143" s="1401" t="s">
        <v>2</v>
      </c>
    </row>
    <row r="144" spans="1:14">
      <c r="A144" s="828">
        <f t="shared" si="20"/>
        <v>17.350000000000055</v>
      </c>
      <c r="B144" s="1580" t="s">
        <v>1317</v>
      </c>
      <c r="C144" s="1580"/>
      <c r="D144" s="199">
        <v>-2504.3700000000026</v>
      </c>
      <c r="E144" s="506">
        <v>-311.54000000000087</v>
      </c>
      <c r="F144" s="185">
        <f t="shared" ref="F144:F149" si="21">+SUM($D144:$E144)/2</f>
        <v>-1407.9550000000017</v>
      </c>
      <c r="G144" s="185"/>
      <c r="H144" s="185"/>
      <c r="I144" s="500"/>
      <c r="J144" s="185">
        <f t="shared" ref="J144:J149" si="22">+E144</f>
        <v>-311.54000000000087</v>
      </c>
      <c r="K144" s="185"/>
      <c r="L144" s="185"/>
      <c r="M144" s="500"/>
      <c r="N144" s="1401" t="s">
        <v>206</v>
      </c>
    </row>
    <row r="145" spans="1:15">
      <c r="A145" s="828">
        <f t="shared" si="20"/>
        <v>17.360000000000056</v>
      </c>
      <c r="B145" s="1580" t="s">
        <v>1318</v>
      </c>
      <c r="C145" s="1580"/>
      <c r="D145" s="199">
        <v>-462.3799999999992</v>
      </c>
      <c r="E145" s="506">
        <v>-57.5</v>
      </c>
      <c r="F145" s="185">
        <f t="shared" si="21"/>
        <v>-259.9399999999996</v>
      </c>
      <c r="G145" s="185"/>
      <c r="H145" s="185"/>
      <c r="I145" s="500"/>
      <c r="J145" s="185">
        <f t="shared" si="22"/>
        <v>-57.5</v>
      </c>
      <c r="K145" s="185"/>
      <c r="L145" s="185"/>
      <c r="M145" s="500"/>
      <c r="N145" s="1401" t="s">
        <v>206</v>
      </c>
    </row>
    <row r="146" spans="1:15">
      <c r="A146" s="828">
        <f t="shared" si="20"/>
        <v>17.370000000000058</v>
      </c>
      <c r="B146" s="1580" t="s">
        <v>1319</v>
      </c>
      <c r="C146" s="1580"/>
      <c r="D146" s="199">
        <v>-154644</v>
      </c>
      <c r="E146" s="506">
        <v>-151528.25</v>
      </c>
      <c r="F146" s="185">
        <f t="shared" si="21"/>
        <v>-153086.125</v>
      </c>
      <c r="G146" s="185"/>
      <c r="H146" s="185"/>
      <c r="I146" s="500"/>
      <c r="J146" s="185">
        <f t="shared" si="22"/>
        <v>-151528.25</v>
      </c>
      <c r="K146" s="185"/>
      <c r="L146" s="185"/>
      <c r="M146" s="500"/>
      <c r="N146" s="1401" t="s">
        <v>206</v>
      </c>
    </row>
    <row r="147" spans="1:15">
      <c r="A147" s="828">
        <f t="shared" si="20"/>
        <v>17.380000000000059</v>
      </c>
      <c r="B147" s="1580" t="s">
        <v>1320</v>
      </c>
      <c r="C147" s="1580"/>
      <c r="D147" s="199">
        <v>-27385.759999999995</v>
      </c>
      <c r="E147" s="506">
        <v>-26833.990000000005</v>
      </c>
      <c r="F147" s="185">
        <f t="shared" si="21"/>
        <v>-27109.875</v>
      </c>
      <c r="G147" s="185"/>
      <c r="H147" s="185"/>
      <c r="I147" s="500"/>
      <c r="J147" s="185">
        <f t="shared" si="22"/>
        <v>-26833.990000000005</v>
      </c>
      <c r="K147" s="185"/>
      <c r="L147" s="185"/>
      <c r="M147" s="500"/>
      <c r="N147" s="1401" t="s">
        <v>206</v>
      </c>
    </row>
    <row r="148" spans="1:15">
      <c r="A148" s="828">
        <f t="shared" si="20"/>
        <v>17.390000000000061</v>
      </c>
      <c r="B148" s="1580" t="s">
        <v>1321</v>
      </c>
      <c r="C148" s="1580"/>
      <c r="D148" s="199">
        <v>-1069123.27</v>
      </c>
      <c r="E148" s="506">
        <v>-1138837.45</v>
      </c>
      <c r="F148" s="185">
        <f t="shared" si="21"/>
        <v>-1103980.3599999999</v>
      </c>
      <c r="G148" s="185"/>
      <c r="H148" s="185"/>
      <c r="I148" s="500"/>
      <c r="J148" s="185">
        <f t="shared" si="22"/>
        <v>-1138837.45</v>
      </c>
      <c r="K148" s="185"/>
      <c r="L148" s="185"/>
      <c r="M148" s="500"/>
      <c r="N148" s="1401" t="s">
        <v>2</v>
      </c>
      <c r="O148" s="44" t="s">
        <v>1138</v>
      </c>
    </row>
    <row r="149" spans="1:15">
      <c r="A149" s="828">
        <f t="shared" si="20"/>
        <v>17.400000000000063</v>
      </c>
      <c r="B149" s="1580" t="s">
        <v>1322</v>
      </c>
      <c r="C149" s="1580"/>
      <c r="D149" s="199">
        <v>-212354.55</v>
      </c>
      <c r="E149" s="506">
        <v>-226201.54</v>
      </c>
      <c r="F149" s="185">
        <f t="shared" si="21"/>
        <v>-219278.04499999998</v>
      </c>
      <c r="G149" s="185"/>
      <c r="H149" s="185"/>
      <c r="I149" s="500"/>
      <c r="J149" s="185">
        <f t="shared" si="22"/>
        <v>-226201.54</v>
      </c>
      <c r="K149" s="185"/>
      <c r="L149" s="185"/>
      <c r="M149" s="500"/>
      <c r="N149" s="1401" t="s">
        <v>2</v>
      </c>
      <c r="O149" s="44" t="s">
        <v>1138</v>
      </c>
    </row>
    <row r="150" spans="1:15">
      <c r="A150" s="828">
        <f t="shared" si="20"/>
        <v>17.410000000000064</v>
      </c>
      <c r="B150" s="1580" t="s">
        <v>1323</v>
      </c>
      <c r="C150" s="1580"/>
      <c r="D150" s="199">
        <v>-14316649.850000001</v>
      </c>
      <c r="E150" s="506">
        <v>-13156399.420000002</v>
      </c>
      <c r="F150" s="185"/>
      <c r="G150" s="185"/>
      <c r="H150" s="185"/>
      <c r="I150" s="500">
        <f>+SUM($D150:$E150)/2</f>
        <v>-13736524.635000002</v>
      </c>
      <c r="J150" s="185"/>
      <c r="K150" s="185"/>
      <c r="L150" s="185"/>
      <c r="M150" s="500">
        <f>+E150</f>
        <v>-13156399.420000002</v>
      </c>
      <c r="N150" s="1401" t="s">
        <v>3</v>
      </c>
    </row>
    <row r="151" spans="1:15">
      <c r="A151" s="828">
        <f t="shared" si="20"/>
        <v>17.420000000000066</v>
      </c>
      <c r="B151" s="1580" t="s">
        <v>1324</v>
      </c>
      <c r="C151" s="1580"/>
      <c r="D151" s="199">
        <v>-2843643.23</v>
      </c>
      <c r="E151" s="506">
        <v>-2613188.59</v>
      </c>
      <c r="F151" s="185"/>
      <c r="G151" s="185"/>
      <c r="H151" s="185"/>
      <c r="I151" s="500">
        <f>+SUM($D151:$E151)/2</f>
        <v>-2728415.91</v>
      </c>
      <c r="J151" s="185"/>
      <c r="K151" s="185"/>
      <c r="L151" s="185"/>
      <c r="M151" s="500">
        <f>+E151</f>
        <v>-2613188.59</v>
      </c>
      <c r="N151" s="1401" t="s">
        <v>3</v>
      </c>
    </row>
    <row r="152" spans="1:15">
      <c r="A152" s="828">
        <f t="shared" si="20"/>
        <v>17.430000000000067</v>
      </c>
      <c r="B152" s="1580" t="s">
        <v>1325</v>
      </c>
      <c r="C152" s="1580"/>
      <c r="D152" s="199">
        <v>0</v>
      </c>
      <c r="E152" s="506">
        <v>0</v>
      </c>
      <c r="F152" s="185">
        <f t="shared" ref="F152:F157" si="23">+SUM($D152:$E152)/2</f>
        <v>0</v>
      </c>
      <c r="G152" s="185"/>
      <c r="H152" s="185"/>
      <c r="I152" s="500"/>
      <c r="J152" s="185">
        <f t="shared" ref="J152:J157" si="24">+E152</f>
        <v>0</v>
      </c>
      <c r="K152" s="185"/>
      <c r="L152" s="185"/>
      <c r="M152" s="500"/>
      <c r="N152" s="1401" t="s">
        <v>206</v>
      </c>
    </row>
    <row r="153" spans="1:15">
      <c r="A153" s="828">
        <f t="shared" si="20"/>
        <v>17.440000000000069</v>
      </c>
      <c r="B153" s="1580" t="s">
        <v>1326</v>
      </c>
      <c r="C153" s="1580"/>
      <c r="D153" s="199">
        <v>0</v>
      </c>
      <c r="E153" s="506">
        <v>0</v>
      </c>
      <c r="F153" s="185">
        <f t="shared" si="23"/>
        <v>0</v>
      </c>
      <c r="G153" s="185"/>
      <c r="H153" s="185"/>
      <c r="I153" s="500"/>
      <c r="J153" s="185">
        <f t="shared" si="24"/>
        <v>0</v>
      </c>
      <c r="K153" s="185"/>
      <c r="L153" s="185"/>
      <c r="M153" s="500"/>
      <c r="N153" s="1401" t="s">
        <v>206</v>
      </c>
    </row>
    <row r="154" spans="1:15">
      <c r="A154" s="828">
        <f t="shared" si="20"/>
        <v>17.45000000000007</v>
      </c>
      <c r="B154" s="1580" t="s">
        <v>1327</v>
      </c>
      <c r="C154" s="1580"/>
      <c r="D154" s="199">
        <v>11491271.720000001</v>
      </c>
      <c r="E154" s="506">
        <v>11164438.140000001</v>
      </c>
      <c r="F154" s="185">
        <f t="shared" si="23"/>
        <v>11327854.93</v>
      </c>
      <c r="G154" s="185"/>
      <c r="H154" s="185"/>
      <c r="I154" s="500"/>
      <c r="J154" s="185">
        <f t="shared" si="24"/>
        <v>11164438.140000001</v>
      </c>
      <c r="K154" s="185"/>
      <c r="L154" s="185"/>
      <c r="M154" s="500"/>
      <c r="N154" s="1401" t="s">
        <v>4</v>
      </c>
    </row>
    <row r="155" spans="1:15">
      <c r="A155" s="828">
        <f t="shared" si="20"/>
        <v>17.460000000000072</v>
      </c>
      <c r="B155" s="1580" t="s">
        <v>1328</v>
      </c>
      <c r="C155" s="1580"/>
      <c r="D155" s="199">
        <v>2282452.75</v>
      </c>
      <c r="E155" s="506">
        <v>2217535.46</v>
      </c>
      <c r="F155" s="185">
        <f t="shared" si="23"/>
        <v>2249994.105</v>
      </c>
      <c r="G155" s="185"/>
      <c r="H155" s="185"/>
      <c r="I155" s="500"/>
      <c r="J155" s="185">
        <f t="shared" si="24"/>
        <v>2217535.46</v>
      </c>
      <c r="K155" s="185"/>
      <c r="L155" s="185"/>
      <c r="M155" s="500"/>
      <c r="N155" s="1401" t="s">
        <v>4</v>
      </c>
    </row>
    <row r="156" spans="1:15">
      <c r="A156" s="828">
        <f t="shared" si="20"/>
        <v>17.470000000000073</v>
      </c>
      <c r="B156" s="1580" t="s">
        <v>1329</v>
      </c>
      <c r="C156" s="1580"/>
      <c r="D156" s="199">
        <v>-1362502.5699999998</v>
      </c>
      <c r="E156" s="506">
        <v>-1155891.58</v>
      </c>
      <c r="F156" s="185">
        <f t="shared" si="23"/>
        <v>-1259197.075</v>
      </c>
      <c r="G156" s="185"/>
      <c r="H156" s="185"/>
      <c r="I156" s="500"/>
      <c r="J156" s="185">
        <f t="shared" si="24"/>
        <v>-1155891.58</v>
      </c>
      <c r="K156" s="185"/>
      <c r="L156" s="185"/>
      <c r="M156" s="500"/>
      <c r="N156" s="1401" t="s">
        <v>206</v>
      </c>
    </row>
    <row r="157" spans="1:15">
      <c r="A157" s="828">
        <f t="shared" si="20"/>
        <v>17.480000000000075</v>
      </c>
      <c r="B157" s="1580" t="s">
        <v>1330</v>
      </c>
      <c r="C157" s="1580"/>
      <c r="D157" s="199">
        <v>-284526.38</v>
      </c>
      <c r="E157" s="506">
        <v>-241380.56999999995</v>
      </c>
      <c r="F157" s="185">
        <f t="shared" si="23"/>
        <v>-262953.47499999998</v>
      </c>
      <c r="G157" s="185"/>
      <c r="H157" s="185"/>
      <c r="I157" s="500"/>
      <c r="J157" s="185">
        <f t="shared" si="24"/>
        <v>-241380.56999999995</v>
      </c>
      <c r="K157" s="185"/>
      <c r="L157" s="185"/>
      <c r="M157" s="500"/>
      <c r="N157" s="1401" t="s">
        <v>206</v>
      </c>
    </row>
    <row r="158" spans="1:15">
      <c r="A158" s="828">
        <f t="shared" si="20"/>
        <v>17.490000000000077</v>
      </c>
      <c r="B158" s="1580" t="s">
        <v>1331</v>
      </c>
      <c r="C158" s="1580"/>
      <c r="D158" s="199">
        <v>-243151881.02000001</v>
      </c>
      <c r="E158" s="506">
        <v>-244808262.38</v>
      </c>
      <c r="F158" s="185"/>
      <c r="G158" s="185"/>
      <c r="H158" s="185">
        <f>+SUM($D158:$E158)/2</f>
        <v>-243980071.69999999</v>
      </c>
      <c r="I158" s="500"/>
      <c r="J158" s="185"/>
      <c r="K158" s="185"/>
      <c r="L158" s="185">
        <f>+E158</f>
        <v>-244808262.38</v>
      </c>
      <c r="M158" s="500"/>
      <c r="N158" s="1401" t="s">
        <v>2</v>
      </c>
    </row>
    <row r="159" spans="1:15">
      <c r="A159" s="828">
        <f t="shared" si="20"/>
        <v>17.500000000000078</v>
      </c>
      <c r="B159" s="1580" t="s">
        <v>1332</v>
      </c>
      <c r="C159" s="1580"/>
      <c r="D159" s="199">
        <v>-48272428.049999997</v>
      </c>
      <c r="E159" s="506">
        <v>-48602878.630000003</v>
      </c>
      <c r="F159" s="185"/>
      <c r="G159" s="185"/>
      <c r="H159" s="185">
        <f>+SUM($D159:$E159)/2</f>
        <v>-48437653.340000004</v>
      </c>
      <c r="I159" s="500"/>
      <c r="J159" s="185"/>
      <c r="K159" s="185"/>
      <c r="L159" s="185">
        <f>+E159</f>
        <v>-48602878.630000003</v>
      </c>
      <c r="M159" s="500"/>
      <c r="N159" s="1401" t="s">
        <v>2</v>
      </c>
    </row>
    <row r="160" spans="1:15">
      <c r="A160" s="828">
        <f t="shared" si="20"/>
        <v>17.51000000000008</v>
      </c>
      <c r="B160" s="1580" t="s">
        <v>1333</v>
      </c>
      <c r="C160" s="1580"/>
      <c r="D160" s="199">
        <v>-47952785.020000003</v>
      </c>
      <c r="E160" s="506">
        <v>-43292884.710000001</v>
      </c>
      <c r="F160" s="185">
        <f>+SUM($D160:$E160)/2</f>
        <v>-45622834.865000002</v>
      </c>
      <c r="G160" s="185"/>
      <c r="H160" s="185"/>
      <c r="I160" s="500"/>
      <c r="J160" s="185">
        <f>+E160</f>
        <v>-43292884.710000001</v>
      </c>
      <c r="K160" s="185"/>
      <c r="L160" s="185"/>
      <c r="M160" s="500"/>
      <c r="N160" s="1401" t="s">
        <v>216</v>
      </c>
    </row>
    <row r="161" spans="1:15">
      <c r="A161" s="828">
        <f t="shared" si="20"/>
        <v>17.520000000000081</v>
      </c>
      <c r="B161" s="1580" t="s">
        <v>1334</v>
      </c>
      <c r="C161" s="1580"/>
      <c r="D161" s="199">
        <v>-9560281.6899999995</v>
      </c>
      <c r="E161" s="506">
        <v>-8628940.2699999996</v>
      </c>
      <c r="F161" s="185">
        <f>+SUM($D161:$E161)/2</f>
        <v>-9094610.9800000004</v>
      </c>
      <c r="G161" s="185"/>
      <c r="H161" s="185"/>
      <c r="I161" s="500"/>
      <c r="J161" s="185">
        <f>+E161</f>
        <v>-8628940.2699999996</v>
      </c>
      <c r="K161" s="185"/>
      <c r="L161" s="185"/>
      <c r="M161" s="500"/>
      <c r="N161" s="1401" t="s">
        <v>216</v>
      </c>
    </row>
    <row r="162" spans="1:15">
      <c r="A162" s="828">
        <f t="shared" si="20"/>
        <v>17.530000000000083</v>
      </c>
      <c r="B162" s="1580" t="s">
        <v>1335</v>
      </c>
      <c r="C162" s="1580"/>
      <c r="D162" s="199">
        <v>-108972514.77</v>
      </c>
      <c r="E162" s="506">
        <v>-115772744.04000001</v>
      </c>
      <c r="F162" s="185"/>
      <c r="G162" s="185"/>
      <c r="H162" s="185">
        <f>+SUM($D162:$E162)/2</f>
        <v>-112372629.405</v>
      </c>
      <c r="I162" s="500"/>
      <c r="J162" s="185"/>
      <c r="K162" s="185"/>
      <c r="L162" s="185">
        <f>+E162</f>
        <v>-115772744.04000001</v>
      </c>
      <c r="M162" s="500"/>
      <c r="N162" s="1401" t="s">
        <v>2</v>
      </c>
    </row>
    <row r="163" spans="1:15">
      <c r="A163" s="828">
        <f t="shared" si="20"/>
        <v>17.540000000000084</v>
      </c>
      <c r="B163" s="1580" t="s">
        <v>1336</v>
      </c>
      <c r="C163" s="1580"/>
      <c r="D163" s="199">
        <v>-21886473.23</v>
      </c>
      <c r="E163" s="506">
        <v>-23114401.48</v>
      </c>
      <c r="F163" s="185"/>
      <c r="G163" s="185"/>
      <c r="H163" s="185">
        <f>+SUM($D163:$E163)/2</f>
        <v>-22500437.355</v>
      </c>
      <c r="I163" s="500"/>
      <c r="J163" s="185"/>
      <c r="K163" s="185"/>
      <c r="L163" s="185">
        <f>+$E163</f>
        <v>-23114401.48</v>
      </c>
      <c r="M163" s="500"/>
      <c r="N163" s="1401" t="s">
        <v>2</v>
      </c>
    </row>
    <row r="164" spans="1:15">
      <c r="A164" s="828">
        <f t="shared" si="20"/>
        <v>17.550000000000086</v>
      </c>
      <c r="B164" s="1580" t="s">
        <v>1337</v>
      </c>
      <c r="C164" s="1580"/>
      <c r="D164" s="199">
        <v>-182105116.58000001</v>
      </c>
      <c r="E164" s="506">
        <v>-209600483.31999999</v>
      </c>
      <c r="F164" s="185">
        <f>+SUM($D164:$E164)/2</f>
        <v>-195852799.94999999</v>
      </c>
      <c r="G164" s="185"/>
      <c r="H164" s="185"/>
      <c r="I164" s="500"/>
      <c r="J164" s="185">
        <f>+E164</f>
        <v>-209600483.31999999</v>
      </c>
      <c r="K164" s="185"/>
      <c r="L164" s="185"/>
      <c r="M164" s="500"/>
      <c r="N164" s="1401" t="s">
        <v>206</v>
      </c>
    </row>
    <row r="165" spans="1:15">
      <c r="A165" s="828">
        <f t="shared" si="20"/>
        <v>17.560000000000088</v>
      </c>
      <c r="B165" s="1580" t="s">
        <v>1338</v>
      </c>
      <c r="C165" s="1580"/>
      <c r="D165" s="199">
        <v>-36706136.439999998</v>
      </c>
      <c r="E165" s="506">
        <v>-41631875.609999999</v>
      </c>
      <c r="F165" s="185">
        <f>+SUM($D165:$E165)/2</f>
        <v>-39169006.024999999</v>
      </c>
      <c r="G165" s="185"/>
      <c r="H165" s="185"/>
      <c r="I165" s="500"/>
      <c r="J165" s="185">
        <f>+E165</f>
        <v>-41631875.609999999</v>
      </c>
      <c r="K165" s="185"/>
      <c r="L165" s="185"/>
      <c r="M165" s="500"/>
      <c r="N165" s="1401" t="s">
        <v>206</v>
      </c>
    </row>
    <row r="166" spans="1:15">
      <c r="A166" s="828">
        <f t="shared" si="20"/>
        <v>17.570000000000089</v>
      </c>
      <c r="B166" s="1580" t="s">
        <v>1339</v>
      </c>
      <c r="C166" s="1580"/>
      <c r="D166" s="199">
        <v>-21615529.77</v>
      </c>
      <c r="E166" s="506">
        <v>-10183762.039999999</v>
      </c>
      <c r="F166" s="185">
        <f>+SUM($D166:$E166)/2</f>
        <v>-15899645.904999999</v>
      </c>
      <c r="G166" s="185"/>
      <c r="H166" s="185"/>
      <c r="I166" s="500"/>
      <c r="J166" s="185">
        <f>+E166</f>
        <v>-10183762.039999999</v>
      </c>
      <c r="K166" s="185"/>
      <c r="L166" s="185"/>
      <c r="M166" s="500"/>
      <c r="N166" s="1401" t="s">
        <v>206</v>
      </c>
      <c r="O166" s="44" t="s">
        <v>1138</v>
      </c>
    </row>
    <row r="167" spans="1:15">
      <c r="A167" s="828">
        <f t="shared" si="20"/>
        <v>17.580000000000091</v>
      </c>
      <c r="B167" s="1580" t="s">
        <v>1340</v>
      </c>
      <c r="C167" s="1580"/>
      <c r="D167" s="199">
        <v>-4828838.4400000004</v>
      </c>
      <c r="E167" s="506">
        <v>-2558274.04</v>
      </c>
      <c r="F167" s="185">
        <f>+SUM($D167:$E167)/2</f>
        <v>-3693556.24</v>
      </c>
      <c r="G167" s="185"/>
      <c r="H167" s="185"/>
      <c r="I167" s="500"/>
      <c r="J167" s="185">
        <f>+E167</f>
        <v>-2558274.04</v>
      </c>
      <c r="K167" s="185"/>
      <c r="L167" s="185"/>
      <c r="M167" s="500"/>
      <c r="N167" s="1401" t="s">
        <v>206</v>
      </c>
      <c r="O167" s="44" t="s">
        <v>1138</v>
      </c>
    </row>
    <row r="168" spans="1:15">
      <c r="A168" s="828">
        <f t="shared" si="20"/>
        <v>17.590000000000092</v>
      </c>
      <c r="B168" s="1580" t="s">
        <v>1341</v>
      </c>
      <c r="C168" s="1580"/>
      <c r="D168" s="199">
        <v>-8983175.9600000009</v>
      </c>
      <c r="E168" s="506">
        <v>-9925860.2799999993</v>
      </c>
      <c r="F168" s="185"/>
      <c r="G168" s="185">
        <f>+SUM($D168:$E168)/2</f>
        <v>-9454518.120000001</v>
      </c>
      <c r="H168" s="185"/>
      <c r="I168" s="500"/>
      <c r="J168" s="185"/>
      <c r="K168" s="185">
        <f>+$E168</f>
        <v>-9925860.2799999993</v>
      </c>
      <c r="L168" s="185"/>
      <c r="M168" s="500"/>
      <c r="N168" s="1401" t="s">
        <v>913</v>
      </c>
      <c r="O168" s="44" t="s">
        <v>1139</v>
      </c>
    </row>
    <row r="169" spans="1:15">
      <c r="A169" s="828">
        <f t="shared" si="20"/>
        <v>17.600000000000094</v>
      </c>
      <c r="B169" s="1580" t="s">
        <v>1342</v>
      </c>
      <c r="C169" s="1580"/>
      <c r="D169" s="199">
        <v>-1784282.4</v>
      </c>
      <c r="E169" s="506">
        <v>-1971522.87</v>
      </c>
      <c r="F169" s="185"/>
      <c r="G169" s="185">
        <f>+SUM($D169:$E169)/2</f>
        <v>-1877902.635</v>
      </c>
      <c r="H169" s="185"/>
      <c r="I169" s="500"/>
      <c r="J169" s="185"/>
      <c r="K169" s="185">
        <f>+$E169</f>
        <v>-1971522.87</v>
      </c>
      <c r="L169" s="185"/>
      <c r="M169" s="500"/>
      <c r="N169" s="1401" t="s">
        <v>913</v>
      </c>
      <c r="O169" s="44" t="s">
        <v>1139</v>
      </c>
    </row>
    <row r="170" spans="1:15">
      <c r="A170" s="828">
        <f t="shared" si="20"/>
        <v>17.610000000000095</v>
      </c>
      <c r="B170" s="1580" t="s">
        <v>1343</v>
      </c>
      <c r="C170" s="1580"/>
      <c r="D170" s="199">
        <v>2738072.24</v>
      </c>
      <c r="E170" s="506">
        <v>2761316.67</v>
      </c>
      <c r="F170" s="185"/>
      <c r="G170" s="185"/>
      <c r="H170" s="185">
        <f>+SUM($D170:$E170)/2</f>
        <v>2749694.4550000001</v>
      </c>
      <c r="I170" s="500"/>
      <c r="J170" s="185"/>
      <c r="K170" s="185"/>
      <c r="L170" s="185">
        <f>+E170</f>
        <v>2761316.67</v>
      </c>
      <c r="M170" s="500"/>
      <c r="N170" s="1401" t="s">
        <v>1</v>
      </c>
    </row>
    <row r="171" spans="1:15">
      <c r="A171" s="828">
        <f t="shared" si="20"/>
        <v>17.620000000000097</v>
      </c>
      <c r="B171" s="1580" t="s">
        <v>1344</v>
      </c>
      <c r="C171" s="1580"/>
      <c r="D171" s="199">
        <v>543849.34</v>
      </c>
      <c r="E171" s="506">
        <v>548466.26</v>
      </c>
      <c r="F171" s="187"/>
      <c r="G171" s="197"/>
      <c r="H171" s="156">
        <f>+SUM($D171:$E171)/2</f>
        <v>546157.80000000005</v>
      </c>
      <c r="I171" s="501"/>
      <c r="J171" s="187"/>
      <c r="K171" s="197"/>
      <c r="L171" s="156">
        <f>+E171</f>
        <v>548466.26</v>
      </c>
      <c r="M171" s="501"/>
      <c r="N171" s="749" t="s">
        <v>1</v>
      </c>
    </row>
    <row r="172" spans="1:15">
      <c r="A172" s="1376">
        <f t="shared" si="20"/>
        <v>17.630000000000098</v>
      </c>
      <c r="B172" s="198"/>
      <c r="C172" s="201" t="s">
        <v>969</v>
      </c>
      <c r="D172" s="199">
        <v>0</v>
      </c>
      <c r="E172" s="199">
        <v>0</v>
      </c>
      <c r="F172" s="1349"/>
      <c r="G172" s="200"/>
      <c r="H172" s="200"/>
      <c r="I172" s="506"/>
      <c r="J172" s="200"/>
      <c r="K172" s="200"/>
      <c r="L172" s="200"/>
      <c r="M172" s="506"/>
      <c r="N172" s="202"/>
    </row>
    <row r="173" spans="1:15">
      <c r="A173" s="1376" t="s">
        <v>960</v>
      </c>
      <c r="B173" s="198"/>
      <c r="C173" s="201" t="s">
        <v>969</v>
      </c>
      <c r="D173" s="199">
        <v>0</v>
      </c>
      <c r="E173" s="199">
        <v>0</v>
      </c>
      <c r="F173" s="1349"/>
      <c r="G173" s="200"/>
      <c r="H173" s="200"/>
      <c r="I173" s="506"/>
      <c r="J173" s="200"/>
      <c r="K173" s="200"/>
      <c r="L173" s="200"/>
      <c r="M173" s="506"/>
      <c r="N173" s="202"/>
    </row>
    <row r="174" spans="1:15">
      <c r="A174" s="1535" t="str">
        <f>+A109&amp;".xx"</f>
        <v>17.xx</v>
      </c>
      <c r="B174" s="201"/>
      <c r="C174" s="201" t="s">
        <v>969</v>
      </c>
      <c r="D174" s="204">
        <v>0</v>
      </c>
      <c r="E174" s="204">
        <v>0</v>
      </c>
      <c r="F174" s="1350"/>
      <c r="G174" s="1351"/>
      <c r="H174" s="1353"/>
      <c r="I174" s="1352"/>
      <c r="J174" s="204"/>
      <c r="K174" s="1351"/>
      <c r="L174" s="1353"/>
      <c r="M174" s="1352"/>
      <c r="N174" s="203"/>
    </row>
    <row r="175" spans="1:15" ht="13.8" thickBot="1">
      <c r="A175" s="827">
        <f>+A109+1</f>
        <v>18</v>
      </c>
      <c r="B175" s="799"/>
      <c r="C175" s="799"/>
      <c r="D175" s="241"/>
      <c r="E175" s="241"/>
      <c r="F175" s="819"/>
      <c r="G175" s="820"/>
      <c r="H175" s="820"/>
      <c r="I175" s="821"/>
      <c r="J175" s="819"/>
      <c r="K175" s="820"/>
      <c r="L175" s="820"/>
      <c r="M175" s="821"/>
      <c r="N175" s="44"/>
    </row>
    <row r="176" spans="1:15" s="43" customFormat="1" ht="14.4" thickBot="1">
      <c r="A176" s="827">
        <f t="shared" ref="A176:A181" si="25">+A175+1</f>
        <v>19</v>
      </c>
      <c r="B176" s="503" t="s">
        <v>555</v>
      </c>
      <c r="C176" s="504"/>
      <c r="D176" s="822">
        <f>SUM(D110:D174)</f>
        <v>-1723016436.8300002</v>
      </c>
      <c r="E176" s="822">
        <f>SUM(E110:E174)</f>
        <v>-1861826372.3799992</v>
      </c>
      <c r="F176" s="823">
        <f t="shared" ref="F176:M176" si="26">SUM(F110:F174)</f>
        <v>-358743846.44999993</v>
      </c>
      <c r="G176" s="282">
        <f t="shared" si="26"/>
        <v>-11332420.755000001</v>
      </c>
      <c r="H176" s="282">
        <f t="shared" si="26"/>
        <v>-1405197170.905</v>
      </c>
      <c r="I176" s="817">
        <f t="shared" si="26"/>
        <v>-17147966.495000001</v>
      </c>
      <c r="J176" s="823">
        <f t="shared" si="26"/>
        <v>-373856845.10000008</v>
      </c>
      <c r="K176" s="282">
        <f t="shared" si="26"/>
        <v>-11897383.149999999</v>
      </c>
      <c r="L176" s="282">
        <f t="shared" si="26"/>
        <v>-1459631777.6400001</v>
      </c>
      <c r="M176" s="817">
        <f t="shared" si="26"/>
        <v>-16440366.490000002</v>
      </c>
      <c r="N176" s="749" t="str">
        <f>+"Sum by Column of Line "&amp;A109&amp;" Subparts"</f>
        <v>Sum by Column of Line 17 Subparts</v>
      </c>
    </row>
    <row r="177" spans="1:24" s="1091" customFormat="1">
      <c r="A177" s="1787">
        <f>+A176+0.1</f>
        <v>19.100000000000001</v>
      </c>
      <c r="B177" s="75" t="s">
        <v>1540</v>
      </c>
      <c r="C177" s="45"/>
      <c r="D177" s="282">
        <f>+'WP06 ADIT Support'!D31</f>
        <v>0</v>
      </c>
      <c r="E177" s="282">
        <f>+'WP06 ADIT Support'!E31</f>
        <v>-6465716.8117499994</v>
      </c>
      <c r="F177" s="928"/>
      <c r="G177" s="282"/>
      <c r="H177" s="185">
        <f>+SUM($D177:$E177)/2</f>
        <v>-3232858.4058749997</v>
      </c>
      <c r="I177" s="817"/>
      <c r="J177" s="928"/>
      <c r="K177" s="282"/>
      <c r="L177" s="282">
        <f>+E177</f>
        <v>-6465716.8117499994</v>
      </c>
      <c r="M177" s="817"/>
      <c r="N177" s="1526" t="s">
        <v>1541</v>
      </c>
      <c r="O177" s="1991" t="s">
        <v>1545</v>
      </c>
      <c r="P177" s="43"/>
      <c r="Q177" s="43"/>
      <c r="R177" s="43"/>
      <c r="S177" s="43"/>
      <c r="T177" s="43"/>
      <c r="U177" s="43"/>
      <c r="V177" s="43"/>
      <c r="W177" s="43"/>
      <c r="X177" s="43"/>
    </row>
    <row r="178" spans="1:24" ht="15">
      <c r="A178" s="827">
        <f>+A176+1</f>
        <v>20</v>
      </c>
      <c r="B178" s="1901" t="s">
        <v>553</v>
      </c>
      <c r="C178" s="1901"/>
      <c r="D178" s="499">
        <f t="shared" ref="D178:M178" si="27">D160+D161</f>
        <v>-57513066.710000001</v>
      </c>
      <c r="E178" s="499">
        <f t="shared" si="27"/>
        <v>-51921824.980000004</v>
      </c>
      <c r="F178" s="507">
        <f t="shared" si="27"/>
        <v>-54717445.844999999</v>
      </c>
      <c r="G178" s="499">
        <f t="shared" si="27"/>
        <v>0</v>
      </c>
      <c r="H178" s="499">
        <f t="shared" si="27"/>
        <v>0</v>
      </c>
      <c r="I178" s="502">
        <f t="shared" si="27"/>
        <v>0</v>
      </c>
      <c r="J178" s="507">
        <f t="shared" si="27"/>
        <v>-51921824.980000004</v>
      </c>
      <c r="K178" s="499">
        <f t="shared" si="27"/>
        <v>0</v>
      </c>
      <c r="L178" s="499">
        <f t="shared" si="27"/>
        <v>0</v>
      </c>
      <c r="M178" s="502">
        <f t="shared" si="27"/>
        <v>0</v>
      </c>
      <c r="N178" s="45"/>
      <c r="O178" s="43" t="s">
        <v>1836</v>
      </c>
      <c r="P178" s="43"/>
      <c r="Q178" s="43"/>
      <c r="R178" s="43"/>
      <c r="S178" s="43"/>
      <c r="T178" s="43"/>
      <c r="U178" s="43"/>
      <c r="V178" s="43"/>
      <c r="W178" s="43"/>
      <c r="X178" s="43"/>
    </row>
    <row r="179" spans="1:24" s="1641" customFormat="1" ht="13.8">
      <c r="A179" s="827">
        <f t="shared" si="25"/>
        <v>21</v>
      </c>
      <c r="B179" s="1642" t="s">
        <v>1615</v>
      </c>
      <c r="C179" s="1640"/>
      <c r="D179" s="282">
        <f t="shared" ref="D179:M179" si="28">+D176+D177-D178</f>
        <v>-1665503370.1200001</v>
      </c>
      <c r="E179" s="282">
        <f t="shared" si="28"/>
        <v>-1816370264.2117491</v>
      </c>
      <c r="F179" s="928">
        <f t="shared" si="28"/>
        <v>-304026400.6049999</v>
      </c>
      <c r="G179" s="282">
        <f t="shared" si="28"/>
        <v>-11332420.755000001</v>
      </c>
      <c r="H179" s="282">
        <f t="shared" si="28"/>
        <v>-1408430029.3108749</v>
      </c>
      <c r="I179" s="817">
        <f t="shared" si="28"/>
        <v>-17147966.495000001</v>
      </c>
      <c r="J179" s="928">
        <f t="shared" si="28"/>
        <v>-321935020.12000006</v>
      </c>
      <c r="K179" s="282">
        <f t="shared" si="28"/>
        <v>-11897383.149999999</v>
      </c>
      <c r="L179" s="282">
        <f t="shared" si="28"/>
        <v>-1466097494.45175</v>
      </c>
      <c r="M179" s="817">
        <f t="shared" si="28"/>
        <v>-16440366.490000002</v>
      </c>
      <c r="N179" s="1643" t="str">
        <f>+"Ln "&amp;A176&amp;" Plus Ln "&amp;A177&amp;" Less Ln "&amp;A178</f>
        <v>Ln 19 Plus Ln 19.1 Less Ln 20</v>
      </c>
      <c r="O179" s="1991" t="s">
        <v>1546</v>
      </c>
      <c r="P179" s="43"/>
      <c r="Q179" s="43"/>
      <c r="R179" s="43"/>
      <c r="S179" s="43"/>
      <c r="T179" s="43"/>
      <c r="U179" s="43"/>
      <c r="V179" s="43"/>
      <c r="W179" s="43"/>
      <c r="X179" s="43"/>
    </row>
    <row r="180" spans="1:24">
      <c r="A180" s="827">
        <f t="shared" si="25"/>
        <v>22</v>
      </c>
      <c r="B180" s="824"/>
      <c r="C180" s="824"/>
      <c r="D180" s="824"/>
      <c r="E180" s="171"/>
      <c r="F180" s="509"/>
      <c r="G180" s="509"/>
      <c r="H180" s="509"/>
      <c r="I180" s="509"/>
      <c r="J180" s="241"/>
      <c r="K180" s="45"/>
      <c r="L180" s="825"/>
      <c r="M180" s="509"/>
      <c r="N180" s="749"/>
      <c r="O180" s="43"/>
      <c r="P180" s="43"/>
      <c r="Q180" s="43"/>
      <c r="R180" s="43"/>
      <c r="S180" s="43"/>
      <c r="T180" s="43"/>
      <c r="U180" s="43"/>
      <c r="V180" s="43"/>
      <c r="W180" s="43"/>
      <c r="X180" s="43"/>
    </row>
    <row r="181" spans="1:24" ht="16.8">
      <c r="A181" s="827">
        <f t="shared" si="25"/>
        <v>23</v>
      </c>
      <c r="B181" s="75" t="s">
        <v>804</v>
      </c>
      <c r="C181" s="219"/>
      <c r="D181" s="219"/>
      <c r="E181" s="165"/>
      <c r="F181" s="1904" t="str">
        <f>F8</f>
        <v>Average of BOY/EOY (Col (C+D)/2)</v>
      </c>
      <c r="G181" s="1897"/>
      <c r="H181" s="1897"/>
      <c r="I181" s="1898"/>
      <c r="J181" s="1904" t="str">
        <f>J8</f>
        <v>EOY (Col D)</v>
      </c>
      <c r="K181" s="1897"/>
      <c r="L181" s="1897"/>
      <c r="M181" s="1898"/>
      <c r="N181" s="798" t="s">
        <v>54</v>
      </c>
    </row>
    <row r="182" spans="1:24">
      <c r="A182" s="828">
        <f t="shared" ref="A182:A216" si="29">+A181+0.01</f>
        <v>23.01</v>
      </c>
      <c r="B182" s="1580" t="s">
        <v>1345</v>
      </c>
      <c r="C182" s="1580"/>
      <c r="D182" s="199">
        <v>-26684267.18</v>
      </c>
      <c r="E182" s="199">
        <v>-22883048.16</v>
      </c>
      <c r="F182" s="1291">
        <f t="shared" ref="F182:F191" si="30">+SUM($D182:$E182)/2</f>
        <v>-24783657.670000002</v>
      </c>
      <c r="G182" s="197"/>
      <c r="H182" s="197"/>
      <c r="I182" s="501"/>
      <c r="J182" s="1291">
        <f t="shared" ref="J182:J191" si="31">+E182</f>
        <v>-22883048.16</v>
      </c>
      <c r="K182" s="197"/>
      <c r="L182" s="197"/>
      <c r="M182" s="501"/>
      <c r="N182" s="1401" t="s">
        <v>315</v>
      </c>
    </row>
    <row r="183" spans="1:24">
      <c r="A183" s="828">
        <f t="shared" si="29"/>
        <v>23.020000000000003</v>
      </c>
      <c r="B183" s="1580" t="s">
        <v>1346</v>
      </c>
      <c r="C183" s="1580"/>
      <c r="D183" s="199">
        <v>-5300160.0199999996</v>
      </c>
      <c r="E183" s="199">
        <v>-4545143.26</v>
      </c>
      <c r="F183" s="1291">
        <f t="shared" si="30"/>
        <v>-4922651.6399999997</v>
      </c>
      <c r="G183" s="187"/>
      <c r="H183" s="187"/>
      <c r="I183" s="501"/>
      <c r="J183" s="1291">
        <f t="shared" si="31"/>
        <v>-4545143.26</v>
      </c>
      <c r="K183" s="197"/>
      <c r="L183" s="197"/>
      <c r="M183" s="501"/>
      <c r="N183" s="1401" t="s">
        <v>315</v>
      </c>
    </row>
    <row r="184" spans="1:24">
      <c r="A184" s="828">
        <f t="shared" si="29"/>
        <v>23.030000000000005</v>
      </c>
      <c r="B184" s="1580" t="s">
        <v>1347</v>
      </c>
      <c r="C184" s="1580"/>
      <c r="D184" s="199">
        <v>-5726716.1900000004</v>
      </c>
      <c r="E184" s="199">
        <v>-3632010.22</v>
      </c>
      <c r="F184" s="1291"/>
      <c r="G184" s="187">
        <f>+SUM($D184:$E184)/2</f>
        <v>-4679363.2050000001</v>
      </c>
      <c r="H184" s="187"/>
      <c r="I184" s="501"/>
      <c r="J184" s="1291"/>
      <c r="K184" s="156">
        <f>+E184</f>
        <v>-3632010.22</v>
      </c>
      <c r="L184" s="197"/>
      <c r="M184" s="501"/>
      <c r="N184" s="1401" t="s">
        <v>314</v>
      </c>
      <c r="O184" s="44" t="s">
        <v>1138</v>
      </c>
    </row>
    <row r="185" spans="1:24">
      <c r="A185" s="828">
        <f t="shared" si="29"/>
        <v>23.040000000000006</v>
      </c>
      <c r="B185" s="1580" t="s">
        <v>1348</v>
      </c>
      <c r="C185" s="1580"/>
      <c r="D185" s="199">
        <v>-1137468.46</v>
      </c>
      <c r="E185" s="199">
        <v>-721407.69</v>
      </c>
      <c r="F185" s="1291"/>
      <c r="G185" s="187">
        <f>+SUM($D185:$E185)/2</f>
        <v>-929438.07499999995</v>
      </c>
      <c r="H185" s="187"/>
      <c r="I185" s="501"/>
      <c r="J185" s="1291"/>
      <c r="K185" s="156">
        <f>+E185</f>
        <v>-721407.69</v>
      </c>
      <c r="L185" s="197"/>
      <c r="M185" s="501"/>
      <c r="N185" s="1401" t="s">
        <v>314</v>
      </c>
      <c r="O185" s="44" t="s">
        <v>1138</v>
      </c>
    </row>
    <row r="186" spans="1:24">
      <c r="A186" s="828">
        <f t="shared" si="29"/>
        <v>23.050000000000008</v>
      </c>
      <c r="B186" s="1580" t="s">
        <v>1349</v>
      </c>
      <c r="C186" s="1580"/>
      <c r="D186" s="199">
        <v>-512728.75</v>
      </c>
      <c r="E186" s="199">
        <v>-19315966.77</v>
      </c>
      <c r="F186" s="1291">
        <f t="shared" si="30"/>
        <v>-9914347.7599999998</v>
      </c>
      <c r="G186" s="187"/>
      <c r="H186" s="187"/>
      <c r="I186" s="501"/>
      <c r="J186" s="1290">
        <f t="shared" si="31"/>
        <v>-19315966.77</v>
      </c>
      <c r="K186" s="197"/>
      <c r="L186" s="197"/>
      <c r="M186" s="501"/>
      <c r="N186" s="1401" t="s">
        <v>5</v>
      </c>
    </row>
    <row r="187" spans="1:24">
      <c r="A187" s="828">
        <f t="shared" si="29"/>
        <v>23.060000000000009</v>
      </c>
      <c r="B187" s="1580" t="s">
        <v>1350</v>
      </c>
      <c r="C187" s="1580"/>
      <c r="D187" s="199">
        <v>-101840.7</v>
      </c>
      <c r="E187" s="199">
        <v>-3836632.06</v>
      </c>
      <c r="F187" s="1291">
        <f t="shared" si="30"/>
        <v>-1969236.3800000001</v>
      </c>
      <c r="G187" s="187"/>
      <c r="H187" s="187"/>
      <c r="I187" s="501"/>
      <c r="J187" s="1290">
        <f t="shared" si="31"/>
        <v>-3836632.06</v>
      </c>
      <c r="K187" s="197"/>
      <c r="L187" s="197"/>
      <c r="M187" s="501"/>
      <c r="N187" s="1401" t="s">
        <v>5</v>
      </c>
    </row>
    <row r="188" spans="1:24">
      <c r="A188" s="828">
        <f t="shared" si="29"/>
        <v>23.070000000000011</v>
      </c>
      <c r="B188" s="1580" t="s">
        <v>1351</v>
      </c>
      <c r="C188" s="1580"/>
      <c r="D188" s="199">
        <v>-22198812.449999999</v>
      </c>
      <c r="E188" s="199">
        <v>-26609749.27</v>
      </c>
      <c r="F188" s="1291">
        <f t="shared" si="30"/>
        <v>-24404280.859999999</v>
      </c>
      <c r="G188" s="187"/>
      <c r="H188" s="187"/>
      <c r="I188" s="501"/>
      <c r="J188" s="1290">
        <f t="shared" si="31"/>
        <v>-26609749.27</v>
      </c>
      <c r="K188" s="197"/>
      <c r="L188" s="197"/>
      <c r="M188" s="501"/>
      <c r="N188" s="1401" t="s">
        <v>5</v>
      </c>
    </row>
    <row r="189" spans="1:24">
      <c r="A189" s="828">
        <f t="shared" si="29"/>
        <v>23.080000000000013</v>
      </c>
      <c r="B189" s="1580" t="s">
        <v>1352</v>
      </c>
      <c r="C189" s="1580"/>
      <c r="D189" s="199">
        <v>-4409237</v>
      </c>
      <c r="E189" s="199">
        <v>-5285358.91</v>
      </c>
      <c r="F189" s="1291">
        <f t="shared" si="30"/>
        <v>-4847297.9550000001</v>
      </c>
      <c r="G189" s="187"/>
      <c r="H189" s="187"/>
      <c r="I189" s="501"/>
      <c r="J189" s="1290">
        <f t="shared" si="31"/>
        <v>-5285358.91</v>
      </c>
      <c r="K189" s="197"/>
      <c r="L189" s="197"/>
      <c r="M189" s="501"/>
      <c r="N189" s="1401" t="s">
        <v>5</v>
      </c>
    </row>
    <row r="190" spans="1:24">
      <c r="A190" s="828">
        <f t="shared" si="29"/>
        <v>23.090000000000014</v>
      </c>
      <c r="B190" s="1580" t="s">
        <v>1353</v>
      </c>
      <c r="C190" s="1580"/>
      <c r="D190" s="199">
        <v>-241514218.07999998</v>
      </c>
      <c r="E190" s="199">
        <v>-248510480.13999999</v>
      </c>
      <c r="F190" s="1291">
        <f t="shared" si="30"/>
        <v>-245012349.10999998</v>
      </c>
      <c r="G190" s="187"/>
      <c r="H190" s="187"/>
      <c r="I190" s="501"/>
      <c r="J190" s="1290">
        <f t="shared" si="31"/>
        <v>-248510480.13999999</v>
      </c>
      <c r="K190" s="197"/>
      <c r="L190" s="197"/>
      <c r="M190" s="501"/>
      <c r="N190" s="1401" t="s">
        <v>205</v>
      </c>
    </row>
    <row r="191" spans="1:24">
      <c r="A191" s="828">
        <f t="shared" si="29"/>
        <v>23.100000000000016</v>
      </c>
      <c r="B191" s="1580" t="s">
        <v>1354</v>
      </c>
      <c r="C191" s="1580"/>
      <c r="D191" s="199">
        <v>-47970738.5</v>
      </c>
      <c r="E191" s="199">
        <v>-49360370.329999998</v>
      </c>
      <c r="F191" s="1291">
        <f t="shared" si="30"/>
        <v>-48665554.414999999</v>
      </c>
      <c r="G191" s="187"/>
      <c r="H191" s="187"/>
      <c r="I191" s="501"/>
      <c r="J191" s="1290">
        <f t="shared" si="31"/>
        <v>-49360370.329999998</v>
      </c>
      <c r="K191" s="197"/>
      <c r="L191" s="197"/>
      <c r="M191" s="501"/>
      <c r="N191" s="1401" t="s">
        <v>205</v>
      </c>
    </row>
    <row r="192" spans="1:24">
      <c r="A192" s="828">
        <f t="shared" si="29"/>
        <v>23.110000000000017</v>
      </c>
      <c r="B192" s="1580" t="s">
        <v>1355</v>
      </c>
      <c r="C192" s="1580"/>
      <c r="D192" s="199">
        <v>-7517755.3899999997</v>
      </c>
      <c r="E192" s="199">
        <v>-9039772.75</v>
      </c>
      <c r="F192" s="1291"/>
      <c r="G192" s="187"/>
      <c r="H192" s="187">
        <f>+SUM($D192:$E192)/2</f>
        <v>-8278764.0700000003</v>
      </c>
      <c r="I192" s="501"/>
      <c r="J192" s="1290"/>
      <c r="K192" s="197"/>
      <c r="L192" s="187">
        <f>+E192</f>
        <v>-9039772.75</v>
      </c>
      <c r="M192" s="501"/>
      <c r="N192" s="1401" t="s">
        <v>289</v>
      </c>
    </row>
    <row r="193" spans="1:15">
      <c r="A193" s="828">
        <f t="shared" si="29"/>
        <v>23.120000000000019</v>
      </c>
      <c r="B193" s="1580" t="s">
        <v>1356</v>
      </c>
      <c r="C193" s="1580"/>
      <c r="D193" s="199">
        <v>-1493213.45</v>
      </c>
      <c r="E193" s="199">
        <v>-1795524</v>
      </c>
      <c r="F193" s="1291"/>
      <c r="G193" s="187"/>
      <c r="H193" s="187">
        <f>+SUM($D193:$E193)/2</f>
        <v>-1644368.7250000001</v>
      </c>
      <c r="I193" s="501"/>
      <c r="J193" s="1290"/>
      <c r="K193" s="197"/>
      <c r="L193" s="187">
        <f>+E193</f>
        <v>-1795524</v>
      </c>
      <c r="M193" s="501"/>
      <c r="N193" s="1401" t="s">
        <v>289</v>
      </c>
    </row>
    <row r="194" spans="1:15">
      <c r="A194" s="828">
        <f t="shared" si="29"/>
        <v>23.13000000000002</v>
      </c>
      <c r="B194" s="1580" t="s">
        <v>1357</v>
      </c>
      <c r="C194" s="1580"/>
      <c r="D194" s="199">
        <v>-1067282.6800000002</v>
      </c>
      <c r="E194" s="199">
        <v>12297901.85</v>
      </c>
      <c r="F194" s="1291">
        <f>+SUM($D194:$E194)/2</f>
        <v>5615309.585</v>
      </c>
      <c r="G194" s="187"/>
      <c r="H194" s="187"/>
      <c r="I194" s="501"/>
      <c r="J194" s="1290">
        <f>+E194</f>
        <v>12297901.85</v>
      </c>
      <c r="K194" s="197"/>
      <c r="L194" s="197"/>
      <c r="M194" s="501"/>
      <c r="N194" s="1401" t="s">
        <v>6</v>
      </c>
    </row>
    <row r="195" spans="1:15">
      <c r="A195" s="828">
        <f t="shared" si="29"/>
        <v>23.140000000000022</v>
      </c>
      <c r="B195" s="1580" t="s">
        <v>1358</v>
      </c>
      <c r="C195" s="1580"/>
      <c r="D195" s="199">
        <v>-211988.93000000005</v>
      </c>
      <c r="E195" s="199">
        <v>2442669.5699999998</v>
      </c>
      <c r="F195" s="1291">
        <f>+SUM($D195:$E195)/2</f>
        <v>1115340.3199999998</v>
      </c>
      <c r="G195" s="187"/>
      <c r="H195" s="187"/>
      <c r="I195" s="501"/>
      <c r="J195" s="1290">
        <f>+E195</f>
        <v>2442669.5699999998</v>
      </c>
      <c r="K195" s="197"/>
      <c r="L195" s="197"/>
      <c r="M195" s="501"/>
      <c r="N195" s="1401" t="s">
        <v>6</v>
      </c>
    </row>
    <row r="196" spans="1:15">
      <c r="A196" s="828">
        <f t="shared" si="29"/>
        <v>23.150000000000023</v>
      </c>
      <c r="B196" s="1580" t="s">
        <v>1359</v>
      </c>
      <c r="C196" s="1580"/>
      <c r="D196" s="199">
        <v>-6042144.3799999999</v>
      </c>
      <c r="E196" s="199">
        <v>-5370794.9299999997</v>
      </c>
      <c r="F196" s="1291"/>
      <c r="G196" s="187">
        <f>+SUM($D196:$E196)/2</f>
        <v>-5706469.6549999993</v>
      </c>
      <c r="H196" s="187"/>
      <c r="I196" s="501"/>
      <c r="J196" s="1291"/>
      <c r="K196" s="156">
        <f>+E196</f>
        <v>-5370794.9299999997</v>
      </c>
      <c r="L196" s="197"/>
      <c r="M196" s="501"/>
      <c r="N196" s="1401" t="s">
        <v>8</v>
      </c>
    </row>
    <row r="197" spans="1:15">
      <c r="A197" s="828">
        <f t="shared" si="29"/>
        <v>23.160000000000025</v>
      </c>
      <c r="B197" s="1580" t="s">
        <v>1360</v>
      </c>
      <c r="C197" s="1580"/>
      <c r="D197" s="199">
        <v>-1200120.3500000001</v>
      </c>
      <c r="E197" s="199">
        <v>-1066773.6299999999</v>
      </c>
      <c r="F197" s="1291"/>
      <c r="G197" s="187">
        <f>+SUM($D197:$E197)/2</f>
        <v>-1133446.99</v>
      </c>
      <c r="H197" s="187"/>
      <c r="I197" s="501"/>
      <c r="J197" s="1291"/>
      <c r="K197" s="156">
        <f>+E197</f>
        <v>-1066773.6299999999</v>
      </c>
      <c r="L197" s="197"/>
      <c r="M197" s="501"/>
      <c r="N197" s="1401" t="s">
        <v>8</v>
      </c>
    </row>
    <row r="198" spans="1:15">
      <c r="A198" s="828">
        <f t="shared" si="29"/>
        <v>23.170000000000027</v>
      </c>
      <c r="B198" s="1580" t="s">
        <v>1361</v>
      </c>
      <c r="C198" s="1580"/>
      <c r="D198" s="199">
        <v>-3399864.57</v>
      </c>
      <c r="E198" s="199">
        <v>-2302553.81</v>
      </c>
      <c r="F198" s="1291">
        <f t="shared" ref="F198:F207" si="32">+SUM($D198:$E198)/2</f>
        <v>-2851209.19</v>
      </c>
      <c r="G198" s="187"/>
      <c r="H198" s="187"/>
      <c r="I198" s="501"/>
      <c r="J198" s="1291">
        <f t="shared" ref="J198:J207" si="33">+E198</f>
        <v>-2302553.81</v>
      </c>
      <c r="K198" s="197"/>
      <c r="L198" s="197"/>
      <c r="M198" s="501"/>
      <c r="N198" s="1401" t="s">
        <v>313</v>
      </c>
      <c r="O198" s="44" t="s">
        <v>1138</v>
      </c>
    </row>
    <row r="199" spans="1:15">
      <c r="A199" s="828">
        <f t="shared" si="29"/>
        <v>23.180000000000028</v>
      </c>
      <c r="B199" s="1580" t="s">
        <v>1362</v>
      </c>
      <c r="C199" s="1580"/>
      <c r="D199" s="199">
        <v>-675297.78</v>
      </c>
      <c r="E199" s="199">
        <v>-457344.53</v>
      </c>
      <c r="F199" s="1291">
        <f t="shared" si="32"/>
        <v>-566321.15500000003</v>
      </c>
      <c r="G199" s="187"/>
      <c r="H199" s="187"/>
      <c r="I199" s="501"/>
      <c r="J199" s="1291">
        <f t="shared" si="33"/>
        <v>-457344.53</v>
      </c>
      <c r="K199" s="197"/>
      <c r="L199" s="197"/>
      <c r="M199" s="501"/>
      <c r="N199" s="1401" t="s">
        <v>313</v>
      </c>
      <c r="O199" s="44" t="s">
        <v>1138</v>
      </c>
    </row>
    <row r="200" spans="1:15">
      <c r="A200" s="828">
        <f t="shared" si="29"/>
        <v>23.19000000000003</v>
      </c>
      <c r="B200" s="1580" t="s">
        <v>1363</v>
      </c>
      <c r="C200" s="1580"/>
      <c r="D200" s="1558">
        <v>-2552283.91</v>
      </c>
      <c r="E200" s="1558">
        <v>-2410490.35</v>
      </c>
      <c r="F200" s="1559">
        <f t="shared" si="32"/>
        <v>-2481387.13</v>
      </c>
      <c r="G200" s="1560"/>
      <c r="H200" s="1560"/>
      <c r="I200" s="1561"/>
      <c r="J200" s="1562">
        <f t="shared" si="33"/>
        <v>-2410490.35</v>
      </c>
      <c r="K200" s="1560"/>
      <c r="L200" s="881"/>
      <c r="M200" s="1561"/>
      <c r="N200" s="1557" t="s">
        <v>1140</v>
      </c>
      <c r="O200" s="44" t="s">
        <v>1138</v>
      </c>
    </row>
    <row r="201" spans="1:15">
      <c r="A201" s="828">
        <f t="shared" si="29"/>
        <v>23.200000000000031</v>
      </c>
      <c r="B201" s="1580" t="s">
        <v>1364</v>
      </c>
      <c r="C201" s="1580"/>
      <c r="D201" s="1558">
        <v>-506947.15</v>
      </c>
      <c r="E201" s="1558">
        <v>-478783.42</v>
      </c>
      <c r="F201" s="1559">
        <f t="shared" si="32"/>
        <v>-492865.28500000003</v>
      </c>
      <c r="G201" s="1560"/>
      <c r="H201" s="1560"/>
      <c r="I201" s="1561"/>
      <c r="J201" s="1562">
        <f t="shared" si="33"/>
        <v>-478783.42</v>
      </c>
      <c r="K201" s="1560"/>
      <c r="L201" s="881"/>
      <c r="M201" s="1561"/>
      <c r="N201" s="1557" t="s">
        <v>1140</v>
      </c>
      <c r="O201" s="44" t="s">
        <v>1138</v>
      </c>
    </row>
    <row r="202" spans="1:15">
      <c r="A202" s="828">
        <f t="shared" si="29"/>
        <v>23.210000000000033</v>
      </c>
      <c r="B202" s="1580" t="s">
        <v>1365</v>
      </c>
      <c r="C202" s="1580"/>
      <c r="D202" s="199">
        <v>0</v>
      </c>
      <c r="E202" s="199">
        <v>-248278.03000000119</v>
      </c>
      <c r="F202" s="1291">
        <f t="shared" si="32"/>
        <v>-124139.0150000006</v>
      </c>
      <c r="G202" s="187"/>
      <c r="H202" s="187"/>
      <c r="I202" s="500"/>
      <c r="J202" s="1290">
        <f t="shared" si="33"/>
        <v>-248278.03000000119</v>
      </c>
      <c r="K202" s="187"/>
      <c r="L202" s="197"/>
      <c r="M202" s="500"/>
      <c r="N202" s="1401" t="s">
        <v>210</v>
      </c>
    </row>
    <row r="203" spans="1:15">
      <c r="A203" s="828">
        <f t="shared" si="29"/>
        <v>23.220000000000034</v>
      </c>
      <c r="B203" s="1580" t="s">
        <v>1366</v>
      </c>
      <c r="C203" s="1580"/>
      <c r="D203" s="199">
        <v>1.0000000242143869E-2</v>
      </c>
      <c r="E203" s="199">
        <v>-49314.189999999944</v>
      </c>
      <c r="F203" s="1291">
        <f t="shared" si="32"/>
        <v>-24657.089999999851</v>
      </c>
      <c r="G203" s="187"/>
      <c r="H203" s="187"/>
      <c r="I203" s="500"/>
      <c r="J203" s="1290">
        <f t="shared" si="33"/>
        <v>-49314.189999999944</v>
      </c>
      <c r="K203" s="187"/>
      <c r="L203" s="197"/>
      <c r="M203" s="500"/>
      <c r="N203" s="1401" t="s">
        <v>210</v>
      </c>
    </row>
    <row r="204" spans="1:15">
      <c r="A204" s="828">
        <f t="shared" si="29"/>
        <v>23.230000000000036</v>
      </c>
      <c r="B204" s="1580" t="s">
        <v>1367</v>
      </c>
      <c r="C204" s="1580"/>
      <c r="D204" s="199">
        <v>-3887780.17</v>
      </c>
      <c r="E204" s="199">
        <v>-3364696.51</v>
      </c>
      <c r="F204" s="1291">
        <f t="shared" si="32"/>
        <v>-3626238.34</v>
      </c>
      <c r="G204" s="187"/>
      <c r="H204" s="187"/>
      <c r="I204" s="501"/>
      <c r="J204" s="1290">
        <f t="shared" si="33"/>
        <v>-3364696.51</v>
      </c>
      <c r="K204" s="187"/>
      <c r="L204" s="197"/>
      <c r="M204" s="501"/>
      <c r="N204" s="1401" t="s">
        <v>7</v>
      </c>
    </row>
    <row r="205" spans="1:15">
      <c r="A205" s="828">
        <f t="shared" si="29"/>
        <v>23.240000000000038</v>
      </c>
      <c r="B205" s="1580" t="s">
        <v>1368</v>
      </c>
      <c r="C205" s="1580"/>
      <c r="D205" s="199">
        <v>-772209.96</v>
      </c>
      <c r="E205" s="199">
        <v>-668312.51</v>
      </c>
      <c r="F205" s="1291">
        <f t="shared" si="32"/>
        <v>-720261.23499999999</v>
      </c>
      <c r="G205" s="187"/>
      <c r="H205" s="187"/>
      <c r="I205" s="501"/>
      <c r="J205" s="1290">
        <f t="shared" si="33"/>
        <v>-668312.51</v>
      </c>
      <c r="K205" s="187"/>
      <c r="L205" s="197"/>
      <c r="M205" s="501"/>
      <c r="N205" s="1401" t="s">
        <v>7</v>
      </c>
    </row>
    <row r="206" spans="1:15">
      <c r="A206" s="828">
        <f t="shared" si="29"/>
        <v>23.250000000000039</v>
      </c>
      <c r="B206" s="1580" t="s">
        <v>1369</v>
      </c>
      <c r="C206" s="1580"/>
      <c r="D206" s="199">
        <v>-2757578.65</v>
      </c>
      <c r="E206" s="199">
        <v>-2585230.4700000002</v>
      </c>
      <c r="F206" s="1291">
        <f t="shared" si="32"/>
        <v>-2671404.56</v>
      </c>
      <c r="G206" s="187"/>
      <c r="H206" s="187"/>
      <c r="I206" s="501"/>
      <c r="J206" s="1290">
        <f t="shared" si="33"/>
        <v>-2585230.4700000002</v>
      </c>
      <c r="K206" s="197"/>
      <c r="L206" s="197"/>
      <c r="M206" s="501"/>
      <c r="N206" s="1401" t="s">
        <v>9</v>
      </c>
    </row>
    <row r="207" spans="1:15">
      <c r="A207" s="828">
        <f t="shared" si="29"/>
        <v>23.260000000000041</v>
      </c>
      <c r="B207" s="1580" t="s">
        <v>1370</v>
      </c>
      <c r="C207" s="1580"/>
      <c r="D207" s="199">
        <v>-547723.80000000005</v>
      </c>
      <c r="E207" s="199">
        <v>-513491.16</v>
      </c>
      <c r="F207" s="1291">
        <f t="shared" si="32"/>
        <v>-530607.48</v>
      </c>
      <c r="G207" s="187"/>
      <c r="H207" s="187"/>
      <c r="I207" s="501"/>
      <c r="J207" s="1290">
        <f t="shared" si="33"/>
        <v>-513491.16</v>
      </c>
      <c r="K207" s="197"/>
      <c r="L207" s="197"/>
      <c r="M207" s="501"/>
      <c r="N207" s="1401" t="s">
        <v>9</v>
      </c>
    </row>
    <row r="208" spans="1:15">
      <c r="A208" s="828">
        <f t="shared" si="29"/>
        <v>23.270000000000042</v>
      </c>
      <c r="B208" s="1580" t="s">
        <v>1371</v>
      </c>
      <c r="C208" s="1580"/>
      <c r="D208" s="199">
        <v>-1863716.92</v>
      </c>
      <c r="E208" s="199">
        <v>-1967400.1</v>
      </c>
      <c r="F208" s="1291"/>
      <c r="G208" s="187"/>
      <c r="H208" s="187">
        <f>+SUM($D208:$E208)/2</f>
        <v>-1915558.51</v>
      </c>
      <c r="I208" s="500"/>
      <c r="J208" s="1291"/>
      <c r="K208" s="197"/>
      <c r="L208" s="187">
        <f>+E208</f>
        <v>-1967400.1</v>
      </c>
      <c r="M208" s="500"/>
      <c r="N208" s="1525" t="s">
        <v>10</v>
      </c>
    </row>
    <row r="209" spans="1:18">
      <c r="A209" s="828">
        <f t="shared" si="29"/>
        <v>23.280000000000044</v>
      </c>
      <c r="B209" s="1580" t="s">
        <v>1372</v>
      </c>
      <c r="C209" s="1580"/>
      <c r="D209" s="199">
        <v>-370180.6</v>
      </c>
      <c r="E209" s="199">
        <v>-390774.66</v>
      </c>
      <c r="F209" s="1291"/>
      <c r="G209" s="187"/>
      <c r="H209" s="187">
        <f>+SUM($D209:$E209)/2</f>
        <v>-380477.63</v>
      </c>
      <c r="I209" s="500"/>
      <c r="J209" s="1291"/>
      <c r="K209" s="197"/>
      <c r="L209" s="187">
        <f>+E209</f>
        <v>-390774.66</v>
      </c>
      <c r="M209" s="500"/>
      <c r="N209" s="1525" t="s">
        <v>10</v>
      </c>
    </row>
    <row r="210" spans="1:18">
      <c r="A210" s="828">
        <f t="shared" si="29"/>
        <v>23.290000000000045</v>
      </c>
      <c r="B210" s="1585" t="s">
        <v>1373</v>
      </c>
      <c r="C210" s="1585"/>
      <c r="D210" s="199">
        <v>0</v>
      </c>
      <c r="E210" s="199">
        <v>0</v>
      </c>
      <c r="F210" s="1291">
        <f t="shared" ref="F210:F218" si="34">+SUM($D210:$E210)/2</f>
        <v>0</v>
      </c>
      <c r="G210" s="187"/>
      <c r="H210" s="187"/>
      <c r="I210" s="500"/>
      <c r="J210" s="1290">
        <f t="shared" ref="J210:J218" si="35">+E210</f>
        <v>0</v>
      </c>
      <c r="K210" s="197"/>
      <c r="L210" s="197"/>
      <c r="M210" s="500"/>
      <c r="N210" s="1401" t="s">
        <v>200</v>
      </c>
    </row>
    <row r="211" spans="1:18">
      <c r="A211" s="828">
        <f t="shared" si="29"/>
        <v>23.300000000000047</v>
      </c>
      <c r="B211" s="1585" t="s">
        <v>1374</v>
      </c>
      <c r="C211" s="1585"/>
      <c r="D211" s="199">
        <v>0</v>
      </c>
      <c r="E211" s="199">
        <v>0</v>
      </c>
      <c r="F211" s="1291">
        <f t="shared" si="34"/>
        <v>0</v>
      </c>
      <c r="G211" s="187"/>
      <c r="H211" s="187"/>
      <c r="I211" s="501"/>
      <c r="J211" s="1290">
        <f t="shared" si="35"/>
        <v>0</v>
      </c>
      <c r="K211" s="197"/>
      <c r="L211" s="197"/>
      <c r="M211" s="501"/>
      <c r="N211" s="1401" t="s">
        <v>200</v>
      </c>
    </row>
    <row r="212" spans="1:18">
      <c r="A212" s="828">
        <f t="shared" si="29"/>
        <v>23.310000000000048</v>
      </c>
      <c r="B212" s="1580" t="s">
        <v>1375</v>
      </c>
      <c r="C212" s="1580"/>
      <c r="D212" s="199">
        <v>-30968573.229999989</v>
      </c>
      <c r="E212" s="199">
        <v>-27957904.579999983</v>
      </c>
      <c r="F212" s="1291">
        <f t="shared" si="34"/>
        <v>-29463238.904999986</v>
      </c>
      <c r="G212" s="187"/>
      <c r="H212" s="187"/>
      <c r="I212" s="500"/>
      <c r="J212" s="1290">
        <f t="shared" si="35"/>
        <v>-27957904.579999983</v>
      </c>
      <c r="K212" s="197"/>
      <c r="L212" s="197"/>
      <c r="M212" s="500"/>
      <c r="N212" s="1401" t="s">
        <v>216</v>
      </c>
    </row>
    <row r="213" spans="1:18">
      <c r="A213" s="828">
        <f t="shared" si="29"/>
        <v>23.32000000000005</v>
      </c>
      <c r="B213" s="1580" t="s">
        <v>1376</v>
      </c>
      <c r="C213" s="1580"/>
      <c r="D213" s="199">
        <v>-6151129.3100000024</v>
      </c>
      <c r="E213" s="199">
        <v>-5553135.450000003</v>
      </c>
      <c r="F213" s="1291">
        <f t="shared" si="34"/>
        <v>-5852132.3800000027</v>
      </c>
      <c r="G213" s="187"/>
      <c r="H213" s="187"/>
      <c r="I213" s="501"/>
      <c r="J213" s="1290">
        <f t="shared" si="35"/>
        <v>-5553135.450000003</v>
      </c>
      <c r="K213" s="197"/>
      <c r="L213" s="197"/>
      <c r="M213" s="501"/>
      <c r="N213" s="1401" t="s">
        <v>216</v>
      </c>
    </row>
    <row r="214" spans="1:18">
      <c r="A214" s="828">
        <f t="shared" si="29"/>
        <v>23.330000000000052</v>
      </c>
      <c r="B214" s="1580" t="s">
        <v>1377</v>
      </c>
      <c r="C214" s="1580"/>
      <c r="D214" s="199">
        <v>0</v>
      </c>
      <c r="E214" s="199">
        <v>0</v>
      </c>
      <c r="F214" s="1291">
        <f t="shared" si="34"/>
        <v>0</v>
      </c>
      <c r="G214" s="187"/>
      <c r="H214" s="187"/>
      <c r="I214" s="501"/>
      <c r="J214" s="1290">
        <f t="shared" si="35"/>
        <v>0</v>
      </c>
      <c r="K214" s="197"/>
      <c r="L214" s="197"/>
      <c r="M214" s="501"/>
      <c r="N214" s="1401" t="s">
        <v>200</v>
      </c>
    </row>
    <row r="215" spans="1:18">
      <c r="A215" s="828">
        <f t="shared" si="29"/>
        <v>23.340000000000053</v>
      </c>
      <c r="B215" s="1580" t="s">
        <v>1378</v>
      </c>
      <c r="C215" s="1580"/>
      <c r="D215" s="199">
        <v>0</v>
      </c>
      <c r="E215" s="199">
        <v>0</v>
      </c>
      <c r="F215" s="1291">
        <f>+SUM($D215:$E215)/2</f>
        <v>0</v>
      </c>
      <c r="G215" s="187"/>
      <c r="H215" s="187"/>
      <c r="I215" s="501"/>
      <c r="J215" s="1290">
        <f t="shared" si="35"/>
        <v>0</v>
      </c>
      <c r="K215" s="197"/>
      <c r="L215" s="197"/>
      <c r="M215" s="501"/>
      <c r="N215" s="1401" t="s">
        <v>914</v>
      </c>
      <c r="O215" s="44" t="s">
        <v>1139</v>
      </c>
    </row>
    <row r="216" spans="1:18">
      <c r="A216" s="828">
        <f t="shared" si="29"/>
        <v>23.350000000000055</v>
      </c>
      <c r="B216" s="1580" t="s">
        <v>1379</v>
      </c>
      <c r="C216" s="1580"/>
      <c r="D216" s="199">
        <v>0</v>
      </c>
      <c r="E216" s="199">
        <v>0</v>
      </c>
      <c r="F216" s="1291">
        <f t="shared" si="34"/>
        <v>0</v>
      </c>
      <c r="G216" s="197"/>
      <c r="H216" s="197"/>
      <c r="I216" s="501"/>
      <c r="J216" s="1290">
        <f t="shared" si="35"/>
        <v>0</v>
      </c>
      <c r="K216" s="197"/>
      <c r="L216" s="197"/>
      <c r="M216" s="501"/>
      <c r="N216" s="1401" t="s">
        <v>200</v>
      </c>
    </row>
    <row r="217" spans="1:18" s="86" customFormat="1">
      <c r="A217" s="1375">
        <f>+A216+0.01</f>
        <v>23.360000000000056</v>
      </c>
      <c r="B217" s="198" t="s">
        <v>1513</v>
      </c>
      <c r="C217" s="201"/>
      <c r="D217" s="199">
        <v>-21827482.550000001</v>
      </c>
      <c r="E217" s="199">
        <v>-21892263.91</v>
      </c>
      <c r="F217" s="1349">
        <f t="shared" si="34"/>
        <v>-21859873.23</v>
      </c>
      <c r="G217" s="200"/>
      <c r="H217" s="200"/>
      <c r="I217" s="1359"/>
      <c r="J217" s="1360">
        <f t="shared" si="35"/>
        <v>-21892263.91</v>
      </c>
      <c r="K217" s="201"/>
      <c r="L217" s="201"/>
      <c r="M217" s="1359"/>
      <c r="N217" s="202" t="s">
        <v>5</v>
      </c>
      <c r="O217" s="44" t="s">
        <v>1544</v>
      </c>
      <c r="P217" s="44"/>
      <c r="Q217" s="44"/>
      <c r="R217" s="44"/>
    </row>
    <row r="218" spans="1:18" s="86" customFormat="1">
      <c r="A218" s="1375">
        <f>+A217+0.01</f>
        <v>23.370000000000058</v>
      </c>
      <c r="B218" s="198" t="s">
        <v>1514</v>
      </c>
      <c r="C218" s="201"/>
      <c r="D218" s="199">
        <v>-4335481.6399999997</v>
      </c>
      <c r="E218" s="199">
        <v>-4348348.83</v>
      </c>
      <c r="F218" s="1349">
        <f t="shared" si="34"/>
        <v>-4341915.2349999994</v>
      </c>
      <c r="G218" s="200"/>
      <c r="H218" s="200"/>
      <c r="I218" s="1359"/>
      <c r="J218" s="1360">
        <f t="shared" si="35"/>
        <v>-4348348.83</v>
      </c>
      <c r="K218" s="201"/>
      <c r="L218" s="201"/>
      <c r="M218" s="1359"/>
      <c r="N218" s="202" t="s">
        <v>5</v>
      </c>
      <c r="O218" s="44" t="s">
        <v>1544</v>
      </c>
      <c r="P218" s="44"/>
      <c r="Q218" s="44"/>
      <c r="R218" s="44"/>
    </row>
    <row r="219" spans="1:18">
      <c r="A219" s="1375">
        <f>+A218+0.01</f>
        <v>23.380000000000059</v>
      </c>
      <c r="B219" s="198"/>
      <c r="C219" s="201" t="s">
        <v>969</v>
      </c>
      <c r="D219" s="199">
        <v>0</v>
      </c>
      <c r="E219" s="199">
        <v>0</v>
      </c>
      <c r="F219" s="1349"/>
      <c r="G219" s="200"/>
      <c r="H219" s="200"/>
      <c r="I219" s="1359"/>
      <c r="J219" s="1360"/>
      <c r="K219" s="201"/>
      <c r="L219" s="201"/>
      <c r="M219" s="1359"/>
      <c r="N219" s="202"/>
    </row>
    <row r="220" spans="1:18">
      <c r="A220" s="1536" t="s">
        <v>960</v>
      </c>
      <c r="B220" s="1292"/>
      <c r="C220" s="201" t="s">
        <v>969</v>
      </c>
      <c r="D220" s="199">
        <v>0</v>
      </c>
      <c r="E220" s="199">
        <v>0</v>
      </c>
      <c r="F220" s="1355"/>
      <c r="G220" s="1354"/>
      <c r="H220" s="1354"/>
      <c r="I220" s="1356"/>
      <c r="J220" s="1357"/>
      <c r="K220" s="1358"/>
      <c r="L220" s="1358"/>
      <c r="M220" s="1356"/>
      <c r="N220" s="1293"/>
    </row>
    <row r="221" spans="1:18">
      <c r="A221" s="1375" t="str">
        <f>+A181&amp;".xx"</f>
        <v>23.xx</v>
      </c>
      <c r="B221" s="198"/>
      <c r="C221" s="201" t="s">
        <v>969</v>
      </c>
      <c r="D221" s="204">
        <v>0</v>
      </c>
      <c r="E221" s="204">
        <v>0</v>
      </c>
      <c r="F221" s="1349"/>
      <c r="G221" s="201"/>
      <c r="H221" s="201"/>
      <c r="I221" s="1359"/>
      <c r="J221" s="1360"/>
      <c r="K221" s="201"/>
      <c r="L221" s="201"/>
      <c r="M221" s="1359"/>
      <c r="N221" s="202"/>
    </row>
    <row r="222" spans="1:18" ht="13.8" thickBot="1">
      <c r="A222" s="827">
        <f>+A181+1</f>
        <v>24</v>
      </c>
      <c r="B222" s="799"/>
      <c r="C222" s="799"/>
      <c r="D222" s="241"/>
      <c r="E222" s="241"/>
      <c r="F222" s="819"/>
      <c r="G222" s="820"/>
      <c r="H222" s="820"/>
      <c r="I222" s="821"/>
      <c r="J222" s="819"/>
      <c r="K222" s="820"/>
      <c r="L222" s="820"/>
      <c r="M222" s="821"/>
      <c r="N222" s="749"/>
    </row>
    <row r="223" spans="1:18" s="43" customFormat="1" ht="14.4" thickBot="1">
      <c r="A223" s="827">
        <f>+A222+1</f>
        <v>25</v>
      </c>
      <c r="B223" s="503" t="s">
        <v>556</v>
      </c>
      <c r="C223" s="504"/>
      <c r="D223" s="822">
        <f t="shared" ref="D223:M223" si="36">SUM(D182:D221)</f>
        <v>-453704942.74000001</v>
      </c>
      <c r="E223" s="822">
        <f t="shared" si="36"/>
        <v>-462420783.2100001</v>
      </c>
      <c r="F223" s="823">
        <f t="shared" si="36"/>
        <v>-433394976.11500001</v>
      </c>
      <c r="G223" s="282">
        <f t="shared" si="36"/>
        <v>-12448717.924999999</v>
      </c>
      <c r="H223" s="282">
        <f t="shared" si="36"/>
        <v>-12219168.935000001</v>
      </c>
      <c r="I223" s="817">
        <f t="shared" si="36"/>
        <v>0</v>
      </c>
      <c r="J223" s="823">
        <f t="shared" si="36"/>
        <v>-438436325.23000002</v>
      </c>
      <c r="K223" s="282">
        <f t="shared" si="36"/>
        <v>-10790986.469999999</v>
      </c>
      <c r="L223" s="282">
        <f t="shared" si="36"/>
        <v>-13193471.51</v>
      </c>
      <c r="M223" s="817">
        <f t="shared" si="36"/>
        <v>0</v>
      </c>
      <c r="N223" s="749" t="str">
        <f>+"Sum by Column of Line "&amp;A181&amp;" Subparts"</f>
        <v>Sum by Column of Line 23 Subparts</v>
      </c>
    </row>
    <row r="224" spans="1:18" s="195" customFormat="1" ht="15">
      <c r="A224" s="827">
        <f t="shared" ref="A224:A234" si="37">+A223+1</f>
        <v>26</v>
      </c>
      <c r="B224" s="1895" t="s">
        <v>595</v>
      </c>
      <c r="C224" s="1895"/>
      <c r="D224" s="541">
        <f t="shared" ref="D224:M224" si="38">+D212+D213</f>
        <v>-37119702.539999992</v>
      </c>
      <c r="E224" s="541">
        <f t="shared" si="38"/>
        <v>-33511040.029999986</v>
      </c>
      <c r="F224" s="729">
        <f t="shared" si="38"/>
        <v>-35315371.284999989</v>
      </c>
      <c r="G224" s="541">
        <f t="shared" si="38"/>
        <v>0</v>
      </c>
      <c r="H224" s="541">
        <f t="shared" si="38"/>
        <v>0</v>
      </c>
      <c r="I224" s="730">
        <f t="shared" si="38"/>
        <v>0</v>
      </c>
      <c r="J224" s="729">
        <f t="shared" si="38"/>
        <v>-33511040.029999986</v>
      </c>
      <c r="K224" s="541">
        <f t="shared" si="38"/>
        <v>0</v>
      </c>
      <c r="L224" s="541">
        <f t="shared" si="38"/>
        <v>0</v>
      </c>
      <c r="M224" s="730">
        <f t="shared" si="38"/>
        <v>0</v>
      </c>
      <c r="N224" s="45"/>
      <c r="O224" s="44"/>
    </row>
    <row r="225" spans="1:15">
      <c r="A225" s="827">
        <f t="shared" si="37"/>
        <v>27</v>
      </c>
      <c r="B225" s="1901" t="s">
        <v>596</v>
      </c>
      <c r="C225" s="1901"/>
      <c r="D225" s="282">
        <f t="shared" ref="D225:M225" si="39">+D223-D224</f>
        <v>-416585240.20000005</v>
      </c>
      <c r="E225" s="282">
        <f t="shared" si="39"/>
        <v>-428909743.18000013</v>
      </c>
      <c r="F225" s="823">
        <f t="shared" si="39"/>
        <v>-398079604.83000004</v>
      </c>
      <c r="G225" s="282">
        <f t="shared" si="39"/>
        <v>-12448717.924999999</v>
      </c>
      <c r="H225" s="282">
        <f t="shared" si="39"/>
        <v>-12219168.935000001</v>
      </c>
      <c r="I225" s="817">
        <f t="shared" si="39"/>
        <v>0</v>
      </c>
      <c r="J225" s="823">
        <f t="shared" si="39"/>
        <v>-404925285.20000005</v>
      </c>
      <c r="K225" s="282">
        <f t="shared" si="39"/>
        <v>-10790986.469999999</v>
      </c>
      <c r="L225" s="282">
        <f t="shared" si="39"/>
        <v>-13193471.51</v>
      </c>
      <c r="M225" s="817">
        <f t="shared" si="39"/>
        <v>0</v>
      </c>
      <c r="N225" s="45" t="str">
        <f>+"Ln "&amp;A223&amp;" Less Ln "&amp;A224</f>
        <v>Ln 25 Less Ln 26</v>
      </c>
    </row>
    <row r="226" spans="1:15" ht="13.8">
      <c r="A226" s="827">
        <f t="shared" si="37"/>
        <v>28</v>
      </c>
      <c r="B226" s="799"/>
      <c r="C226" s="799"/>
      <c r="D226" s="799"/>
      <c r="E226" s="172"/>
      <c r="F226" s="45"/>
      <c r="G226" s="241"/>
      <c r="H226" s="241"/>
      <c r="I226" s="241"/>
      <c r="J226" s="241"/>
      <c r="K226" s="241"/>
      <c r="L226" s="241"/>
      <c r="M226" s="241"/>
      <c r="N226" s="241"/>
    </row>
    <row r="227" spans="1:15">
      <c r="A227" s="827">
        <f t="shared" si="37"/>
        <v>29</v>
      </c>
      <c r="B227" s="1902" t="s">
        <v>457</v>
      </c>
      <c r="C227" s="1902"/>
      <c r="D227" s="1902"/>
      <c r="E227" s="1902"/>
      <c r="F227" s="1902"/>
      <c r="G227" s="1902"/>
      <c r="H227" s="1902"/>
      <c r="I227" s="45"/>
      <c r="J227" s="749"/>
      <c r="K227" s="749"/>
      <c r="L227" s="749"/>
      <c r="M227" s="749"/>
      <c r="N227" s="749"/>
    </row>
    <row r="228" spans="1:15" ht="13.95" customHeight="1">
      <c r="A228" s="827">
        <f t="shared" si="37"/>
        <v>30</v>
      </c>
      <c r="B228" s="1903"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228" s="1903"/>
      <c r="D228" s="1903"/>
      <c r="E228" s="1903"/>
      <c r="F228" s="1903"/>
      <c r="G228" s="1903"/>
      <c r="H228" s="1903"/>
      <c r="I228" s="1903"/>
      <c r="J228" s="1903"/>
      <c r="K228" s="1903"/>
      <c r="L228" s="1903"/>
      <c r="M228" s="1903"/>
      <c r="N228" s="750"/>
    </row>
    <row r="229" spans="1:15">
      <c r="A229" s="827">
        <f t="shared" si="37"/>
        <v>31</v>
      </c>
      <c r="B229" s="1902" t="str">
        <f>+"2.  ADIT items related only to Transmission are directly assigned to Column "&amp;G$5&amp;" for True-up and Column "&amp;K$5&amp;" for Projected"</f>
        <v>2.  ADIT items related only to Transmission are directly assigned to Column F for True-up and Column J for Projected</v>
      </c>
      <c r="C229" s="1902"/>
      <c r="D229" s="1902"/>
      <c r="E229" s="1902"/>
      <c r="F229" s="1902"/>
      <c r="G229" s="1902"/>
      <c r="H229" s="1902"/>
      <c r="I229" s="45"/>
      <c r="J229" s="749"/>
      <c r="K229" s="749"/>
      <c r="L229" s="749"/>
      <c r="M229" s="749"/>
      <c r="N229" s="749"/>
    </row>
    <row r="230" spans="1:15">
      <c r="A230" s="827">
        <f t="shared" si="37"/>
        <v>32</v>
      </c>
      <c r="B230" s="799"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230" s="799"/>
      <c r="D230" s="799"/>
      <c r="E230" s="799"/>
      <c r="F230" s="799"/>
      <c r="G230" s="799"/>
      <c r="H230" s="799"/>
      <c r="I230" s="799"/>
      <c r="J230" s="751"/>
      <c r="K230" s="751"/>
      <c r="L230" s="751"/>
      <c r="M230" s="751"/>
      <c r="N230" s="750"/>
    </row>
    <row r="231" spans="1:15">
      <c r="A231" s="827">
        <f t="shared" si="37"/>
        <v>33</v>
      </c>
      <c r="B231" s="799"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231" s="799"/>
      <c r="D231" s="799"/>
      <c r="E231" s="799"/>
      <c r="F231" s="799"/>
      <c r="G231" s="799"/>
      <c r="H231" s="799"/>
      <c r="I231" s="799"/>
      <c r="J231" s="800"/>
      <c r="K231" s="800"/>
      <c r="L231" s="800"/>
      <c r="M231" s="800"/>
      <c r="N231" s="749"/>
    </row>
    <row r="232" spans="1:15">
      <c r="A232" s="827">
        <f t="shared" si="37"/>
        <v>34</v>
      </c>
      <c r="B232" s="1900" t="s">
        <v>1179</v>
      </c>
      <c r="C232" s="1900"/>
      <c r="D232" s="1900"/>
      <c r="E232" s="1900"/>
      <c r="F232" s="1900"/>
      <c r="G232" s="1900"/>
      <c r="H232" s="1900"/>
      <c r="I232" s="1900"/>
      <c r="J232" s="1900"/>
      <c r="K232" s="1900"/>
      <c r="L232" s="1900"/>
      <c r="M232" s="1900"/>
      <c r="N232" s="1900"/>
    </row>
    <row r="233" spans="1:15" ht="13.2" customHeight="1">
      <c r="A233" s="827">
        <f t="shared" si="37"/>
        <v>35</v>
      </c>
      <c r="B233" s="1900" t="s">
        <v>1180</v>
      </c>
      <c r="C233" s="1900"/>
      <c r="D233" s="1900"/>
      <c r="E233" s="1900"/>
      <c r="F233" s="1900"/>
      <c r="G233" s="1900"/>
      <c r="H233" s="1900"/>
      <c r="I233" s="1900"/>
      <c r="J233" s="1900"/>
      <c r="K233" s="1900"/>
      <c r="L233" s="1900"/>
      <c r="M233" s="1900"/>
      <c r="N233" s="1900"/>
    </row>
    <row r="234" spans="1:15">
      <c r="A234" s="827">
        <f t="shared" si="37"/>
        <v>36</v>
      </c>
      <c r="B234" s="1975" t="s">
        <v>1542</v>
      </c>
      <c r="C234" s="45"/>
      <c r="D234" s="45"/>
      <c r="E234" s="45"/>
      <c r="F234" s="45"/>
      <c r="G234" s="45"/>
      <c r="H234" s="45"/>
      <c r="I234" s="45"/>
      <c r="J234" s="45"/>
      <c r="K234" s="45"/>
      <c r="L234" s="45"/>
      <c r="M234" s="45"/>
      <c r="N234" s="45"/>
      <c r="O234" s="44" t="s">
        <v>1543</v>
      </c>
    </row>
    <row r="235" spans="1:15">
      <c r="A235" s="828"/>
      <c r="B235" s="45"/>
      <c r="C235" s="45"/>
      <c r="D235" s="45"/>
      <c r="E235" s="45"/>
      <c r="F235" s="45"/>
      <c r="G235" s="45"/>
      <c r="H235" s="45"/>
      <c r="I235" s="45"/>
      <c r="J235" s="45"/>
      <c r="K235" s="45"/>
      <c r="L235" s="45"/>
      <c r="M235" s="45"/>
      <c r="N235" s="45"/>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25">
    <mergeCell ref="B233:N233"/>
    <mergeCell ref="B232:N232"/>
    <mergeCell ref="B225:C225"/>
    <mergeCell ref="F8:I8"/>
    <mergeCell ref="J8:M8"/>
    <mergeCell ref="J15:M15"/>
    <mergeCell ref="F15:I15"/>
    <mergeCell ref="B178:C178"/>
    <mergeCell ref="B229:H229"/>
    <mergeCell ref="B228:M228"/>
    <mergeCell ref="F181:I181"/>
    <mergeCell ref="J181:M181"/>
    <mergeCell ref="B227:H227"/>
    <mergeCell ref="B224:C224"/>
    <mergeCell ref="A1:N1"/>
    <mergeCell ref="A2:N2"/>
    <mergeCell ref="F109:I109"/>
    <mergeCell ref="J109:M109"/>
    <mergeCell ref="A3:N3"/>
    <mergeCell ref="B106:C106"/>
    <mergeCell ref="A4:A5"/>
    <mergeCell ref="F17:I17"/>
    <mergeCell ref="J17:M17"/>
    <mergeCell ref="F6:I6"/>
    <mergeCell ref="J6:M6"/>
  </mergeCells>
  <phoneticPr fontId="0" type="noConversion"/>
  <printOptions horizontalCentered="1"/>
  <pageMargins left="0.7" right="0.7" top="0.7" bottom="0.7" header="0.3" footer="0.5"/>
  <pageSetup scale="47" fitToHeight="6" orientation="landscape" r:id="rId10"/>
  <headerFooter>
    <oddFooter>&amp;R&amp;A</oddFooter>
  </headerFooter>
  <rowBreaks count="1" manualBreakCount="1">
    <brk id="295" max="16383" man="1"/>
  </rowBreaks>
  <ignoredErrors>
    <ignoredError sqref="D105:E10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sqref="A1:B1"/>
    </sheetView>
  </sheetViews>
  <sheetFormatPr defaultRowHeight="13.2"/>
  <cols>
    <col min="1" max="1" width="4.5546875" customWidth="1"/>
    <col min="2" max="2" width="21.33203125" customWidth="1"/>
    <col min="3" max="3" width="13" customWidth="1"/>
    <col min="4" max="5" width="14.109375" bestFit="1" customWidth="1"/>
    <col min="6" max="6" width="21.33203125" style="1797" customWidth="1"/>
    <col min="8" max="9" width="14.109375" bestFit="1" customWidth="1"/>
    <col min="10" max="10" width="11.44140625" bestFit="1" customWidth="1"/>
    <col min="11" max="11" width="12.44140625" bestFit="1" customWidth="1"/>
    <col min="12" max="12" width="14.109375" bestFit="1" customWidth="1"/>
  </cols>
  <sheetData>
    <row r="1" spans="1:16" s="174" customFormat="1">
      <c r="A1" s="1874" t="str">
        <f>+'MISO Cover'!C6</f>
        <v>Entergy Arkansas, Inc.</v>
      </c>
      <c r="B1" s="1874"/>
      <c r="C1" s="1874"/>
      <c r="D1" s="1874"/>
      <c r="E1" s="1874"/>
      <c r="F1" s="1874"/>
      <c r="H1" s="882"/>
    </row>
    <row r="2" spans="1:16" s="174" customFormat="1">
      <c r="A2" s="1875" t="s">
        <v>1616</v>
      </c>
      <c r="B2" s="1875"/>
      <c r="C2" s="1875"/>
      <c r="D2" s="1875"/>
      <c r="E2" s="1875"/>
      <c r="F2" s="1875"/>
      <c r="H2" s="1616"/>
      <c r="I2" s="1616"/>
      <c r="J2" s="1616"/>
      <c r="K2" s="1616"/>
      <c r="L2" s="1616"/>
      <c r="M2" s="1616"/>
      <c r="N2" s="1616"/>
      <c r="O2" s="1616"/>
      <c r="P2" s="1616"/>
    </row>
    <row r="3" spans="1:16" s="174" customFormat="1">
      <c r="A3" s="1874" t="str">
        <f>+'MISO Cover'!K4</f>
        <v>For  the 12 Months Ended 12/31/2016</v>
      </c>
      <c r="B3" s="1874"/>
      <c r="C3" s="1874"/>
      <c r="D3" s="1874"/>
      <c r="E3" s="1874"/>
      <c r="F3" s="1874"/>
      <c r="H3" s="1616"/>
      <c r="I3" s="1616"/>
      <c r="J3" s="1616"/>
      <c r="K3" s="1616"/>
      <c r="L3" s="1616"/>
      <c r="M3" s="1616"/>
      <c r="N3" s="1616"/>
      <c r="O3" s="1616"/>
      <c r="P3" s="1616"/>
    </row>
    <row r="4" spans="1:16">
      <c r="H4" s="1616"/>
      <c r="I4" s="1616"/>
      <c r="J4" s="1616"/>
      <c r="K4" s="1616"/>
      <c r="L4" s="1616"/>
      <c r="M4" s="1616"/>
      <c r="N4" s="1616"/>
      <c r="O4" s="1616"/>
      <c r="P4" s="1616"/>
    </row>
    <row r="5" spans="1:16">
      <c r="A5" s="210" t="s">
        <v>290</v>
      </c>
      <c r="B5" s="210" t="s">
        <v>72</v>
      </c>
      <c r="C5" s="210" t="s">
        <v>119</v>
      </c>
      <c r="D5" s="210" t="s">
        <v>60</v>
      </c>
      <c r="E5" s="210" t="s">
        <v>73</v>
      </c>
      <c r="F5" s="1796" t="s">
        <v>71</v>
      </c>
    </row>
    <row r="6" spans="1:16">
      <c r="B6" s="210"/>
      <c r="C6" s="210"/>
      <c r="D6" s="210"/>
      <c r="E6" s="210"/>
    </row>
    <row r="7" spans="1:16" ht="15">
      <c r="A7" s="210">
        <v>1</v>
      </c>
      <c r="B7" s="1636" t="s">
        <v>1603</v>
      </c>
      <c r="C7" s="1636" t="s">
        <v>1604</v>
      </c>
      <c r="D7" s="1612" t="s">
        <v>1605</v>
      </c>
      <c r="E7" s="1612" t="s">
        <v>1606</v>
      </c>
      <c r="F7" s="1798" t="s">
        <v>145</v>
      </c>
    </row>
    <row r="8" spans="1:16">
      <c r="A8" s="210">
        <f>+A7+1</f>
        <v>2</v>
      </c>
      <c r="B8" t="s">
        <v>433</v>
      </c>
      <c r="C8" t="s">
        <v>1607</v>
      </c>
      <c r="D8" s="1638">
        <v>328775543</v>
      </c>
      <c r="E8" s="1638">
        <v>345064511</v>
      </c>
      <c r="F8" s="1797" t="s">
        <v>564</v>
      </c>
    </row>
    <row r="9" spans="1:16">
      <c r="A9" s="210">
        <f t="shared" ref="A9:A31" si="0">+A8+1</f>
        <v>3</v>
      </c>
      <c r="C9" t="s">
        <v>1608</v>
      </c>
      <c r="D9" s="1639">
        <f>+'WP04 PIS'!C28</f>
        <v>328775543</v>
      </c>
      <c r="E9" s="1639">
        <f>+'WP04 PIS'!C40</f>
        <v>345064511</v>
      </c>
      <c r="F9" s="1797" t="s">
        <v>1609</v>
      </c>
    </row>
    <row r="10" spans="1:16">
      <c r="A10" s="210">
        <f t="shared" si="0"/>
        <v>4</v>
      </c>
      <c r="C10" t="s">
        <v>1610</v>
      </c>
      <c r="D10" s="1333">
        <f>+D8-D9</f>
        <v>0</v>
      </c>
      <c r="E10" s="1333">
        <f>+E8-E9</f>
        <v>0</v>
      </c>
      <c r="F10" s="1797" t="str">
        <f>+"Ln "&amp;A8&amp;" - Ln "&amp;A9</f>
        <v>Ln 2 - Ln 3</v>
      </c>
    </row>
    <row r="11" spans="1:16">
      <c r="A11" s="210">
        <f t="shared" si="0"/>
        <v>5</v>
      </c>
      <c r="D11" s="1333"/>
      <c r="E11" s="1333"/>
    </row>
    <row r="12" spans="1:16">
      <c r="A12" s="210">
        <f t="shared" si="0"/>
        <v>6</v>
      </c>
      <c r="B12" t="s">
        <v>630</v>
      </c>
      <c r="C12" t="s">
        <v>1607</v>
      </c>
      <c r="D12" s="1638">
        <v>466229128</v>
      </c>
      <c r="E12" s="1638">
        <v>478571811</v>
      </c>
      <c r="F12" s="1797" t="s">
        <v>1827</v>
      </c>
      <c r="H12" s="1333"/>
    </row>
    <row r="13" spans="1:16">
      <c r="A13" s="210">
        <f t="shared" si="0"/>
        <v>7</v>
      </c>
      <c r="C13" t="s">
        <v>1608</v>
      </c>
      <c r="D13" s="1639">
        <f>+'WP04 PIS'!G28</f>
        <v>466229128</v>
      </c>
      <c r="E13" s="1639">
        <f>+'WP04 PIS'!G40</f>
        <v>483750388</v>
      </c>
      <c r="F13" s="1797" t="str">
        <f>+F9</f>
        <v>WP04 Ln 23 &amp; 35 (3)</v>
      </c>
      <c r="H13" s="1333"/>
    </row>
    <row r="14" spans="1:16">
      <c r="A14" s="210">
        <f t="shared" si="0"/>
        <v>8</v>
      </c>
      <c r="C14" t="s">
        <v>1610</v>
      </c>
      <c r="D14" s="1333">
        <f>+D12-D13</f>
        <v>0</v>
      </c>
      <c r="E14" s="1333">
        <f>+E12-E13</f>
        <v>-5178577</v>
      </c>
      <c r="F14" s="1797" t="str">
        <f>+"Ln "&amp;A12&amp;" - Ln "&amp;A13</f>
        <v>Ln 6 - Ln 7</v>
      </c>
      <c r="H14" s="1333"/>
    </row>
    <row r="15" spans="1:16">
      <c r="A15" s="210">
        <f t="shared" si="0"/>
        <v>9</v>
      </c>
      <c r="D15" s="1333"/>
      <c r="E15" s="1333"/>
      <c r="H15" s="1333"/>
    </row>
    <row r="16" spans="1:16">
      <c r="A16" s="210">
        <f t="shared" si="0"/>
        <v>10</v>
      </c>
      <c r="B16" t="s">
        <v>198</v>
      </c>
      <c r="C16" t="s">
        <v>1607</v>
      </c>
      <c r="D16" s="1638">
        <v>60096394</v>
      </c>
      <c r="E16" s="1638">
        <v>66442347</v>
      </c>
      <c r="F16" s="1797" t="s">
        <v>1826</v>
      </c>
      <c r="H16" s="1716"/>
    </row>
    <row r="17" spans="1:12">
      <c r="A17" s="210">
        <f t="shared" si="0"/>
        <v>11</v>
      </c>
      <c r="C17" t="s">
        <v>1608</v>
      </c>
      <c r="D17" s="1639">
        <f>+'WP04 PIS'!K28</f>
        <v>60096395</v>
      </c>
      <c r="E17" s="1639">
        <f>+'WP04 PIS'!K40</f>
        <v>68029004</v>
      </c>
      <c r="F17" s="1797" t="str">
        <f>+F9</f>
        <v>WP04 Ln 23 &amp; 35 (3)</v>
      </c>
    </row>
    <row r="18" spans="1:12">
      <c r="A18" s="210">
        <f t="shared" si="0"/>
        <v>12</v>
      </c>
      <c r="C18" t="s">
        <v>1610</v>
      </c>
      <c r="D18" s="1333">
        <f>+D16-D17</f>
        <v>-1</v>
      </c>
      <c r="E18" s="1333">
        <f>+E16-E17</f>
        <v>-1586657</v>
      </c>
      <c r="F18" s="1797" t="str">
        <f>+"Ln "&amp;A16&amp;" - Ln "&amp;A17</f>
        <v>Ln 10 - Ln 11</v>
      </c>
    </row>
    <row r="19" spans="1:12">
      <c r="A19" s="210">
        <f t="shared" si="0"/>
        <v>13</v>
      </c>
      <c r="D19" s="1333"/>
      <c r="E19" s="1333"/>
      <c r="H19" t="s">
        <v>1693</v>
      </c>
      <c r="I19" t="s">
        <v>1694</v>
      </c>
      <c r="J19" t="s">
        <v>1695</v>
      </c>
      <c r="K19" t="s">
        <v>160</v>
      </c>
      <c r="L19" t="s">
        <v>118</v>
      </c>
    </row>
    <row r="20" spans="1:12">
      <c r="A20" s="210">
        <f t="shared" si="0"/>
        <v>14</v>
      </c>
      <c r="B20" t="s">
        <v>432</v>
      </c>
      <c r="C20" t="s">
        <v>1607</v>
      </c>
      <c r="D20" s="1638">
        <v>2377335061</v>
      </c>
      <c r="E20" s="1638">
        <v>2562467915</v>
      </c>
      <c r="F20" s="1797" t="s">
        <v>1795</v>
      </c>
      <c r="H20" s="1333">
        <v>579442522</v>
      </c>
      <c r="I20" s="1333">
        <v>1531824067</v>
      </c>
      <c r="J20" s="1333">
        <v>15451138</v>
      </c>
      <c r="K20" s="1333">
        <v>435750188</v>
      </c>
      <c r="L20" s="1716">
        <f>+SUM(H20:K20)</f>
        <v>2562467915</v>
      </c>
    </row>
    <row r="21" spans="1:12">
      <c r="A21" s="210">
        <f t="shared" si="0"/>
        <v>15</v>
      </c>
      <c r="C21" t="s">
        <v>1608</v>
      </c>
      <c r="D21" s="1333">
        <f>+'WP04 PIS'!F28</f>
        <v>2377335060</v>
      </c>
      <c r="E21" s="1333">
        <f>+'WP04 PIS'!F40</f>
        <v>2559961845</v>
      </c>
      <c r="F21" s="1797" t="str">
        <f>+F17</f>
        <v>WP04 Ln 23 &amp; 35 (3)</v>
      </c>
    </row>
    <row r="22" spans="1:12">
      <c r="A22" s="210">
        <f t="shared" si="0"/>
        <v>16</v>
      </c>
      <c r="C22" t="s">
        <v>1610</v>
      </c>
      <c r="D22" s="1635">
        <f>D20-D21</f>
        <v>1</v>
      </c>
      <c r="E22" s="1635">
        <f>E20-E21</f>
        <v>2506070</v>
      </c>
      <c r="F22" s="1797" t="str">
        <f>+"Ln "&amp;A20&amp;" - Ln "&amp;A21</f>
        <v>Ln 14 - Ln 15</v>
      </c>
    </row>
    <row r="23" spans="1:12">
      <c r="A23" s="210">
        <f t="shared" si="0"/>
        <v>17</v>
      </c>
      <c r="D23" s="1333"/>
      <c r="E23" s="1333"/>
    </row>
    <row r="24" spans="1:12">
      <c r="A24" s="210">
        <f t="shared" si="0"/>
        <v>18</v>
      </c>
      <c r="B24" t="s">
        <v>25</v>
      </c>
      <c r="C24" t="s">
        <v>1607</v>
      </c>
      <c r="D24" s="1638">
        <v>1122790976</v>
      </c>
      <c r="E24" s="1638">
        <v>1144336273</v>
      </c>
      <c r="F24" s="1797" t="s">
        <v>1825</v>
      </c>
    </row>
    <row r="25" spans="1:12">
      <c r="A25" s="210">
        <f t="shared" si="0"/>
        <v>19</v>
      </c>
      <c r="C25" t="s">
        <v>1608</v>
      </c>
      <c r="D25" s="1333">
        <f>+'WP04 PIS'!J28</f>
        <v>1122790976</v>
      </c>
      <c r="E25" s="1333">
        <f>+'WP04 PIS'!J40</f>
        <v>1156560772</v>
      </c>
      <c r="F25" s="1797" t="str">
        <f>+F21</f>
        <v>WP04 Ln 23 &amp; 35 (3)</v>
      </c>
    </row>
    <row r="26" spans="1:12">
      <c r="A26" s="210">
        <f t="shared" si="0"/>
        <v>20</v>
      </c>
      <c r="C26" t="s">
        <v>1610</v>
      </c>
      <c r="D26" s="1635">
        <f>D24-D25</f>
        <v>0</v>
      </c>
      <c r="E26" s="1635">
        <f>E24-E25</f>
        <v>-12224499</v>
      </c>
      <c r="F26" s="1797" t="str">
        <f>+"Ln "&amp;A24&amp;" - Ln "&amp;A25</f>
        <v>Ln 18 - Ln 19</v>
      </c>
    </row>
    <row r="27" spans="1:12">
      <c r="A27" s="210">
        <f t="shared" si="0"/>
        <v>21</v>
      </c>
      <c r="D27" s="1333"/>
      <c r="E27" s="1333"/>
    </row>
    <row r="28" spans="1:12" s="709" customFormat="1" ht="26.4" customHeight="1">
      <c r="A28" s="1610">
        <f t="shared" si="0"/>
        <v>22</v>
      </c>
      <c r="B28" s="709" t="s">
        <v>118</v>
      </c>
      <c r="D28" s="1794">
        <f>+D10+D14+D18+D22+D26</f>
        <v>0</v>
      </c>
      <c r="E28" s="1794">
        <f>+E10+E14+E18+E22+E26</f>
        <v>-16483663</v>
      </c>
      <c r="F28" s="1793" t="str">
        <f>+"Ln "&amp;A10&amp;" + Ln "&amp;A14&amp;" + Ln "&amp;A18&amp;" + Ln "&amp;A22&amp;" + Ln "&amp;A26</f>
        <v>Ln 4 + Ln 8 + Ln 12 + Ln 16 + Ln 20</v>
      </c>
    </row>
    <row r="29" spans="1:12">
      <c r="A29" s="210">
        <f t="shared" si="0"/>
        <v>23</v>
      </c>
      <c r="B29" t="s">
        <v>1611</v>
      </c>
      <c r="D29" s="1806">
        <f>'Appendix A'!G225</f>
        <v>0.39224999999999999</v>
      </c>
      <c r="E29" s="1806">
        <f>D29</f>
        <v>0.39224999999999999</v>
      </c>
      <c r="F29" s="1797" t="s">
        <v>1612</v>
      </c>
    </row>
    <row r="30" spans="1:12">
      <c r="A30" s="210">
        <f t="shared" si="0"/>
        <v>24</v>
      </c>
      <c r="D30" s="1795"/>
      <c r="E30" s="1795"/>
    </row>
    <row r="31" spans="1:12" s="709" customFormat="1">
      <c r="A31" s="1610">
        <f t="shared" si="0"/>
        <v>25</v>
      </c>
      <c r="B31" s="709" t="s">
        <v>1617</v>
      </c>
      <c r="D31" s="1792">
        <f>+D28*D29</f>
        <v>0</v>
      </c>
      <c r="E31" s="1792">
        <f>+E28*E29</f>
        <v>-6465716.8117499994</v>
      </c>
      <c r="F31" s="1799" t="str">
        <f>+"Ln "&amp;A28&amp;" * Ln "&amp;A29</f>
        <v>Ln 22 * Ln 23</v>
      </c>
    </row>
    <row r="33" spans="1:6">
      <c r="A33" t="s">
        <v>129</v>
      </c>
    </row>
    <row r="34" spans="1:6" ht="13.2" customHeight="1">
      <c r="A34" s="1786" t="s">
        <v>176</v>
      </c>
      <c r="B34" s="1905" t="s">
        <v>1613</v>
      </c>
      <c r="C34" s="1905"/>
      <c r="D34" s="1905"/>
      <c r="E34" s="1905"/>
      <c r="F34" s="1905"/>
    </row>
    <row r="35" spans="1:6">
      <c r="A35" s="1627" t="s">
        <v>338</v>
      </c>
      <c r="B35" t="s">
        <v>1614</v>
      </c>
    </row>
    <row r="36" spans="1:6">
      <c r="A36" s="1627" t="s">
        <v>339</v>
      </c>
      <c r="B36" t="s">
        <v>1618</v>
      </c>
    </row>
  </sheetData>
  <mergeCells count="4">
    <mergeCell ref="B34:F34"/>
    <mergeCell ref="A1:F1"/>
    <mergeCell ref="A3:F3"/>
    <mergeCell ref="A2:F2"/>
  </mergeCells>
  <printOptions horizontalCentered="1"/>
  <pageMargins left="0.7" right="0.7" top="0.75" bottom="0.75" header="0.3" footer="0.5"/>
  <pageSetup orientation="portrait" r:id="rId1"/>
  <headerFooter>
    <oddFooter>&amp;R&amp;A</oddFooter>
  </headerFooter>
  <ignoredErrors>
    <ignoredError sqref="A34:A3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5"/>
  <sheetViews>
    <sheetView zoomScaleNormal="100" workbookViewId="0">
      <selection sqref="A1:B1"/>
    </sheetView>
  </sheetViews>
  <sheetFormatPr defaultColWidth="9.109375" defaultRowHeight="13.2"/>
  <cols>
    <col min="1" max="1" width="3.109375" style="794" bestFit="1" customWidth="1"/>
    <col min="2" max="2" width="5.33203125" style="44" customWidth="1"/>
    <col min="3" max="3" width="19.6640625" style="44" bestFit="1" customWidth="1"/>
    <col min="4" max="15" width="11.33203125" style="44" bestFit="1" customWidth="1"/>
    <col min="16" max="17" width="11.44140625" style="44" bestFit="1" customWidth="1"/>
    <col min="18" max="16384" width="9.109375" style="44"/>
  </cols>
  <sheetData>
    <row r="1" spans="1:19" s="66" customFormat="1">
      <c r="A1" s="1866" t="str">
        <f>+'MISO Cover'!C6</f>
        <v>Entergy Arkansas, Inc.</v>
      </c>
      <c r="B1" s="1866"/>
      <c r="C1" s="1866"/>
      <c r="D1" s="1866"/>
      <c r="E1" s="1866"/>
      <c r="F1" s="1866"/>
      <c r="G1" s="1866"/>
      <c r="H1" s="1866"/>
      <c r="I1" s="1866"/>
      <c r="J1" s="1866"/>
      <c r="K1" s="1866"/>
      <c r="L1" s="1866"/>
      <c r="M1" s="1866"/>
      <c r="N1" s="1866"/>
      <c r="O1" s="1866"/>
      <c r="P1" s="1866"/>
      <c r="Q1" s="1866"/>
    </row>
    <row r="2" spans="1:19" s="66" customFormat="1">
      <c r="A2" s="1858" t="s">
        <v>926</v>
      </c>
      <c r="B2" s="1858"/>
      <c r="C2" s="1858"/>
      <c r="D2" s="1858"/>
      <c r="E2" s="1858"/>
      <c r="F2" s="1858"/>
      <c r="G2" s="1858"/>
      <c r="H2" s="1858"/>
      <c r="I2" s="1858"/>
      <c r="J2" s="1858"/>
      <c r="K2" s="1858"/>
      <c r="L2" s="1858"/>
      <c r="M2" s="1858"/>
      <c r="N2" s="1858"/>
      <c r="O2" s="1858"/>
      <c r="P2" s="1858"/>
      <c r="Q2" s="1858"/>
    </row>
    <row r="3" spans="1:19" s="66" customFormat="1">
      <c r="A3" s="1866" t="str">
        <f>+'MISO Cover'!K4</f>
        <v>For  the 12 Months Ended 12/31/2016</v>
      </c>
      <c r="B3" s="1866"/>
      <c r="C3" s="1866"/>
      <c r="D3" s="1866"/>
      <c r="E3" s="1866"/>
      <c r="F3" s="1866"/>
      <c r="G3" s="1866"/>
      <c r="H3" s="1866"/>
      <c r="I3" s="1866"/>
      <c r="J3" s="1866"/>
      <c r="K3" s="1866"/>
      <c r="L3" s="1866"/>
      <c r="M3" s="1866"/>
      <c r="N3" s="1866"/>
      <c r="O3" s="1866"/>
      <c r="P3" s="1866"/>
      <c r="Q3" s="1866"/>
    </row>
    <row r="4" spans="1:19" s="66" customFormat="1">
      <c r="A4" s="244"/>
      <c r="B4" s="841"/>
      <c r="C4" s="44"/>
      <c r="D4" s="44"/>
      <c r="E4" s="242"/>
      <c r="F4" s="81"/>
      <c r="G4" s="81"/>
      <c r="H4" s="81"/>
      <c r="I4" s="81"/>
    </row>
    <row r="5" spans="1:19" s="66" customFormat="1">
      <c r="A5" s="244"/>
      <c r="B5" s="790"/>
      <c r="C5" s="790"/>
      <c r="D5" s="790"/>
      <c r="E5" s="790"/>
      <c r="F5" s="790"/>
      <c r="G5" s="790"/>
      <c r="H5" s="790"/>
      <c r="I5" s="790"/>
      <c r="J5" s="790"/>
      <c r="K5" s="790"/>
      <c r="L5" s="790"/>
      <c r="M5" s="790"/>
      <c r="N5" s="790"/>
      <c r="O5" s="790"/>
      <c r="P5" s="790"/>
      <c r="Q5" s="790"/>
    </row>
    <row r="6" spans="1:19" s="794" customFormat="1">
      <c r="A6" s="794" t="s">
        <v>290</v>
      </c>
      <c r="B6" s="794" t="s">
        <v>72</v>
      </c>
      <c r="C6" s="794" t="s">
        <v>119</v>
      </c>
      <c r="D6" s="794" t="s">
        <v>60</v>
      </c>
      <c r="E6" s="794" t="s">
        <v>73</v>
      </c>
      <c r="F6" s="794" t="s">
        <v>71</v>
      </c>
      <c r="G6" s="794" t="s">
        <v>161</v>
      </c>
      <c r="H6" s="794" t="s">
        <v>74</v>
      </c>
      <c r="I6" s="794" t="s">
        <v>174</v>
      </c>
      <c r="J6" s="794" t="s">
        <v>64</v>
      </c>
      <c r="K6" s="794" t="s">
        <v>65</v>
      </c>
      <c r="L6" s="794" t="s">
        <v>76</v>
      </c>
      <c r="M6" s="794" t="s">
        <v>103</v>
      </c>
      <c r="N6" s="794" t="s">
        <v>104</v>
      </c>
      <c r="O6" s="794" t="s">
        <v>162</v>
      </c>
      <c r="P6" s="794" t="s">
        <v>232</v>
      </c>
      <c r="Q6" s="794" t="s">
        <v>233</v>
      </c>
    </row>
    <row r="7" spans="1:19" s="66" customFormat="1">
      <c r="A7" s="244"/>
      <c r="B7" s="288"/>
      <c r="C7" s="285"/>
      <c r="D7" s="45"/>
      <c r="E7" s="45"/>
      <c r="F7" s="45"/>
      <c r="G7" s="45"/>
      <c r="H7" s="45"/>
      <c r="I7" s="45"/>
      <c r="J7" s="45"/>
      <c r="K7" s="45"/>
      <c r="L7" s="45"/>
      <c r="M7" s="45"/>
      <c r="N7" s="45"/>
      <c r="O7" s="45"/>
      <c r="P7" s="45"/>
      <c r="Q7" s="509" t="s">
        <v>53</v>
      </c>
      <c r="R7" s="82"/>
    </row>
    <row r="8" spans="1:19" s="244" customFormat="1">
      <c r="A8" s="244">
        <v>1</v>
      </c>
      <c r="B8" s="1225" t="s">
        <v>483</v>
      </c>
      <c r="C8" s="1225" t="s">
        <v>117</v>
      </c>
      <c r="D8" s="1531" t="s">
        <v>42</v>
      </c>
      <c r="E8" s="1531" t="s">
        <v>32</v>
      </c>
      <c r="F8" s="1531" t="s">
        <v>33</v>
      </c>
      <c r="G8" s="1531" t="s">
        <v>34</v>
      </c>
      <c r="H8" s="1531" t="s">
        <v>35</v>
      </c>
      <c r="I8" s="1531" t="s">
        <v>31</v>
      </c>
      <c r="J8" s="1531" t="s">
        <v>36</v>
      </c>
      <c r="K8" s="1531" t="s">
        <v>37</v>
      </c>
      <c r="L8" s="1531" t="s">
        <v>38</v>
      </c>
      <c r="M8" s="1531" t="s">
        <v>39</v>
      </c>
      <c r="N8" s="1531" t="s">
        <v>40</v>
      </c>
      <c r="O8" s="1531" t="s">
        <v>41</v>
      </c>
      <c r="P8" s="1531" t="s">
        <v>42</v>
      </c>
      <c r="Q8" s="1225" t="s">
        <v>146</v>
      </c>
      <c r="R8" s="252"/>
    </row>
    <row r="9" spans="1:19" s="66" customFormat="1">
      <c r="A9" s="244">
        <f>+A8+1</f>
        <v>2</v>
      </c>
      <c r="B9" s="564">
        <v>154</v>
      </c>
      <c r="C9" s="286" t="s">
        <v>537</v>
      </c>
      <c r="D9" s="1605">
        <v>20256747.758797001</v>
      </c>
      <c r="E9" s="1605">
        <v>21348878.120000001</v>
      </c>
      <c r="F9" s="1605">
        <v>20940451.23</v>
      </c>
      <c r="G9" s="1605">
        <v>20027277.719999999</v>
      </c>
      <c r="H9" s="1605">
        <v>20396257.66</v>
      </c>
      <c r="I9" s="1605">
        <v>20862935.920000002</v>
      </c>
      <c r="J9" s="1605">
        <v>20675089.800000001</v>
      </c>
      <c r="K9" s="1605">
        <v>21037355.870000001</v>
      </c>
      <c r="L9" s="1605">
        <v>20792342.16</v>
      </c>
      <c r="M9" s="1605">
        <v>20704540.59</v>
      </c>
      <c r="N9" s="1605">
        <v>19636472.98</v>
      </c>
      <c r="O9" s="1605">
        <v>19795534.710000001</v>
      </c>
      <c r="P9" s="1605">
        <v>20356110.829999998</v>
      </c>
      <c r="Q9" s="282">
        <f>+SUM(D9:P9)/13</f>
        <v>20525384.257599771</v>
      </c>
      <c r="R9" s="82"/>
      <c r="S9" s="244"/>
    </row>
    <row r="10" spans="1:19" s="66" customFormat="1">
      <c r="A10" s="244">
        <f>+A9+1</f>
        <v>3</v>
      </c>
      <c r="B10" s="282">
        <v>163</v>
      </c>
      <c r="C10" s="281" t="s">
        <v>538</v>
      </c>
      <c r="D10" s="1605">
        <v>17733783.243900001</v>
      </c>
      <c r="E10" s="1605">
        <v>17518999.18</v>
      </c>
      <c r="F10" s="1605">
        <v>17749212.719999999</v>
      </c>
      <c r="G10" s="1605">
        <v>18241859.16</v>
      </c>
      <c r="H10" s="1605">
        <v>18668112.93</v>
      </c>
      <c r="I10" s="1605">
        <v>18486802.16</v>
      </c>
      <c r="J10" s="1605">
        <v>18848631.379999999</v>
      </c>
      <c r="K10" s="1605">
        <v>18912967.809999999</v>
      </c>
      <c r="L10" s="1605">
        <v>18327423.57</v>
      </c>
      <c r="M10" s="1605">
        <v>18212835.57</v>
      </c>
      <c r="N10" s="1605">
        <v>18349426.370000001</v>
      </c>
      <c r="O10" s="1605">
        <v>18450876.940000001</v>
      </c>
      <c r="P10" s="1605">
        <v>19170388.050000001</v>
      </c>
      <c r="Q10" s="282">
        <f>+SUM(D10:P10)/13</f>
        <v>18359332.237223078</v>
      </c>
      <c r="R10" s="82"/>
    </row>
    <row r="11" spans="1:19" s="66" customFormat="1">
      <c r="A11" s="244"/>
      <c r="B11" s="287"/>
      <c r="C11" s="287"/>
      <c r="D11" s="703"/>
      <c r="E11" s="281"/>
      <c r="F11" s="281"/>
      <c r="G11" s="281"/>
      <c r="H11" s="238"/>
      <c r="I11" s="238"/>
      <c r="J11" s="216"/>
      <c r="K11" s="238"/>
      <c r="L11" s="238"/>
      <c r="M11" s="569"/>
      <c r="N11" s="569"/>
      <c r="O11" s="281"/>
      <c r="P11" s="703"/>
      <c r="Q11" s="281"/>
      <c r="R11" s="82"/>
    </row>
    <row r="12" spans="1:19">
      <c r="A12" s="196" t="s">
        <v>316</v>
      </c>
      <c r="C12" s="196"/>
      <c r="D12" s="196"/>
      <c r="E12" s="196"/>
      <c r="F12" s="196"/>
      <c r="G12" s="196"/>
      <c r="H12" s="196"/>
      <c r="I12" s="196"/>
      <c r="J12" s="196"/>
      <c r="K12" s="196"/>
      <c r="L12" s="196"/>
      <c r="M12" s="196"/>
      <c r="N12" s="196"/>
      <c r="O12" s="196"/>
      <c r="P12" s="196"/>
      <c r="Q12" s="196"/>
      <c r="R12" s="196"/>
    </row>
    <row r="13" spans="1:19">
      <c r="A13" s="829" t="s">
        <v>176</v>
      </c>
      <c r="B13" s="43" t="s">
        <v>612</v>
      </c>
      <c r="C13" s="43"/>
    </row>
    <row r="14" spans="1:19">
      <c r="A14" s="738" t="s">
        <v>338</v>
      </c>
      <c r="B14" s="43" t="s">
        <v>613</v>
      </c>
      <c r="C14" s="43"/>
    </row>
    <row r="15" spans="1:19">
      <c r="A15" s="244"/>
      <c r="B15" s="43"/>
      <c r="C15" s="43"/>
    </row>
  </sheetData>
  <mergeCells count="3">
    <mergeCell ref="A2:Q2"/>
    <mergeCell ref="A1:Q1"/>
    <mergeCell ref="A3:Q3"/>
  </mergeCells>
  <pageMargins left="0.7" right="0.7" top="0.7" bottom="0.7" header="0.3" footer="0.5"/>
  <pageSetup scale="66" orientation="landscape" r:id="rId1"/>
  <headerFooter>
    <oddFooter>&amp;R&amp;A</oddFooter>
  </headerFooter>
  <ignoredErrors>
    <ignoredError sqref="A13:A1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X70"/>
  <sheetViews>
    <sheetView zoomScaleNormal="100" workbookViewId="0">
      <selection sqref="A1:B1"/>
    </sheetView>
  </sheetViews>
  <sheetFormatPr defaultColWidth="8.88671875" defaultRowHeight="13.2"/>
  <cols>
    <col min="1" max="1" width="4.88671875" style="1317" customWidth="1"/>
    <col min="2" max="2" width="8.5546875" style="1303" bestFit="1" customWidth="1"/>
    <col min="3" max="3" width="34.5546875" style="1303" bestFit="1" customWidth="1"/>
    <col min="4" max="4" width="11.6640625" style="1303" customWidth="1"/>
    <col min="5" max="5" width="13.109375" style="1303" bestFit="1" customWidth="1"/>
    <col min="6" max="6" width="12.33203125" style="1303" bestFit="1" customWidth="1"/>
    <col min="7" max="15" width="11.44140625" style="1303" bestFit="1" customWidth="1"/>
    <col min="16" max="16" width="10.44140625" style="1303" bestFit="1" customWidth="1"/>
    <col min="17" max="17" width="11.44140625" style="1303" bestFit="1" customWidth="1"/>
    <col min="18" max="18" width="8.88671875" style="1301"/>
    <col min="19" max="50" width="8.88671875" style="1992"/>
    <col min="51" max="16384" width="8.88671875" style="1303"/>
  </cols>
  <sheetData>
    <row r="1" spans="1:50" s="44" customFormat="1">
      <c r="A1" s="1866" t="str">
        <f>+'MISO Cover'!C6</f>
        <v>Entergy Arkansas, Inc.</v>
      </c>
      <c r="B1" s="1866"/>
      <c r="C1" s="1866"/>
      <c r="D1" s="1866"/>
      <c r="E1" s="1866"/>
      <c r="F1" s="1866"/>
      <c r="G1" s="1866"/>
      <c r="H1" s="1866"/>
      <c r="I1" s="1866"/>
      <c r="J1" s="1866"/>
      <c r="K1" s="1866"/>
      <c r="L1" s="1866"/>
      <c r="M1" s="1866"/>
      <c r="N1" s="1866"/>
      <c r="O1" s="1866"/>
      <c r="P1" s="1866"/>
      <c r="Q1" s="1866"/>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2" spans="1:50" s="44" customFormat="1">
      <c r="A2" s="1858" t="s">
        <v>927</v>
      </c>
      <c r="B2" s="1858"/>
      <c r="C2" s="1858"/>
      <c r="D2" s="1858"/>
      <c r="E2" s="1858"/>
      <c r="F2" s="1858"/>
      <c r="G2" s="1858"/>
      <c r="H2" s="1858"/>
      <c r="I2" s="1858"/>
      <c r="J2" s="1858"/>
      <c r="K2" s="1858"/>
      <c r="L2" s="1858"/>
      <c r="M2" s="1858"/>
      <c r="N2" s="1858"/>
      <c r="O2" s="1858"/>
      <c r="P2" s="1858"/>
      <c r="Q2" s="1858"/>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row>
    <row r="3" spans="1:50" s="44" customFormat="1">
      <c r="A3" s="1866" t="str">
        <f>+'MISO Cover'!K4</f>
        <v>For  the 12 Months Ended 12/31/2016</v>
      </c>
      <c r="B3" s="1866"/>
      <c r="C3" s="1866"/>
      <c r="D3" s="1866"/>
      <c r="E3" s="1866"/>
      <c r="F3" s="1866"/>
      <c r="G3" s="1866"/>
      <c r="H3" s="1866"/>
      <c r="I3" s="1866"/>
      <c r="J3" s="1866"/>
      <c r="K3" s="1866"/>
      <c r="L3" s="1866"/>
      <c r="M3" s="1866"/>
      <c r="N3" s="1866"/>
      <c r="O3" s="1866"/>
      <c r="P3" s="1866"/>
      <c r="Q3" s="1866"/>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row>
    <row r="4" spans="1:50" s="44" customFormat="1">
      <c r="A4" s="1295"/>
      <c r="B4" s="233"/>
      <c r="C4" s="233"/>
      <c r="D4" s="233"/>
      <c r="E4" s="1296"/>
      <c r="F4" s="1296"/>
      <c r="G4" s="1296"/>
      <c r="H4" s="1296"/>
      <c r="I4" s="1296"/>
      <c r="J4" s="1296"/>
      <c r="K4" s="1296"/>
      <c r="L4" s="1296"/>
      <c r="M4" s="1296"/>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s="1295" customFormat="1">
      <c r="A5" s="1295" t="s">
        <v>290</v>
      </c>
      <c r="B5" s="1295" t="s">
        <v>72</v>
      </c>
      <c r="C5" s="1295" t="s">
        <v>119</v>
      </c>
      <c r="D5" s="1295" t="s">
        <v>60</v>
      </c>
      <c r="E5" s="1295" t="s">
        <v>73</v>
      </c>
      <c r="F5" s="1295" t="s">
        <v>71</v>
      </c>
      <c r="G5" s="1295" t="s">
        <v>161</v>
      </c>
      <c r="H5" s="1295" t="s">
        <v>74</v>
      </c>
      <c r="I5" s="1295" t="s">
        <v>174</v>
      </c>
      <c r="J5" s="1295" t="s">
        <v>64</v>
      </c>
      <c r="K5" s="1295" t="s">
        <v>65</v>
      </c>
      <c r="L5" s="1295" t="s">
        <v>76</v>
      </c>
      <c r="M5" s="1295" t="s">
        <v>103</v>
      </c>
      <c r="N5" s="1295" t="s">
        <v>104</v>
      </c>
      <c r="O5" s="1295" t="s">
        <v>162</v>
      </c>
      <c r="P5" s="1295" t="s">
        <v>232</v>
      </c>
      <c r="Q5" s="1295" t="s">
        <v>233</v>
      </c>
      <c r="R5" s="1294"/>
      <c r="S5" s="1823"/>
      <c r="T5" s="1823"/>
      <c r="U5" s="1823"/>
      <c r="V5" s="1823"/>
      <c r="W5" s="1823"/>
      <c r="X5" s="1823"/>
      <c r="Y5" s="1823"/>
      <c r="Z5" s="1823"/>
      <c r="AA5" s="1823"/>
      <c r="AB5" s="1823"/>
      <c r="AC5" s="1823"/>
      <c r="AD5" s="1823"/>
      <c r="AE5" s="1823"/>
      <c r="AF5" s="1823"/>
      <c r="AG5" s="1823"/>
      <c r="AH5" s="1823"/>
      <c r="AI5" s="1823"/>
      <c r="AJ5" s="1823"/>
      <c r="AK5" s="1823"/>
      <c r="AL5" s="1823"/>
      <c r="AM5" s="1823"/>
      <c r="AN5" s="1823"/>
      <c r="AO5" s="1823"/>
      <c r="AP5" s="1823"/>
      <c r="AQ5" s="1823"/>
      <c r="AR5" s="1823"/>
      <c r="AS5" s="1823"/>
      <c r="AT5" s="1823"/>
      <c r="AU5" s="1823"/>
      <c r="AV5" s="1823"/>
      <c r="AW5" s="1823"/>
      <c r="AX5" s="1823"/>
    </row>
    <row r="6" spans="1:50" s="44" customFormat="1" ht="13.2" customHeight="1">
      <c r="B6" s="233"/>
      <c r="C6" s="233"/>
      <c r="D6" s="233"/>
      <c r="E6" s="233"/>
      <c r="F6" s="233"/>
      <c r="G6" s="233"/>
      <c r="H6" s="233"/>
      <c r="I6" s="233"/>
      <c r="J6" s="233"/>
      <c r="Q6" s="1908" t="s">
        <v>277</v>
      </c>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row>
    <row r="7" spans="1:50" s="1301" customFormat="1">
      <c r="A7" s="1297">
        <v>1</v>
      </c>
      <c r="B7" s="1546" t="s">
        <v>180</v>
      </c>
      <c r="C7" s="1546" t="s">
        <v>279</v>
      </c>
      <c r="D7" s="1531" t="s">
        <v>42</v>
      </c>
      <c r="E7" s="1531" t="s">
        <v>32</v>
      </c>
      <c r="F7" s="1531" t="s">
        <v>33</v>
      </c>
      <c r="G7" s="1531" t="s">
        <v>34</v>
      </c>
      <c r="H7" s="1531" t="s">
        <v>35</v>
      </c>
      <c r="I7" s="1531" t="s">
        <v>31</v>
      </c>
      <c r="J7" s="1531" t="s">
        <v>36</v>
      </c>
      <c r="K7" s="1531" t="s">
        <v>37</v>
      </c>
      <c r="L7" s="1531" t="s">
        <v>38</v>
      </c>
      <c r="M7" s="1531" t="s">
        <v>39</v>
      </c>
      <c r="N7" s="1531" t="s">
        <v>40</v>
      </c>
      <c r="O7" s="1531" t="s">
        <v>41</v>
      </c>
      <c r="P7" s="1531" t="s">
        <v>42</v>
      </c>
      <c r="Q7" s="1909"/>
      <c r="S7" s="1992"/>
      <c r="T7" s="1992"/>
      <c r="U7" s="1992"/>
      <c r="V7" s="1992"/>
      <c r="W7" s="1992"/>
      <c r="X7" s="1992"/>
      <c r="Y7" s="1992"/>
      <c r="Z7" s="1992"/>
      <c r="AA7" s="1992"/>
      <c r="AB7" s="1992"/>
      <c r="AC7" s="1992"/>
      <c r="AD7" s="1992"/>
      <c r="AE7" s="1992"/>
      <c r="AF7" s="1992"/>
      <c r="AG7" s="1992"/>
      <c r="AH7" s="1992"/>
      <c r="AI7" s="1992"/>
      <c r="AJ7" s="1992"/>
      <c r="AK7" s="1992"/>
      <c r="AL7" s="1992"/>
      <c r="AM7" s="1992"/>
      <c r="AN7" s="1992"/>
      <c r="AO7" s="1992"/>
      <c r="AP7" s="1992"/>
      <c r="AQ7" s="1992"/>
      <c r="AR7" s="1992"/>
      <c r="AS7" s="1992"/>
      <c r="AT7" s="1992"/>
      <c r="AU7" s="1992"/>
      <c r="AV7" s="1992"/>
      <c r="AW7" s="1992"/>
      <c r="AX7" s="1992"/>
    </row>
    <row r="8" spans="1:50" ht="13.2" customHeight="1">
      <c r="A8" s="1302">
        <f>+A7+1</f>
        <v>2</v>
      </c>
    </row>
    <row r="9" spans="1:50" ht="13.2" customHeight="1">
      <c r="A9" s="1537">
        <f>+A8+0.01</f>
        <v>2.0099999999999998</v>
      </c>
      <c r="B9" s="1587" t="s">
        <v>1380</v>
      </c>
      <c r="C9" s="1588"/>
      <c r="D9" s="199">
        <v>416101.76</v>
      </c>
      <c r="E9" s="199">
        <v>432275.9</v>
      </c>
      <c r="F9" s="221">
        <v>182582.68000000002</v>
      </c>
      <c r="G9" s="221">
        <v>446175.37</v>
      </c>
      <c r="H9" s="221">
        <v>471070.57</v>
      </c>
      <c r="I9" s="221">
        <v>485061.34</v>
      </c>
      <c r="J9" s="221">
        <v>498926.75</v>
      </c>
      <c r="K9" s="221">
        <v>558500.23</v>
      </c>
      <c r="L9" s="221">
        <v>524053.32000000007</v>
      </c>
      <c r="M9" s="221">
        <v>262235.94</v>
      </c>
      <c r="N9" s="221">
        <v>237073.34000000003</v>
      </c>
      <c r="O9" s="221">
        <v>264711.40000000002</v>
      </c>
      <c r="P9" s="221">
        <v>308453.34000000003</v>
      </c>
      <c r="Q9" s="80">
        <f t="shared" ref="Q9:Q22" si="0">SUM(D9:P9)/13</f>
        <v>391324.76461538463</v>
      </c>
      <c r="R9" s="547"/>
    </row>
    <row r="10" spans="1:50" ht="13.2" customHeight="1">
      <c r="A10" s="1537">
        <f t="shared" ref="A10:A29" si="1">+A9+0.01</f>
        <v>2.0199999999999996</v>
      </c>
      <c r="B10" s="1587" t="s">
        <v>1381</v>
      </c>
      <c r="C10" s="1588"/>
      <c r="D10" s="221">
        <v>1593446.0200000005</v>
      </c>
      <c r="E10" s="221">
        <v>1327871.6900000009</v>
      </c>
      <c r="F10" s="221">
        <v>1062297.3600000008</v>
      </c>
      <c r="G10" s="221">
        <v>796723.03000000061</v>
      </c>
      <c r="H10" s="221">
        <v>531148.70000000077</v>
      </c>
      <c r="I10" s="221">
        <v>265574.37000000069</v>
      </c>
      <c r="J10" s="221">
        <v>0</v>
      </c>
      <c r="K10" s="221">
        <v>0</v>
      </c>
      <c r="L10" s="221">
        <v>2988539.1600000006</v>
      </c>
      <c r="M10" s="221">
        <v>2689685.2400000007</v>
      </c>
      <c r="N10" s="221">
        <v>2390831.3200000003</v>
      </c>
      <c r="O10" s="221">
        <v>2091977.4000000006</v>
      </c>
      <c r="P10" s="221">
        <v>1793123.4800000007</v>
      </c>
      <c r="Q10" s="80">
        <f t="shared" si="0"/>
        <v>1348555.2130769235</v>
      </c>
      <c r="R10" s="547"/>
    </row>
    <row r="11" spans="1:50" ht="13.2" customHeight="1">
      <c r="A11" s="1537">
        <f>+A10+0.01</f>
        <v>2.0299999999999994</v>
      </c>
      <c r="B11" s="1587" t="s">
        <v>1382</v>
      </c>
      <c r="C11" s="1588"/>
      <c r="D11" s="221">
        <v>3450453.9399999972</v>
      </c>
      <c r="E11" s="221">
        <v>3589435.6199999978</v>
      </c>
      <c r="F11" s="221">
        <v>2848405.2999999961</v>
      </c>
      <c r="G11" s="221">
        <v>2039894.5199999954</v>
      </c>
      <c r="H11" s="221">
        <v>6273244.6999999974</v>
      </c>
      <c r="I11" s="221">
        <v>5398760.0899999933</v>
      </c>
      <c r="J11" s="221">
        <v>7338296.3999999929</v>
      </c>
      <c r="K11" s="221">
        <v>6476385.7199999942</v>
      </c>
      <c r="L11" s="221">
        <v>5787699.689999992</v>
      </c>
      <c r="M11" s="221">
        <v>4924932.2199999923</v>
      </c>
      <c r="N11" s="221">
        <v>4062164.8199999919</v>
      </c>
      <c r="O11" s="221">
        <v>4115374.1699999934</v>
      </c>
      <c r="P11" s="221">
        <v>3332333.3699999917</v>
      </c>
      <c r="Q11" s="80">
        <f t="shared" si="0"/>
        <v>4587490.8123076865</v>
      </c>
      <c r="R11" s="547"/>
    </row>
    <row r="12" spans="1:50" ht="13.2" customHeight="1">
      <c r="A12" s="1537">
        <f t="shared" si="1"/>
        <v>2.0399999999999991</v>
      </c>
      <c r="B12" s="1587" t="s">
        <v>1383</v>
      </c>
      <c r="C12" s="1588"/>
      <c r="D12" s="221">
        <v>0</v>
      </c>
      <c r="E12" s="221">
        <v>0</v>
      </c>
      <c r="F12" s="221">
        <v>-28634.83</v>
      </c>
      <c r="G12" s="221">
        <v>278776.34000000003</v>
      </c>
      <c r="H12" s="221">
        <v>165078.34000000003</v>
      </c>
      <c r="I12" s="221">
        <v>137284.84</v>
      </c>
      <c r="J12" s="221">
        <v>109491.34</v>
      </c>
      <c r="K12" s="221">
        <v>138967.5</v>
      </c>
      <c r="L12" s="221">
        <v>138967.5</v>
      </c>
      <c r="M12" s="221">
        <v>83380.5</v>
      </c>
      <c r="N12" s="221">
        <v>83380.5</v>
      </c>
      <c r="O12" s="221">
        <v>0</v>
      </c>
      <c r="P12" s="221">
        <v>0</v>
      </c>
      <c r="Q12" s="80">
        <f t="shared" si="0"/>
        <v>85130.156153846154</v>
      </c>
      <c r="R12" s="547"/>
    </row>
    <row r="13" spans="1:50" ht="13.2" customHeight="1">
      <c r="A13" s="1537">
        <f t="shared" si="1"/>
        <v>2.0499999999999989</v>
      </c>
      <c r="B13" s="1587" t="s">
        <v>1384</v>
      </c>
      <c r="C13" s="1588"/>
      <c r="D13" s="221">
        <v>460211.29000000027</v>
      </c>
      <c r="E13" s="221">
        <v>419771.13000000024</v>
      </c>
      <c r="F13" s="221">
        <v>697499.12000000023</v>
      </c>
      <c r="G13" s="221">
        <v>630544.94000000029</v>
      </c>
      <c r="H13" s="221">
        <v>563590.77000000037</v>
      </c>
      <c r="I13" s="221">
        <v>496636.60000000033</v>
      </c>
      <c r="J13" s="221">
        <v>429682.42000000027</v>
      </c>
      <c r="K13" s="221">
        <v>362728.25000000035</v>
      </c>
      <c r="L13" s="221">
        <v>295774.08000000031</v>
      </c>
      <c r="M13" s="221">
        <v>427716.83000000031</v>
      </c>
      <c r="N13" s="221">
        <v>756303.30000000016</v>
      </c>
      <c r="O13" s="221">
        <v>796501.67000000027</v>
      </c>
      <c r="P13" s="221">
        <v>907104.20000000054</v>
      </c>
      <c r="Q13" s="80">
        <f t="shared" si="0"/>
        <v>557235.73846153868</v>
      </c>
      <c r="R13" s="547"/>
    </row>
    <row r="14" spans="1:50" ht="13.2" customHeight="1">
      <c r="A14" s="1537">
        <f>+A13+0.01</f>
        <v>2.0599999999999987</v>
      </c>
      <c r="B14" s="1587" t="s">
        <v>1385</v>
      </c>
      <c r="C14" s="1588"/>
      <c r="D14" s="221">
        <v>64384.450000000026</v>
      </c>
      <c r="E14" s="221">
        <v>53653.700000000026</v>
      </c>
      <c r="F14" s="221">
        <v>42922.950000000026</v>
      </c>
      <c r="G14" s="221">
        <v>32192.20000000003</v>
      </c>
      <c r="H14" s="221">
        <v>21461.45000000003</v>
      </c>
      <c r="I14" s="221">
        <v>10730.70000000003</v>
      </c>
      <c r="J14" s="221">
        <v>0</v>
      </c>
      <c r="K14" s="221">
        <v>123321.9399999999</v>
      </c>
      <c r="L14" s="221">
        <v>112110.84999999993</v>
      </c>
      <c r="M14" s="221">
        <v>100899.75999999997</v>
      </c>
      <c r="N14" s="221">
        <v>89688.67</v>
      </c>
      <c r="O14" s="221">
        <v>78477.579999999914</v>
      </c>
      <c r="P14" s="221">
        <v>67266.489999999947</v>
      </c>
      <c r="Q14" s="80">
        <f t="shared" si="0"/>
        <v>61316.210769230769</v>
      </c>
      <c r="R14" s="547"/>
    </row>
    <row r="15" spans="1:50" ht="13.2" customHeight="1">
      <c r="A15" s="1537">
        <f t="shared" si="1"/>
        <v>2.0699999999999985</v>
      </c>
      <c r="B15" s="1587" t="s">
        <v>1386</v>
      </c>
      <c r="C15" s="1588"/>
      <c r="D15" s="221">
        <v>0</v>
      </c>
      <c r="E15" s="221">
        <v>0</v>
      </c>
      <c r="F15" s="221">
        <v>0</v>
      </c>
      <c r="G15" s="221">
        <v>0</v>
      </c>
      <c r="H15" s="221">
        <v>789184.44</v>
      </c>
      <c r="I15" s="221">
        <v>690536.38</v>
      </c>
      <c r="J15" s="221">
        <v>591888.31999999995</v>
      </c>
      <c r="K15" s="221">
        <v>493240.26</v>
      </c>
      <c r="L15" s="221">
        <v>493240.26</v>
      </c>
      <c r="M15" s="221">
        <v>295944.14</v>
      </c>
      <c r="N15" s="221">
        <v>295944.14</v>
      </c>
      <c r="O15" s="221">
        <v>0</v>
      </c>
      <c r="P15" s="221">
        <v>0</v>
      </c>
      <c r="Q15" s="80">
        <f t="shared" si="0"/>
        <v>280767.53384615382</v>
      </c>
      <c r="R15" s="547"/>
    </row>
    <row r="16" spans="1:50" ht="13.2" customHeight="1">
      <c r="A16" s="1537">
        <f t="shared" si="1"/>
        <v>2.0799999999999983</v>
      </c>
      <c r="B16" s="1587" t="s">
        <v>1387</v>
      </c>
      <c r="C16" s="1588"/>
      <c r="D16" s="221">
        <v>-1.0000000009313226E-2</v>
      </c>
      <c r="E16" s="221">
        <v>1691545.58</v>
      </c>
      <c r="F16" s="221">
        <v>1409621.3</v>
      </c>
      <c r="G16" s="221">
        <v>1268659.1600000001</v>
      </c>
      <c r="H16" s="221">
        <v>1127697.02</v>
      </c>
      <c r="I16" s="221">
        <v>986734.88</v>
      </c>
      <c r="J16" s="221">
        <v>845772.74</v>
      </c>
      <c r="K16" s="221">
        <v>704810.60000000009</v>
      </c>
      <c r="L16" s="221">
        <v>563848.46</v>
      </c>
      <c r="M16" s="221">
        <v>422886.32000000007</v>
      </c>
      <c r="N16" s="221">
        <v>281924.17999999993</v>
      </c>
      <c r="O16" s="221">
        <v>140962.04000000004</v>
      </c>
      <c r="P16" s="221">
        <v>-1.0000000009313226E-2</v>
      </c>
      <c r="Q16" s="80">
        <f t="shared" si="0"/>
        <v>726497.0969230769</v>
      </c>
      <c r="R16" s="547"/>
    </row>
    <row r="17" spans="1:50" ht="13.2" customHeight="1">
      <c r="A17" s="1537">
        <f t="shared" si="1"/>
        <v>2.0899999999999981</v>
      </c>
      <c r="B17" s="1587" t="s">
        <v>1388</v>
      </c>
      <c r="C17" s="1588"/>
      <c r="D17" s="221">
        <v>-0.01</v>
      </c>
      <c r="E17" s="221">
        <v>-0.01</v>
      </c>
      <c r="F17" s="221">
        <v>719128.9</v>
      </c>
      <c r="G17" s="221">
        <v>539346.67000000004</v>
      </c>
      <c r="H17" s="221">
        <v>479419.26</v>
      </c>
      <c r="I17" s="221">
        <v>419491.85</v>
      </c>
      <c r="J17" s="221">
        <v>359564.44</v>
      </c>
      <c r="K17" s="221">
        <v>299637.02999999997</v>
      </c>
      <c r="L17" s="221">
        <v>239709.62</v>
      </c>
      <c r="M17" s="221">
        <v>179782.21</v>
      </c>
      <c r="N17" s="221">
        <v>119854.8</v>
      </c>
      <c r="O17" s="221">
        <v>59927.39</v>
      </c>
      <c r="P17" s="221">
        <v>-0.01</v>
      </c>
      <c r="Q17" s="80">
        <f t="shared" si="0"/>
        <v>262758.62615384615</v>
      </c>
      <c r="R17" s="547"/>
    </row>
    <row r="18" spans="1:50" ht="13.2" customHeight="1">
      <c r="A18" s="1537">
        <f t="shared" si="1"/>
        <v>2.0999999999999979</v>
      </c>
      <c r="B18" s="1587" t="s">
        <v>1696</v>
      </c>
      <c r="C18" s="1588"/>
      <c r="D18" s="221">
        <v>441324.07000000007</v>
      </c>
      <c r="E18" s="221">
        <v>392288.05000000005</v>
      </c>
      <c r="F18" s="221">
        <v>848459.97000000044</v>
      </c>
      <c r="G18" s="221">
        <v>799423.95000000019</v>
      </c>
      <c r="H18" s="221">
        <v>750387.93000000017</v>
      </c>
      <c r="I18" s="221">
        <v>701351.91000000015</v>
      </c>
      <c r="J18" s="221">
        <v>652315.89000000013</v>
      </c>
      <c r="K18" s="221">
        <v>603279.87000000011</v>
      </c>
      <c r="L18" s="221">
        <v>554243.85000000009</v>
      </c>
      <c r="M18" s="221">
        <v>505207.94000000018</v>
      </c>
      <c r="N18" s="221">
        <v>463107.27</v>
      </c>
      <c r="O18" s="221">
        <v>421006.60000000009</v>
      </c>
      <c r="P18" s="221">
        <v>378905.93000000017</v>
      </c>
      <c r="Q18" s="80">
        <f t="shared" si="0"/>
        <v>577792.55615384632</v>
      </c>
      <c r="R18" s="547"/>
    </row>
    <row r="19" spans="1:50" ht="13.2" customHeight="1">
      <c r="A19" s="1537">
        <f t="shared" si="1"/>
        <v>2.1099999999999977</v>
      </c>
      <c r="B19" s="1587" t="s">
        <v>1389</v>
      </c>
      <c r="C19" s="1588"/>
      <c r="D19" s="221">
        <v>0</v>
      </c>
      <c r="E19" s="221">
        <v>299901.32000000007</v>
      </c>
      <c r="F19" s="221">
        <v>272637.56000000006</v>
      </c>
      <c r="G19" s="221">
        <v>245373.80000000005</v>
      </c>
      <c r="H19" s="221">
        <v>218110.04000000004</v>
      </c>
      <c r="I19" s="221">
        <v>190846.28000000003</v>
      </c>
      <c r="J19" s="221">
        <v>163582.52000000002</v>
      </c>
      <c r="K19" s="221">
        <v>136318.76</v>
      </c>
      <c r="L19" s="221">
        <v>109055</v>
      </c>
      <c r="M19" s="221">
        <v>81791.239999999991</v>
      </c>
      <c r="N19" s="221">
        <v>54527.479999999981</v>
      </c>
      <c r="O19" s="221">
        <v>27263.719999999972</v>
      </c>
      <c r="P19" s="221">
        <v>0</v>
      </c>
      <c r="Q19" s="80">
        <f t="shared" si="0"/>
        <v>138415.97846153847</v>
      </c>
    </row>
    <row r="20" spans="1:50" ht="13.2" customHeight="1">
      <c r="A20" s="1537">
        <f t="shared" si="1"/>
        <v>2.1199999999999974</v>
      </c>
      <c r="B20" s="1587" t="s">
        <v>1390</v>
      </c>
      <c r="C20" s="1588"/>
      <c r="D20" s="221">
        <v>0</v>
      </c>
      <c r="E20" s="221">
        <v>1676666.6600000001</v>
      </c>
      <c r="F20" s="221">
        <v>838333.3200000003</v>
      </c>
      <c r="G20" s="221">
        <v>0</v>
      </c>
      <c r="H20" s="221">
        <v>1676666.6799999997</v>
      </c>
      <c r="I20" s="221">
        <v>838333.3200000003</v>
      </c>
      <c r="J20" s="221">
        <v>0</v>
      </c>
      <c r="K20" s="221">
        <v>0</v>
      </c>
      <c r="L20" s="221">
        <v>0</v>
      </c>
      <c r="M20" s="221">
        <v>0</v>
      </c>
      <c r="N20" s="221">
        <v>0</v>
      </c>
      <c r="O20" s="221">
        <v>0</v>
      </c>
      <c r="P20" s="221">
        <v>0</v>
      </c>
      <c r="Q20" s="80">
        <f t="shared" si="0"/>
        <v>386923.0753846154</v>
      </c>
      <c r="R20" s="547"/>
    </row>
    <row r="21" spans="1:50" ht="13.2" customHeight="1">
      <c r="A21" s="1537">
        <f t="shared" si="1"/>
        <v>2.1299999999999972</v>
      </c>
      <c r="B21" s="1587" t="s">
        <v>1391</v>
      </c>
      <c r="C21" s="1588"/>
      <c r="D21" s="221">
        <v>26114.400000000001</v>
      </c>
      <c r="E21" s="221">
        <v>24663.599999999999</v>
      </c>
      <c r="F21" s="221">
        <v>23212.799999999999</v>
      </c>
      <c r="G21" s="221">
        <v>21762</v>
      </c>
      <c r="H21" s="221">
        <v>20311.2</v>
      </c>
      <c r="I21" s="221">
        <v>18860.400000000001</v>
      </c>
      <c r="J21" s="221">
        <v>17409.599999999999</v>
      </c>
      <c r="K21" s="221">
        <v>15958.8</v>
      </c>
      <c r="L21" s="221">
        <v>14508</v>
      </c>
      <c r="M21" s="221">
        <v>13057.2</v>
      </c>
      <c r="N21" s="221">
        <v>11606.4</v>
      </c>
      <c r="O21" s="221">
        <v>10155.6</v>
      </c>
      <c r="P21" s="221">
        <v>8704.7999999999993</v>
      </c>
      <c r="Q21" s="80">
        <f t="shared" si="0"/>
        <v>17409.599999999999</v>
      </c>
      <c r="R21" s="547"/>
    </row>
    <row r="22" spans="1:50" ht="13.2" customHeight="1">
      <c r="A22" s="1537">
        <f t="shared" si="1"/>
        <v>2.139999999999997</v>
      </c>
      <c r="B22" s="1587" t="s">
        <v>1392</v>
      </c>
      <c r="C22" s="1588"/>
      <c r="D22" s="221">
        <v>123473.27999999994</v>
      </c>
      <c r="E22" s="221">
        <v>123348.26999999993</v>
      </c>
      <c r="F22" s="221">
        <v>123029.22999999998</v>
      </c>
      <c r="G22" s="221">
        <v>123125.84999999992</v>
      </c>
      <c r="H22" s="221">
        <v>123029.98999999993</v>
      </c>
      <c r="I22" s="221">
        <v>116821.97999999998</v>
      </c>
      <c r="J22" s="221">
        <v>117692.84999999998</v>
      </c>
      <c r="K22" s="221">
        <v>117081.31999999998</v>
      </c>
      <c r="L22" s="221">
        <v>116868.30999999994</v>
      </c>
      <c r="M22" s="221">
        <v>116724.57999999993</v>
      </c>
      <c r="N22" s="221">
        <v>97322.389999999985</v>
      </c>
      <c r="O22" s="221">
        <v>97178.669999999984</v>
      </c>
      <c r="P22" s="221">
        <v>91906.180000000008</v>
      </c>
      <c r="Q22" s="80">
        <f t="shared" si="0"/>
        <v>114430.99230769224</v>
      </c>
      <c r="R22" s="547"/>
    </row>
    <row r="23" spans="1:50" s="1306" customFormat="1" ht="13.2" customHeight="1">
      <c r="A23" s="1537">
        <f t="shared" si="1"/>
        <v>2.1499999999999968</v>
      </c>
      <c r="B23" s="1587" t="s">
        <v>1393</v>
      </c>
      <c r="C23" s="1588"/>
      <c r="D23" s="208">
        <v>-2265.9300000000221</v>
      </c>
      <c r="E23" s="208">
        <v>-2265.9300000000221</v>
      </c>
      <c r="F23" s="208">
        <v>-2265.9300000000221</v>
      </c>
      <c r="G23" s="208">
        <v>0</v>
      </c>
      <c r="H23" s="208">
        <v>0</v>
      </c>
      <c r="I23" s="208">
        <v>0</v>
      </c>
      <c r="J23" s="208">
        <v>0</v>
      </c>
      <c r="K23" s="208">
        <v>0</v>
      </c>
      <c r="L23" s="208">
        <v>0</v>
      </c>
      <c r="M23" s="208">
        <v>0</v>
      </c>
      <c r="N23" s="208">
        <v>0</v>
      </c>
      <c r="O23" s="208">
        <v>0</v>
      </c>
      <c r="P23" s="208">
        <v>0</v>
      </c>
      <c r="Q23" s="282">
        <f>SUM(D23:P23)/13</f>
        <v>-522.90692307692814</v>
      </c>
      <c r="R23" s="563"/>
      <c r="S23" s="1993"/>
      <c r="T23" s="1993"/>
      <c r="U23" s="1993"/>
      <c r="V23" s="1993"/>
      <c r="W23" s="1993"/>
      <c r="X23" s="1993"/>
      <c r="Y23" s="1993"/>
      <c r="Z23" s="1993"/>
      <c r="AA23" s="1993"/>
      <c r="AB23" s="1993"/>
      <c r="AC23" s="1993"/>
      <c r="AD23" s="1993"/>
      <c r="AE23" s="1993"/>
      <c r="AF23" s="1993"/>
      <c r="AG23" s="1993"/>
      <c r="AH23" s="1993"/>
      <c r="AI23" s="1993"/>
      <c r="AJ23" s="1993"/>
      <c r="AK23" s="1993"/>
      <c r="AL23" s="1993"/>
      <c r="AM23" s="1993"/>
      <c r="AN23" s="1993"/>
      <c r="AO23" s="1993"/>
      <c r="AP23" s="1993"/>
      <c r="AQ23" s="1993"/>
      <c r="AR23" s="1993"/>
      <c r="AS23" s="1993"/>
      <c r="AT23" s="1993"/>
      <c r="AU23" s="1993"/>
      <c r="AV23" s="1993"/>
      <c r="AW23" s="1993"/>
      <c r="AX23" s="1993"/>
    </row>
    <row r="24" spans="1:50" s="1602" customFormat="1" ht="13.2" customHeight="1">
      <c r="A24" s="1717">
        <f t="shared" si="1"/>
        <v>2.1599999999999966</v>
      </c>
      <c r="B24" s="1394" t="s">
        <v>1516</v>
      </c>
      <c r="C24" s="1718"/>
      <c r="D24" s="208">
        <v>0</v>
      </c>
      <c r="E24" s="208">
        <v>0</v>
      </c>
      <c r="F24" s="208">
        <v>0</v>
      </c>
      <c r="G24" s="208">
        <v>0</v>
      </c>
      <c r="H24" s="208">
        <v>0</v>
      </c>
      <c r="I24" s="208">
        <v>0</v>
      </c>
      <c r="J24" s="208">
        <v>0</v>
      </c>
      <c r="K24" s="208">
        <v>0</v>
      </c>
      <c r="L24" s="208">
        <v>0</v>
      </c>
      <c r="M24" s="208">
        <v>0</v>
      </c>
      <c r="N24" s="208">
        <v>0</v>
      </c>
      <c r="O24" s="208">
        <v>0</v>
      </c>
      <c r="P24" s="208">
        <v>30070.42</v>
      </c>
      <c r="Q24" s="282">
        <f t="shared" ref="Q24:Q29" si="2">SUM(D24:P24)/13</f>
        <v>2313.1092307692306</v>
      </c>
      <c r="R24" s="547"/>
      <c r="S24" s="1992" t="s">
        <v>1518</v>
      </c>
      <c r="T24" s="1992"/>
      <c r="U24" s="1992"/>
      <c r="V24" s="1992"/>
      <c r="W24" s="1992"/>
      <c r="X24" s="1992"/>
      <c r="Y24" s="1992"/>
      <c r="Z24" s="1992"/>
      <c r="AA24" s="1992"/>
      <c r="AB24" s="1992"/>
      <c r="AC24" s="1992"/>
      <c r="AD24" s="1992"/>
      <c r="AE24" s="1992"/>
      <c r="AF24" s="1992"/>
      <c r="AG24" s="1992"/>
      <c r="AH24" s="1992"/>
      <c r="AI24" s="1992"/>
      <c r="AJ24" s="1992"/>
      <c r="AK24" s="1992"/>
      <c r="AL24" s="1992"/>
      <c r="AM24" s="1992"/>
      <c r="AN24" s="1992"/>
      <c r="AO24" s="1992"/>
      <c r="AP24" s="1992"/>
      <c r="AQ24" s="1992"/>
      <c r="AR24" s="1992"/>
      <c r="AS24" s="1992"/>
      <c r="AT24" s="1992"/>
      <c r="AU24" s="1992"/>
      <c r="AV24" s="1992"/>
      <c r="AW24" s="1992"/>
      <c r="AX24" s="1992"/>
    </row>
    <row r="25" spans="1:50" s="1602" customFormat="1" ht="13.2" customHeight="1">
      <c r="A25" s="1717">
        <f t="shared" si="1"/>
        <v>2.1699999999999964</v>
      </c>
      <c r="B25" s="1394" t="s">
        <v>1517</v>
      </c>
      <c r="C25" s="1718"/>
      <c r="D25" s="208">
        <v>0</v>
      </c>
      <c r="E25" s="208">
        <v>0</v>
      </c>
      <c r="F25" s="208">
        <v>0</v>
      </c>
      <c r="G25" s="208">
        <v>0</v>
      </c>
      <c r="H25" s="208">
        <v>0</v>
      </c>
      <c r="I25" s="208">
        <v>0</v>
      </c>
      <c r="J25" s="208">
        <v>0</v>
      </c>
      <c r="K25" s="208">
        <v>0</v>
      </c>
      <c r="L25" s="208">
        <v>0</v>
      </c>
      <c r="M25" s="208">
        <v>0</v>
      </c>
      <c r="N25" s="208">
        <v>0</v>
      </c>
      <c r="O25" s="208">
        <v>0</v>
      </c>
      <c r="P25" s="208">
        <v>0</v>
      </c>
      <c r="Q25" s="282">
        <f t="shared" si="2"/>
        <v>0</v>
      </c>
      <c r="R25" s="547"/>
      <c r="S25" s="1992" t="s">
        <v>1519</v>
      </c>
      <c r="T25" s="1992"/>
      <c r="U25" s="1992"/>
      <c r="V25" s="1992"/>
      <c r="W25" s="1992"/>
      <c r="X25" s="1992"/>
      <c r="Y25" s="1992"/>
      <c r="Z25" s="1992"/>
      <c r="AA25" s="1992"/>
      <c r="AB25" s="1992"/>
      <c r="AC25" s="1992"/>
      <c r="AD25" s="1992"/>
      <c r="AE25" s="1992"/>
      <c r="AF25" s="1992"/>
      <c r="AG25" s="1992"/>
      <c r="AH25" s="1992"/>
      <c r="AI25" s="1992"/>
      <c r="AJ25" s="1992"/>
      <c r="AK25" s="1992"/>
      <c r="AL25" s="1992"/>
      <c r="AM25" s="1992"/>
      <c r="AN25" s="1992"/>
      <c r="AO25" s="1992"/>
      <c r="AP25" s="1992"/>
      <c r="AQ25" s="1992"/>
      <c r="AR25" s="1992"/>
      <c r="AS25" s="1992"/>
      <c r="AT25" s="1992"/>
      <c r="AU25" s="1992"/>
      <c r="AV25" s="1992"/>
      <c r="AW25" s="1992"/>
      <c r="AX25" s="1992"/>
    </row>
    <row r="26" spans="1:50" s="1602" customFormat="1" ht="13.2" customHeight="1">
      <c r="A26" s="1717">
        <f t="shared" si="1"/>
        <v>2.1799999999999962</v>
      </c>
      <c r="B26" s="1394" t="s">
        <v>1563</v>
      </c>
      <c r="C26" s="1718"/>
      <c r="D26" s="208">
        <v>0</v>
      </c>
      <c r="E26" s="208">
        <v>0</v>
      </c>
      <c r="F26" s="208">
        <v>0</v>
      </c>
      <c r="G26" s="208">
        <v>32400</v>
      </c>
      <c r="H26" s="208">
        <v>0</v>
      </c>
      <c r="I26" s="208">
        <v>0</v>
      </c>
      <c r="J26" s="208">
        <v>0</v>
      </c>
      <c r="K26" s="208">
        <v>0</v>
      </c>
      <c r="L26" s="208">
        <v>0</v>
      </c>
      <c r="M26" s="208">
        <v>0</v>
      </c>
      <c r="N26" s="208">
        <v>0</v>
      </c>
      <c r="O26" s="208">
        <v>0</v>
      </c>
      <c r="P26" s="208">
        <v>0</v>
      </c>
      <c r="Q26" s="282">
        <f t="shared" si="2"/>
        <v>2492.3076923076924</v>
      </c>
      <c r="R26" s="547"/>
      <c r="S26" s="1992" t="s">
        <v>1557</v>
      </c>
      <c r="T26" s="1992"/>
      <c r="U26" s="1992"/>
      <c r="V26" s="1992"/>
      <c r="W26" s="1992"/>
      <c r="X26" s="1992"/>
      <c r="Y26" s="1992"/>
      <c r="Z26" s="1992"/>
      <c r="AA26" s="1992"/>
      <c r="AB26" s="1992"/>
      <c r="AC26" s="1992"/>
      <c r="AD26" s="1992"/>
      <c r="AE26" s="1992"/>
      <c r="AF26" s="1992"/>
      <c r="AG26" s="1992"/>
      <c r="AH26" s="1992"/>
      <c r="AI26" s="1992"/>
      <c r="AJ26" s="1992"/>
      <c r="AK26" s="1992"/>
      <c r="AL26" s="1992"/>
      <c r="AM26" s="1992"/>
      <c r="AN26" s="1992"/>
      <c r="AO26" s="1992"/>
      <c r="AP26" s="1992"/>
      <c r="AQ26" s="1992"/>
      <c r="AR26" s="1992"/>
      <c r="AS26" s="1992"/>
      <c r="AT26" s="1992"/>
      <c r="AU26" s="1992"/>
      <c r="AV26" s="1992"/>
      <c r="AW26" s="1992"/>
      <c r="AX26" s="1992"/>
    </row>
    <row r="27" spans="1:50" s="1602" customFormat="1" ht="13.2" customHeight="1">
      <c r="A27" s="1717">
        <f t="shared" si="1"/>
        <v>2.1899999999999959</v>
      </c>
      <c r="B27" s="1394" t="s">
        <v>1564</v>
      </c>
      <c r="C27" s="1718"/>
      <c r="D27" s="208">
        <v>0</v>
      </c>
      <c r="E27" s="208">
        <v>0</v>
      </c>
      <c r="F27" s="208">
        <v>0</v>
      </c>
      <c r="G27" s="208">
        <v>7372.62</v>
      </c>
      <c r="H27" s="208">
        <v>7372.62</v>
      </c>
      <c r="I27" s="208">
        <v>2949.03</v>
      </c>
      <c r="J27" s="208">
        <v>1474.5</v>
      </c>
      <c r="K27" s="208">
        <v>0</v>
      </c>
      <c r="L27" s="208">
        <v>0</v>
      </c>
      <c r="M27" s="208">
        <v>0</v>
      </c>
      <c r="N27" s="208">
        <v>0</v>
      </c>
      <c r="O27" s="208">
        <v>0</v>
      </c>
      <c r="P27" s="208">
        <v>0</v>
      </c>
      <c r="Q27" s="282">
        <f t="shared" si="2"/>
        <v>1474.5207692307692</v>
      </c>
      <c r="R27" s="547"/>
      <c r="S27" s="1992" t="s">
        <v>1557</v>
      </c>
      <c r="T27" s="1992"/>
      <c r="U27" s="1992"/>
      <c r="V27" s="1992"/>
      <c r="W27" s="1992"/>
      <c r="X27" s="1992"/>
      <c r="Y27" s="1992"/>
      <c r="Z27" s="1992"/>
      <c r="AA27" s="1992"/>
      <c r="AB27" s="1992"/>
      <c r="AC27" s="1992"/>
      <c r="AD27" s="1992"/>
      <c r="AE27" s="1992"/>
      <c r="AF27" s="1992"/>
      <c r="AG27" s="1992"/>
      <c r="AH27" s="1992"/>
      <c r="AI27" s="1992"/>
      <c r="AJ27" s="1992"/>
      <c r="AK27" s="1992"/>
      <c r="AL27" s="1992"/>
      <c r="AM27" s="1992"/>
      <c r="AN27" s="1992"/>
      <c r="AO27" s="1992"/>
      <c r="AP27" s="1992"/>
      <c r="AQ27" s="1992"/>
      <c r="AR27" s="1992"/>
      <c r="AS27" s="1992"/>
      <c r="AT27" s="1992"/>
      <c r="AU27" s="1992"/>
      <c r="AV27" s="1992"/>
      <c r="AW27" s="1992"/>
      <c r="AX27" s="1992"/>
    </row>
    <row r="28" spans="1:50" ht="13.2" customHeight="1">
      <c r="A28" s="1717">
        <f t="shared" si="1"/>
        <v>2.1999999999999957</v>
      </c>
      <c r="B28" s="1394" t="s">
        <v>1565</v>
      </c>
      <c r="C28" s="1718"/>
      <c r="D28" s="208">
        <v>0</v>
      </c>
      <c r="E28" s="208">
        <v>0</v>
      </c>
      <c r="F28" s="208">
        <v>0</v>
      </c>
      <c r="G28" s="208">
        <v>0</v>
      </c>
      <c r="H28" s="208">
        <v>0</v>
      </c>
      <c r="I28" s="208">
        <v>0</v>
      </c>
      <c r="J28" s="208">
        <v>0</v>
      </c>
      <c r="K28" s="208">
        <v>0</v>
      </c>
      <c r="L28" s="208">
        <v>0</v>
      </c>
      <c r="M28" s="208">
        <v>0</v>
      </c>
      <c r="N28" s="208">
        <v>0</v>
      </c>
      <c r="O28" s="208">
        <v>0</v>
      </c>
      <c r="P28" s="208">
        <v>318314.34000000003</v>
      </c>
      <c r="Q28" s="282">
        <f t="shared" si="2"/>
        <v>24485.718461538465</v>
      </c>
      <c r="R28" s="547"/>
      <c r="S28" s="1992" t="s">
        <v>1557</v>
      </c>
    </row>
    <row r="29" spans="1:50" ht="13.2" customHeight="1">
      <c r="A29" s="1717">
        <f t="shared" si="1"/>
        <v>2.2099999999999955</v>
      </c>
      <c r="B29" s="826"/>
      <c r="C29" s="1403" t="s">
        <v>969</v>
      </c>
      <c r="D29" s="208">
        <v>0</v>
      </c>
      <c r="E29" s="208">
        <v>0</v>
      </c>
      <c r="F29" s="208">
        <v>0</v>
      </c>
      <c r="G29" s="208">
        <v>0</v>
      </c>
      <c r="H29" s="208">
        <v>0</v>
      </c>
      <c r="I29" s="208">
        <v>0</v>
      </c>
      <c r="J29" s="208">
        <v>0</v>
      </c>
      <c r="K29" s="208">
        <v>0</v>
      </c>
      <c r="L29" s="208">
        <v>0</v>
      </c>
      <c r="M29" s="208">
        <v>0</v>
      </c>
      <c r="N29" s="208">
        <v>0</v>
      </c>
      <c r="O29" s="208">
        <v>0</v>
      </c>
      <c r="P29" s="208">
        <v>0</v>
      </c>
      <c r="Q29" s="282">
        <f t="shared" si="2"/>
        <v>0</v>
      </c>
      <c r="R29" s="547"/>
    </row>
    <row r="30" spans="1:50" ht="13.2" customHeight="1">
      <c r="A30" s="1538" t="s">
        <v>960</v>
      </c>
      <c r="B30" s="826"/>
      <c r="C30" s="1403" t="s">
        <v>969</v>
      </c>
      <c r="D30" s="208">
        <v>0</v>
      </c>
      <c r="E30" s="208">
        <v>0</v>
      </c>
      <c r="F30" s="208">
        <v>0</v>
      </c>
      <c r="G30" s="208">
        <v>0</v>
      </c>
      <c r="H30" s="208">
        <v>0</v>
      </c>
      <c r="I30" s="208">
        <v>0</v>
      </c>
      <c r="J30" s="208">
        <v>0</v>
      </c>
      <c r="K30" s="208">
        <v>0</v>
      </c>
      <c r="L30" s="208">
        <v>0</v>
      </c>
      <c r="M30" s="208">
        <v>0</v>
      </c>
      <c r="N30" s="208">
        <v>0</v>
      </c>
      <c r="O30" s="208">
        <v>0</v>
      </c>
      <c r="P30" s="208">
        <v>0</v>
      </c>
      <c r="Q30" s="282">
        <f>SUM(D30:P30)/13</f>
        <v>0</v>
      </c>
      <c r="R30" s="547"/>
    </row>
    <row r="31" spans="1:50" s="1306" customFormat="1" ht="13.2" customHeight="1">
      <c r="A31" s="1538" t="s">
        <v>962</v>
      </c>
      <c r="B31" s="826"/>
      <c r="C31" s="1403" t="s">
        <v>969</v>
      </c>
      <c r="D31" s="277">
        <v>0</v>
      </c>
      <c r="E31" s="277">
        <v>0</v>
      </c>
      <c r="F31" s="277">
        <v>0</v>
      </c>
      <c r="G31" s="277">
        <v>0</v>
      </c>
      <c r="H31" s="277">
        <v>0</v>
      </c>
      <c r="I31" s="277">
        <v>0</v>
      </c>
      <c r="J31" s="277">
        <v>0</v>
      </c>
      <c r="K31" s="277">
        <v>0</v>
      </c>
      <c r="L31" s="277">
        <v>0</v>
      </c>
      <c r="M31" s="277">
        <v>0</v>
      </c>
      <c r="N31" s="277">
        <v>0</v>
      </c>
      <c r="O31" s="277">
        <v>0</v>
      </c>
      <c r="P31" s="277">
        <v>0</v>
      </c>
      <c r="Q31" s="590">
        <f>SUM(D31:P31)/13</f>
        <v>0</v>
      </c>
      <c r="R31" s="563"/>
      <c r="S31" s="1993"/>
      <c r="T31" s="1993"/>
      <c r="U31" s="1993"/>
      <c r="V31" s="1993"/>
      <c r="W31" s="1993"/>
      <c r="X31" s="1993"/>
      <c r="Y31" s="1993"/>
      <c r="Z31" s="1993"/>
      <c r="AA31" s="1993"/>
      <c r="AB31" s="1993"/>
      <c r="AC31" s="1993"/>
      <c r="AD31" s="1993"/>
      <c r="AE31" s="1993"/>
      <c r="AF31" s="1993"/>
      <c r="AG31" s="1993"/>
      <c r="AH31" s="1993"/>
      <c r="AI31" s="1993"/>
      <c r="AJ31" s="1993"/>
      <c r="AK31" s="1993"/>
      <c r="AL31" s="1993"/>
      <c r="AM31" s="1993"/>
      <c r="AN31" s="1993"/>
      <c r="AO31" s="1993"/>
      <c r="AP31" s="1993"/>
      <c r="AQ31" s="1993"/>
      <c r="AR31" s="1993"/>
      <c r="AS31" s="1993"/>
      <c r="AT31" s="1993"/>
      <c r="AU31" s="1993"/>
      <c r="AV31" s="1993"/>
      <c r="AW31" s="1993"/>
      <c r="AX31" s="1993"/>
    </row>
    <row r="32" spans="1:50" ht="13.2" customHeight="1">
      <c r="A32" s="1302">
        <f>+A8+1</f>
        <v>3</v>
      </c>
      <c r="B32" s="1303" t="s">
        <v>118</v>
      </c>
      <c r="C32" s="1301" t="str">
        <f>+"Sum Line "&amp;A8&amp;" Subparts"</f>
        <v>Sum Line 2 Subparts</v>
      </c>
      <c r="D32" s="1307">
        <f t="shared" ref="D32:Q32" si="3">SUM(D9:D31)</f>
        <v>6573243.2599999998</v>
      </c>
      <c r="E32" s="1307">
        <f t="shared" si="3"/>
        <v>10029155.58</v>
      </c>
      <c r="F32" s="1307">
        <f t="shared" si="3"/>
        <v>9037229.7300000004</v>
      </c>
      <c r="G32" s="1307">
        <f t="shared" si="3"/>
        <v>7261770.4499999965</v>
      </c>
      <c r="H32" s="1307">
        <f t="shared" si="3"/>
        <v>13217773.709999997</v>
      </c>
      <c r="I32" s="1307">
        <f t="shared" si="3"/>
        <v>10759973.969999995</v>
      </c>
      <c r="J32" s="1307">
        <f t="shared" si="3"/>
        <v>11126097.769999992</v>
      </c>
      <c r="K32" s="1307">
        <f t="shared" si="3"/>
        <v>10030230.279999992</v>
      </c>
      <c r="L32" s="1307">
        <f t="shared" si="3"/>
        <v>11938618.099999992</v>
      </c>
      <c r="M32" s="1307">
        <f t="shared" si="3"/>
        <v>10104244.119999994</v>
      </c>
      <c r="N32" s="1307">
        <f t="shared" si="3"/>
        <v>8943728.609999992</v>
      </c>
      <c r="O32" s="1307">
        <f t="shared" si="3"/>
        <v>8103536.2399999937</v>
      </c>
      <c r="P32" s="1307">
        <f t="shared" si="3"/>
        <v>7236182.5299999928</v>
      </c>
      <c r="Q32" s="1308">
        <f t="shared" si="3"/>
        <v>9566291.1038461495</v>
      </c>
    </row>
    <row r="33" spans="1:50" ht="13.2" customHeight="1">
      <c r="A33" s="1302"/>
      <c r="C33" s="1301"/>
      <c r="D33" s="1307" t="s">
        <v>645</v>
      </c>
      <c r="E33" s="1301"/>
      <c r="F33" s="1301"/>
      <c r="G33" s="1301"/>
      <c r="H33" s="1301"/>
      <c r="I33" s="1301"/>
      <c r="J33" s="1301"/>
      <c r="K33" s="1301"/>
      <c r="L33" s="1301"/>
      <c r="M33" s="1301"/>
      <c r="N33" s="1301"/>
      <c r="O33" s="1301"/>
      <c r="P33" s="1307" t="s">
        <v>646</v>
      </c>
      <c r="Q33" s="1308"/>
    </row>
    <row r="34" spans="1:50" s="1306" customFormat="1" ht="13.2" customHeight="1">
      <c r="A34" s="1302">
        <f>+A32+1</f>
        <v>4</v>
      </c>
      <c r="B34" s="1309"/>
      <c r="D34" s="1303"/>
      <c r="E34" s="1303"/>
      <c r="F34" s="1303"/>
      <c r="G34" s="1303"/>
      <c r="H34" s="1303"/>
      <c r="I34" s="1303"/>
      <c r="J34" s="1303"/>
      <c r="K34" s="1303"/>
      <c r="L34" s="1303"/>
      <c r="M34" s="1303"/>
      <c r="N34" s="1303"/>
      <c r="O34" s="1303"/>
      <c r="P34" s="1303"/>
      <c r="Q34" s="282"/>
      <c r="R34" s="563"/>
      <c r="S34" s="1993"/>
      <c r="T34" s="1993"/>
      <c r="U34" s="1993"/>
      <c r="V34" s="1993"/>
      <c r="W34" s="1993"/>
      <c r="X34" s="1993"/>
      <c r="Y34" s="1993"/>
      <c r="Z34" s="1993"/>
      <c r="AA34" s="1993"/>
      <c r="AB34" s="1993"/>
      <c r="AC34" s="1993"/>
      <c r="AD34" s="1993"/>
      <c r="AE34" s="1993"/>
      <c r="AF34" s="1993"/>
      <c r="AG34" s="1993"/>
      <c r="AH34" s="1993"/>
      <c r="AI34" s="1993"/>
      <c r="AJ34" s="1993"/>
      <c r="AK34" s="1993"/>
      <c r="AL34" s="1993"/>
      <c r="AM34" s="1993"/>
      <c r="AN34" s="1993"/>
      <c r="AO34" s="1993"/>
      <c r="AP34" s="1993"/>
      <c r="AQ34" s="1993"/>
      <c r="AR34" s="1993"/>
      <c r="AS34" s="1993"/>
      <c r="AT34" s="1993"/>
      <c r="AU34" s="1993"/>
      <c r="AV34" s="1993"/>
      <c r="AW34" s="1993"/>
      <c r="AX34" s="1993"/>
    </row>
    <row r="35" spans="1:50" ht="13.2" customHeight="1">
      <c r="A35" s="1302">
        <f>+A34+1</f>
        <v>5</v>
      </c>
      <c r="B35" s="981"/>
      <c r="C35" s="981"/>
      <c r="D35" s="1907" t="s">
        <v>277</v>
      </c>
      <c r="E35" s="1310" t="s">
        <v>758</v>
      </c>
      <c r="F35" s="1310" t="s">
        <v>339</v>
      </c>
      <c r="G35" s="1310" t="s">
        <v>340</v>
      </c>
      <c r="H35" s="1310" t="s">
        <v>759</v>
      </c>
      <c r="I35" s="1311"/>
      <c r="J35" s="1311"/>
      <c r="K35" s="1311"/>
      <c r="L35" s="1312"/>
      <c r="M35" s="1312"/>
      <c r="N35" s="1312"/>
      <c r="O35" s="1312"/>
      <c r="P35" s="1312"/>
    </row>
    <row r="36" spans="1:50" ht="13.2" customHeight="1">
      <c r="A36" s="1302">
        <f>+A35+1</f>
        <v>6</v>
      </c>
      <c r="B36" s="981" t="str">
        <f>+B7</f>
        <v>Account</v>
      </c>
      <c r="C36" s="981" t="str">
        <f>+C7</f>
        <v>Account Name</v>
      </c>
      <c r="D36" s="1907"/>
      <c r="E36" s="1298" t="s">
        <v>160</v>
      </c>
      <c r="F36" s="534" t="s">
        <v>141</v>
      </c>
      <c r="G36" s="1298" t="s">
        <v>164</v>
      </c>
      <c r="H36" s="1298" t="s">
        <v>149</v>
      </c>
      <c r="I36" s="1311"/>
      <c r="P36" s="1301"/>
      <c r="R36" s="1303"/>
    </row>
    <row r="37" spans="1:50" ht="13.2" customHeight="1">
      <c r="A37" s="1302">
        <f>+A36+1</f>
        <v>7</v>
      </c>
      <c r="B37" s="1301"/>
      <c r="C37" s="1301"/>
      <c r="D37" s="1301"/>
      <c r="E37" s="1301"/>
      <c r="F37" s="1301"/>
      <c r="G37" s="1301"/>
      <c r="H37" s="1301"/>
    </row>
    <row r="38" spans="1:50" ht="13.2" customHeight="1">
      <c r="A38" s="1304">
        <f>+A37+0.01</f>
        <v>7.01</v>
      </c>
      <c r="B38" s="1587" t="s">
        <v>1380</v>
      </c>
      <c r="C38" s="1588"/>
      <c r="D38" s="1314">
        <v>391324.76461538469</v>
      </c>
      <c r="E38" s="1313"/>
      <c r="F38" s="1314"/>
      <c r="G38" s="1314"/>
      <c r="H38" s="1313">
        <f>+D38</f>
        <v>391324.76461538469</v>
      </c>
      <c r="I38" s="1523"/>
      <c r="P38" s="1301"/>
      <c r="R38" s="1303"/>
    </row>
    <row r="39" spans="1:50" ht="13.2" customHeight="1">
      <c r="A39" s="1304">
        <f t="shared" ref="A39:A51" si="4">+A38+0.01</f>
        <v>7.02</v>
      </c>
      <c r="B39" s="1587" t="s">
        <v>1381</v>
      </c>
      <c r="C39" s="1588"/>
      <c r="D39" s="1314">
        <f t="shared" ref="D39:D51" si="5">+Q10</f>
        <v>1348555.2130769235</v>
      </c>
      <c r="E39" s="1313">
        <f>+D39</f>
        <v>1348555.2130769235</v>
      </c>
      <c r="F39" s="1301"/>
      <c r="G39" s="1313"/>
      <c r="H39" s="1313"/>
      <c r="I39" s="1523"/>
      <c r="P39" s="1301"/>
      <c r="R39" s="1303"/>
    </row>
    <row r="40" spans="1:50" ht="13.2" customHeight="1">
      <c r="A40" s="1304">
        <f t="shared" si="4"/>
        <v>7.0299999999999994</v>
      </c>
      <c r="B40" s="1587" t="s">
        <v>1382</v>
      </c>
      <c r="C40" s="1588"/>
      <c r="D40" s="1314">
        <f t="shared" si="5"/>
        <v>4587490.8123076865</v>
      </c>
      <c r="E40" s="1313"/>
      <c r="F40" s="1314"/>
      <c r="G40" s="1313">
        <f>+D40</f>
        <v>4587490.8123076865</v>
      </c>
      <c r="H40" s="1313"/>
      <c r="I40" s="1523"/>
      <c r="P40" s="1301"/>
      <c r="R40" s="1303"/>
    </row>
    <row r="41" spans="1:50" ht="13.2" customHeight="1">
      <c r="A41" s="1304">
        <f t="shared" si="4"/>
        <v>7.0399999999999991</v>
      </c>
      <c r="B41" s="1587" t="s">
        <v>1383</v>
      </c>
      <c r="C41" s="1588"/>
      <c r="D41" s="1314">
        <f t="shared" si="5"/>
        <v>85130.156153846154</v>
      </c>
      <c r="E41" s="1313">
        <f>+D41</f>
        <v>85130.156153846154</v>
      </c>
      <c r="F41" s="1301"/>
      <c r="G41" s="1313"/>
      <c r="H41" s="1313"/>
      <c r="I41" s="1523"/>
      <c r="P41" s="1301"/>
      <c r="R41" s="1303"/>
    </row>
    <row r="42" spans="1:50" ht="13.2" customHeight="1">
      <c r="A42" s="1304">
        <f t="shared" si="4"/>
        <v>7.0499999999999989</v>
      </c>
      <c r="B42" s="1587" t="s">
        <v>1384</v>
      </c>
      <c r="C42" s="1588"/>
      <c r="D42" s="1314">
        <f t="shared" si="5"/>
        <v>557235.73846153868</v>
      </c>
      <c r="E42" s="1313">
        <f>+D42</f>
        <v>557235.73846153868</v>
      </c>
      <c r="F42" s="1301"/>
      <c r="G42" s="1313"/>
      <c r="H42" s="1313"/>
      <c r="I42" s="1523"/>
      <c r="P42" s="1301"/>
      <c r="R42" s="1303"/>
    </row>
    <row r="43" spans="1:50" ht="13.2" customHeight="1">
      <c r="A43" s="1304">
        <f t="shared" si="4"/>
        <v>7.0599999999999987</v>
      </c>
      <c r="B43" s="1587" t="s">
        <v>1385</v>
      </c>
      <c r="C43" s="1588"/>
      <c r="D43" s="1314">
        <f t="shared" si="5"/>
        <v>61316.210769230769</v>
      </c>
      <c r="E43" s="1320"/>
      <c r="F43" s="1301"/>
      <c r="G43" s="1313"/>
      <c r="H43" s="1313">
        <f>+D43</f>
        <v>61316.210769230769</v>
      </c>
      <c r="I43" s="1523"/>
      <c r="P43" s="1301"/>
      <c r="R43" s="1303"/>
    </row>
    <row r="44" spans="1:50" ht="13.2" customHeight="1">
      <c r="A44" s="1304">
        <f t="shared" si="4"/>
        <v>7.0699999999999985</v>
      </c>
      <c r="B44" s="1587" t="s">
        <v>1386</v>
      </c>
      <c r="C44" s="1588"/>
      <c r="D44" s="1314">
        <f t="shared" si="5"/>
        <v>280767.53384615382</v>
      </c>
      <c r="E44" s="1313">
        <f>+D44</f>
        <v>280767.53384615382</v>
      </c>
      <c r="F44" s="1301"/>
      <c r="G44" s="1313"/>
      <c r="H44" s="1313"/>
      <c r="I44" s="1523"/>
      <c r="P44" s="1301"/>
      <c r="R44" s="1303"/>
    </row>
    <row r="45" spans="1:50" ht="13.2" customHeight="1">
      <c r="A45" s="1304">
        <f t="shared" si="4"/>
        <v>7.0799999999999983</v>
      </c>
      <c r="B45" s="1587" t="s">
        <v>1387</v>
      </c>
      <c r="C45" s="1588"/>
      <c r="D45" s="1314">
        <f t="shared" si="5"/>
        <v>726497.0969230769</v>
      </c>
      <c r="E45" s="1313">
        <f>+D45</f>
        <v>726497.0969230769</v>
      </c>
      <c r="F45" s="1301"/>
      <c r="G45" s="1313"/>
      <c r="H45" s="1313"/>
      <c r="I45" s="1523"/>
      <c r="P45" s="1301"/>
      <c r="R45" s="1303"/>
    </row>
    <row r="46" spans="1:50" ht="13.2" customHeight="1">
      <c r="A46" s="1304">
        <f t="shared" si="4"/>
        <v>7.0899999999999981</v>
      </c>
      <c r="B46" s="1587" t="s">
        <v>1388</v>
      </c>
      <c r="C46" s="1588"/>
      <c r="D46" s="1314">
        <f t="shared" si="5"/>
        <v>262758.62615384615</v>
      </c>
      <c r="E46" s="1313">
        <f>+D46</f>
        <v>262758.62615384615</v>
      </c>
      <c r="F46" s="903"/>
      <c r="G46" s="1313"/>
      <c r="H46" s="1313"/>
      <c r="I46" s="1523"/>
      <c r="P46" s="1301"/>
      <c r="R46" s="1303"/>
    </row>
    <row r="47" spans="1:50" ht="13.2" customHeight="1">
      <c r="A47" s="1304">
        <f t="shared" si="4"/>
        <v>7.0999999999999979</v>
      </c>
      <c r="B47" s="1587" t="s">
        <v>1696</v>
      </c>
      <c r="C47" s="1588"/>
      <c r="D47" s="1314">
        <f t="shared" si="5"/>
        <v>577792.55615384632</v>
      </c>
      <c r="E47" s="1313">
        <f>+D47</f>
        <v>577792.55615384632</v>
      </c>
      <c r="F47" s="1301"/>
      <c r="G47" s="1313"/>
      <c r="H47" s="1313"/>
      <c r="I47" s="1523"/>
      <c r="P47" s="1301"/>
      <c r="R47" s="1303"/>
    </row>
    <row r="48" spans="1:50" s="1731" customFormat="1" ht="13.2" customHeight="1">
      <c r="A48" s="1726">
        <f t="shared" si="4"/>
        <v>7.1099999999999977</v>
      </c>
      <c r="B48" s="1725" t="s">
        <v>1389</v>
      </c>
      <c r="C48" s="1727"/>
      <c r="D48" s="1728">
        <f t="shared" si="5"/>
        <v>138415.97846153847</v>
      </c>
      <c r="E48" s="1736"/>
      <c r="F48" s="1728"/>
      <c r="G48" s="1735"/>
      <c r="H48" s="1313">
        <f>+D48</f>
        <v>138415.97846153847</v>
      </c>
      <c r="I48" s="1730"/>
      <c r="P48" s="1729"/>
      <c r="S48" s="1994"/>
      <c r="T48" s="1994"/>
      <c r="U48" s="1994"/>
      <c r="V48" s="1994"/>
      <c r="W48" s="1994"/>
      <c r="X48" s="1994"/>
      <c r="Y48" s="1994"/>
      <c r="Z48" s="1994"/>
      <c r="AA48" s="1994"/>
      <c r="AB48" s="1994"/>
      <c r="AC48" s="1994"/>
      <c r="AD48" s="1994"/>
      <c r="AE48" s="1994"/>
      <c r="AF48" s="1994"/>
      <c r="AG48" s="1994"/>
      <c r="AH48" s="1994"/>
      <c r="AI48" s="1994"/>
      <c r="AJ48" s="1994"/>
      <c r="AK48" s="1994"/>
      <c r="AL48" s="1994"/>
      <c r="AM48" s="1994"/>
      <c r="AN48" s="1994"/>
      <c r="AO48" s="1994"/>
      <c r="AP48" s="1994"/>
      <c r="AQ48" s="1994"/>
      <c r="AR48" s="1994"/>
      <c r="AS48" s="1994"/>
      <c r="AT48" s="1994"/>
      <c r="AU48" s="1994"/>
      <c r="AV48" s="1994"/>
      <c r="AW48" s="1994"/>
      <c r="AX48" s="1994"/>
    </row>
    <row r="49" spans="1:50" ht="13.2" customHeight="1">
      <c r="A49" s="1304">
        <f t="shared" si="4"/>
        <v>7.1199999999999974</v>
      </c>
      <c r="B49" s="1587" t="s">
        <v>1390</v>
      </c>
      <c r="C49" s="1588"/>
      <c r="D49" s="1314">
        <f t="shared" si="5"/>
        <v>386923.0753846154</v>
      </c>
      <c r="E49" s="1313">
        <f>+D49</f>
        <v>386923.0753846154</v>
      </c>
      <c r="F49" s="1301"/>
      <c r="G49" s="1734"/>
      <c r="H49" s="1737"/>
      <c r="P49" s="1301"/>
      <c r="R49" s="1303"/>
    </row>
    <row r="50" spans="1:50" s="1731" customFormat="1" ht="13.2" customHeight="1">
      <c r="A50" s="1726">
        <f t="shared" si="4"/>
        <v>7.1299999999999972</v>
      </c>
      <c r="B50" s="1725" t="s">
        <v>1391</v>
      </c>
      <c r="C50" s="1733"/>
      <c r="D50" s="1728">
        <f t="shared" si="5"/>
        <v>17409.599999999999</v>
      </c>
      <c r="E50" s="1735"/>
      <c r="F50" s="1732"/>
      <c r="G50" s="1735"/>
      <c r="H50" s="1313">
        <f>+D50</f>
        <v>17409.599999999999</v>
      </c>
      <c r="P50" s="1729"/>
      <c r="S50" s="1994" t="s">
        <v>1139</v>
      </c>
      <c r="T50" s="1994"/>
      <c r="U50" s="1994"/>
      <c r="V50" s="1994"/>
      <c r="W50" s="1994"/>
      <c r="X50" s="1994"/>
      <c r="Y50" s="1994"/>
      <c r="Z50" s="1994"/>
      <c r="AA50" s="1994"/>
      <c r="AB50" s="1994"/>
      <c r="AC50" s="1994"/>
      <c r="AD50" s="1994"/>
      <c r="AE50" s="1994"/>
      <c r="AF50" s="1994"/>
      <c r="AG50" s="1994"/>
      <c r="AH50" s="1994"/>
      <c r="AI50" s="1994"/>
      <c r="AJ50" s="1994"/>
      <c r="AK50" s="1994"/>
      <c r="AL50" s="1994"/>
      <c r="AM50" s="1994"/>
      <c r="AN50" s="1994"/>
      <c r="AO50" s="1994"/>
      <c r="AP50" s="1994"/>
      <c r="AQ50" s="1994"/>
      <c r="AR50" s="1994"/>
      <c r="AS50" s="1994"/>
      <c r="AT50" s="1994"/>
      <c r="AU50" s="1994"/>
      <c r="AV50" s="1994"/>
      <c r="AW50" s="1994"/>
      <c r="AX50" s="1994"/>
    </row>
    <row r="51" spans="1:50" ht="13.2" customHeight="1">
      <c r="A51" s="1304">
        <f t="shared" si="4"/>
        <v>7.139999999999997</v>
      </c>
      <c r="B51" s="1587" t="s">
        <v>1392</v>
      </c>
      <c r="C51" s="1588"/>
      <c r="D51" s="1314">
        <f t="shared" si="5"/>
        <v>114430.99230769224</v>
      </c>
      <c r="E51" s="1313">
        <f>+D51</f>
        <v>114430.99230769224</v>
      </c>
      <c r="F51" s="1301"/>
      <c r="G51" s="1313"/>
      <c r="H51" s="1313"/>
      <c r="P51" s="1301"/>
      <c r="R51" s="1303"/>
    </row>
    <row r="52" spans="1:50" ht="13.2" customHeight="1">
      <c r="A52" s="1537">
        <f t="shared" ref="A52:A58" si="6">+A51+0.01</f>
        <v>7.1499999999999968</v>
      </c>
      <c r="B52" s="1587" t="s">
        <v>1393</v>
      </c>
      <c r="C52" s="1588"/>
      <c r="D52" s="1314">
        <f t="shared" ref="D52:D58" si="7">+Q23</f>
        <v>-522.90692307692814</v>
      </c>
      <c r="E52" s="1313"/>
      <c r="F52" s="1301"/>
      <c r="G52" s="1313"/>
      <c r="H52" s="1313">
        <f>+D52</f>
        <v>-522.90692307692814</v>
      </c>
      <c r="P52" s="1301"/>
      <c r="R52" s="1303"/>
    </row>
    <row r="53" spans="1:50" s="1603" customFormat="1" ht="13.2" customHeight="1">
      <c r="A53" s="1717">
        <f t="shared" si="6"/>
        <v>7.1599999999999966</v>
      </c>
      <c r="B53" s="1394" t="s">
        <v>1516</v>
      </c>
      <c r="C53" s="1718"/>
      <c r="D53" s="1721">
        <f t="shared" si="7"/>
        <v>2313.1092307692306</v>
      </c>
      <c r="E53" s="1721">
        <f>+D53</f>
        <v>2313.1092307692306</v>
      </c>
      <c r="F53" s="1718"/>
      <c r="G53" s="221"/>
      <c r="H53" s="221"/>
      <c r="P53" s="1604"/>
      <c r="S53" s="1992" t="s">
        <v>1518</v>
      </c>
      <c r="T53" s="1992"/>
      <c r="U53" s="1992"/>
      <c r="V53" s="1992"/>
      <c r="W53" s="1992"/>
      <c r="X53" s="1992"/>
      <c r="Y53" s="1992"/>
      <c r="Z53" s="1992"/>
      <c r="AA53" s="1992"/>
      <c r="AB53" s="1992"/>
      <c r="AC53" s="1992"/>
      <c r="AD53" s="1992"/>
      <c r="AE53" s="1992"/>
      <c r="AF53" s="1992"/>
      <c r="AG53" s="1992"/>
      <c r="AH53" s="1992"/>
      <c r="AI53" s="1992"/>
      <c r="AJ53" s="1992"/>
      <c r="AK53" s="1992"/>
      <c r="AL53" s="1992"/>
      <c r="AM53" s="1992"/>
      <c r="AN53" s="1992"/>
      <c r="AO53" s="1992"/>
      <c r="AP53" s="1992"/>
      <c r="AQ53" s="1992"/>
      <c r="AR53" s="1992"/>
      <c r="AS53" s="1992"/>
      <c r="AT53" s="1992"/>
      <c r="AU53" s="1992"/>
      <c r="AV53" s="1992"/>
      <c r="AW53" s="1992"/>
      <c r="AX53" s="1992"/>
    </row>
    <row r="54" spans="1:50" s="1603" customFormat="1" ht="13.2" customHeight="1">
      <c r="A54" s="1717">
        <f t="shared" si="6"/>
        <v>7.1699999999999964</v>
      </c>
      <c r="B54" s="1394" t="s">
        <v>1517</v>
      </c>
      <c r="C54" s="1718"/>
      <c r="D54" s="1721">
        <f t="shared" si="7"/>
        <v>0</v>
      </c>
      <c r="E54" s="1721"/>
      <c r="F54" s="1718"/>
      <c r="G54" s="221"/>
      <c r="H54" s="221">
        <f>+D54</f>
        <v>0</v>
      </c>
      <c r="P54" s="1604"/>
      <c r="S54" s="1992" t="s">
        <v>1519</v>
      </c>
      <c r="T54" s="1992"/>
      <c r="U54" s="1992"/>
      <c r="V54" s="1992"/>
      <c r="W54" s="1992"/>
      <c r="X54" s="1992"/>
      <c r="Y54" s="1992"/>
      <c r="Z54" s="1992"/>
      <c r="AA54" s="1992"/>
      <c r="AB54" s="1992"/>
      <c r="AC54" s="1992"/>
      <c r="AD54" s="1992"/>
      <c r="AE54" s="1992"/>
      <c r="AF54" s="1992"/>
      <c r="AG54" s="1992"/>
      <c r="AH54" s="1992"/>
      <c r="AI54" s="1992"/>
      <c r="AJ54" s="1992"/>
      <c r="AK54" s="1992"/>
      <c r="AL54" s="1992"/>
      <c r="AM54" s="1992"/>
      <c r="AN54" s="1992"/>
      <c r="AO54" s="1992"/>
      <c r="AP54" s="1992"/>
      <c r="AQ54" s="1992"/>
      <c r="AR54" s="1992"/>
      <c r="AS54" s="1992"/>
      <c r="AT54" s="1992"/>
      <c r="AU54" s="1992"/>
      <c r="AV54" s="1992"/>
      <c r="AW54" s="1992"/>
      <c r="AX54" s="1992"/>
    </row>
    <row r="55" spans="1:50" s="1603" customFormat="1" ht="13.2" customHeight="1">
      <c r="A55" s="1717">
        <f t="shared" si="6"/>
        <v>7.1799999999999962</v>
      </c>
      <c r="B55" s="1394" t="s">
        <v>1563</v>
      </c>
      <c r="C55" s="1718"/>
      <c r="D55" s="1721">
        <f t="shared" si="7"/>
        <v>2492.3076923076924</v>
      </c>
      <c r="E55" s="1721">
        <f>+D55</f>
        <v>2492.3076923076924</v>
      </c>
      <c r="F55" s="1718"/>
      <c r="G55" s="221"/>
      <c r="H55" s="221"/>
      <c r="P55" s="1604"/>
      <c r="S55" s="1992"/>
      <c r="T55" s="1992"/>
      <c r="U55" s="1992"/>
      <c r="V55" s="1992"/>
      <c r="W55" s="1992"/>
      <c r="X55" s="1992"/>
      <c r="Y55" s="1992"/>
      <c r="Z55" s="1992"/>
      <c r="AA55" s="1992"/>
      <c r="AB55" s="1992"/>
      <c r="AC55" s="1992"/>
      <c r="AD55" s="1992"/>
      <c r="AE55" s="1992"/>
      <c r="AF55" s="1992"/>
      <c r="AG55" s="1992"/>
      <c r="AH55" s="1992"/>
      <c r="AI55" s="1992"/>
      <c r="AJ55" s="1992"/>
      <c r="AK55" s="1992"/>
      <c r="AL55" s="1992"/>
      <c r="AM55" s="1992"/>
      <c r="AN55" s="1992"/>
      <c r="AO55" s="1992"/>
      <c r="AP55" s="1992"/>
      <c r="AQ55" s="1992"/>
      <c r="AR55" s="1992"/>
      <c r="AS55" s="1992"/>
      <c r="AT55" s="1992"/>
      <c r="AU55" s="1992"/>
      <c r="AV55" s="1992"/>
      <c r="AW55" s="1992"/>
      <c r="AX55" s="1992"/>
    </row>
    <row r="56" spans="1:50" s="1603" customFormat="1" ht="13.2" customHeight="1">
      <c r="A56" s="1717">
        <f t="shared" si="6"/>
        <v>7.1899999999999959</v>
      </c>
      <c r="B56" s="1394" t="s">
        <v>1564</v>
      </c>
      <c r="C56" s="1718"/>
      <c r="D56" s="1721">
        <f t="shared" si="7"/>
        <v>1474.5207692307692</v>
      </c>
      <c r="E56" s="1721">
        <f>+D56</f>
        <v>1474.5207692307692</v>
      </c>
      <c r="F56" s="1718"/>
      <c r="G56" s="221"/>
      <c r="H56" s="221"/>
      <c r="P56" s="1604"/>
      <c r="S56" s="1992"/>
      <c r="T56" s="1992"/>
      <c r="U56" s="1992"/>
      <c r="V56" s="1992"/>
      <c r="W56" s="1992"/>
      <c r="X56" s="1992"/>
      <c r="Y56" s="1992"/>
      <c r="Z56" s="1992"/>
      <c r="AA56" s="1992"/>
      <c r="AB56" s="1992"/>
      <c r="AC56" s="1992"/>
      <c r="AD56" s="1992"/>
      <c r="AE56" s="1992"/>
      <c r="AF56" s="1992"/>
      <c r="AG56" s="1992"/>
      <c r="AH56" s="1992"/>
      <c r="AI56" s="1992"/>
      <c r="AJ56" s="1992"/>
      <c r="AK56" s="1992"/>
      <c r="AL56" s="1992"/>
      <c r="AM56" s="1992"/>
      <c r="AN56" s="1992"/>
      <c r="AO56" s="1992"/>
      <c r="AP56" s="1992"/>
      <c r="AQ56" s="1992"/>
      <c r="AR56" s="1992"/>
      <c r="AS56" s="1992"/>
      <c r="AT56" s="1992"/>
      <c r="AU56" s="1992"/>
      <c r="AV56" s="1992"/>
      <c r="AW56" s="1992"/>
      <c r="AX56" s="1992"/>
    </row>
    <row r="57" spans="1:50" ht="13.2" customHeight="1">
      <c r="A57" s="1717">
        <f t="shared" si="6"/>
        <v>7.1999999999999957</v>
      </c>
      <c r="B57" s="1394" t="s">
        <v>1565</v>
      </c>
      <c r="C57" s="1719"/>
      <c r="D57" s="1721">
        <f t="shared" si="7"/>
        <v>24485.718461538465</v>
      </c>
      <c r="E57" s="1721"/>
      <c r="F57" s="1718"/>
      <c r="G57" s="221"/>
      <c r="H57" s="221">
        <f>+D57</f>
        <v>24485.718461538465</v>
      </c>
      <c r="P57" s="1301"/>
      <c r="R57" s="1303"/>
    </row>
    <row r="58" spans="1:50" ht="13.2" customHeight="1">
      <c r="A58" s="1717">
        <f t="shared" si="6"/>
        <v>7.2099999999999955</v>
      </c>
      <c r="B58" s="1402"/>
      <c r="C58" s="1719" t="str">
        <f>+C29</f>
        <v>Additional  Items As Applicable</v>
      </c>
      <c r="D58" s="1721">
        <f t="shared" si="7"/>
        <v>0</v>
      </c>
      <c r="E58" s="1721"/>
      <c r="F58" s="1718"/>
      <c r="G58" s="221"/>
      <c r="H58" s="1718"/>
      <c r="P58" s="1301"/>
      <c r="R58" s="1303"/>
    </row>
    <row r="59" spans="1:50" ht="13.2" customHeight="1">
      <c r="A59" s="1457" t="s">
        <v>959</v>
      </c>
      <c r="B59" s="1402"/>
      <c r="C59" s="1719" t="str">
        <f>+C30</f>
        <v>Additional  Items As Applicable</v>
      </c>
      <c r="D59" s="1721">
        <f>+Q29</f>
        <v>0</v>
      </c>
      <c r="E59" s="1721"/>
      <c r="F59" s="1718"/>
      <c r="G59" s="221"/>
      <c r="H59" s="1718"/>
      <c r="P59" s="1301"/>
      <c r="R59" s="1303"/>
    </row>
    <row r="60" spans="1:50" ht="13.2" customHeight="1">
      <c r="A60" s="1457" t="s">
        <v>963</v>
      </c>
      <c r="B60" s="1404"/>
      <c r="C60" s="1720" t="str">
        <f>+C31</f>
        <v>Additional  Items As Applicable</v>
      </c>
      <c r="D60" s="1724">
        <f>+Q30</f>
        <v>0</v>
      </c>
      <c r="E60" s="1722"/>
      <c r="F60" s="1723"/>
      <c r="G60" s="277"/>
      <c r="H60" s="1724"/>
      <c r="P60" s="1301"/>
      <c r="R60" s="1303"/>
    </row>
    <row r="61" spans="1:50" ht="13.2" customHeight="1">
      <c r="A61" s="1302">
        <f>+A37+1</f>
        <v>8</v>
      </c>
      <c r="B61" s="1305" t="str">
        <f>+B32</f>
        <v>Total</v>
      </c>
      <c r="C61" s="1301" t="str">
        <f>+"Sum Line "&amp;A37&amp;" Subparts"</f>
        <v>Sum Line 7 Subparts</v>
      </c>
      <c r="D61" s="1313">
        <f>SUM(D38:D60)</f>
        <v>9566291.1038461495</v>
      </c>
      <c r="E61" s="1314">
        <f>SUM(E38:E60)</f>
        <v>4346370.926153847</v>
      </c>
      <c r="F61" s="1314">
        <f>SUM(F38:F60)</f>
        <v>0</v>
      </c>
      <c r="G61" s="1314">
        <f>SUM(G38:G60)</f>
        <v>4587490.8123076865</v>
      </c>
      <c r="H61" s="1314">
        <f>SUM(H38:H60)</f>
        <v>632429.36538461538</v>
      </c>
      <c r="I61" s="1301"/>
      <c r="J61" s="1301"/>
      <c r="K61" s="1301"/>
      <c r="L61" s="1301"/>
      <c r="M61" s="1301"/>
      <c r="N61" s="1301"/>
      <c r="O61" s="1301"/>
      <c r="P61" s="1301"/>
      <c r="Q61" s="1301"/>
      <c r="R61" s="1303"/>
    </row>
    <row r="62" spans="1:50" ht="13.2" customHeight="1">
      <c r="A62" s="1302"/>
      <c r="B62" s="1301"/>
      <c r="C62" s="1301"/>
      <c r="D62" s="1301"/>
      <c r="E62" s="1301"/>
      <c r="F62" s="1301"/>
      <c r="G62" s="1301"/>
      <c r="H62" s="1301"/>
      <c r="I62" s="1301"/>
      <c r="J62" s="1301"/>
      <c r="K62" s="1301"/>
      <c r="L62" s="1301"/>
      <c r="M62" s="1301"/>
      <c r="N62" s="1301"/>
      <c r="O62" s="1301"/>
      <c r="P62" s="1301"/>
      <c r="Q62" s="1301"/>
    </row>
    <row r="63" spans="1:50" ht="13.2" customHeight="1">
      <c r="A63" s="1302" t="s">
        <v>316</v>
      </c>
      <c r="B63" s="1301"/>
      <c r="C63" s="1301"/>
      <c r="D63" s="1301"/>
      <c r="E63" s="1301"/>
      <c r="F63" s="1301"/>
      <c r="G63" s="1301"/>
      <c r="H63" s="1301"/>
      <c r="I63" s="1301"/>
      <c r="J63" s="1301"/>
      <c r="K63" s="1301"/>
      <c r="L63" s="1301"/>
      <c r="M63" s="1301"/>
      <c r="N63" s="1301"/>
      <c r="O63" s="1301"/>
      <c r="P63" s="1301"/>
      <c r="Q63" s="1301"/>
    </row>
    <row r="64" spans="1:50" ht="13.2" customHeight="1">
      <c r="A64" s="1310" t="s">
        <v>176</v>
      </c>
      <c r="B64" s="1867" t="s">
        <v>1176</v>
      </c>
      <c r="C64" s="1867"/>
      <c r="D64" s="1867"/>
      <c r="E64" s="1867"/>
      <c r="F64" s="1867"/>
      <c r="G64" s="1867"/>
      <c r="H64" s="1867"/>
      <c r="I64" s="1867"/>
      <c r="J64" s="1867"/>
      <c r="K64" s="1867"/>
      <c r="L64" s="1867"/>
      <c r="M64" s="1867"/>
      <c r="N64" s="1867"/>
      <c r="O64" s="1867"/>
      <c r="P64" s="1867"/>
      <c r="Q64" s="1867"/>
    </row>
    <row r="65" spans="1:18" ht="13.2" customHeight="1">
      <c r="A65" s="1310" t="s">
        <v>338</v>
      </c>
      <c r="B65" s="1867" t="s">
        <v>754</v>
      </c>
      <c r="C65" s="1867"/>
      <c r="D65" s="1867"/>
      <c r="E65" s="1867"/>
      <c r="F65" s="1867"/>
      <c r="G65" s="1867"/>
      <c r="H65" s="1867"/>
      <c r="I65" s="1867"/>
      <c r="J65" s="1867"/>
      <c r="K65" s="1867"/>
      <c r="L65" s="1867"/>
      <c r="M65" s="1867"/>
      <c r="N65" s="1867"/>
      <c r="O65" s="1867"/>
      <c r="P65" s="1867"/>
      <c r="Q65" s="1867"/>
    </row>
    <row r="66" spans="1:18" ht="13.2" customHeight="1">
      <c r="A66" s="1315" t="s">
        <v>339</v>
      </c>
      <c r="B66" s="1867" t="s">
        <v>760</v>
      </c>
      <c r="C66" s="1867"/>
      <c r="D66" s="1867"/>
      <c r="E66" s="1867"/>
      <c r="F66" s="1867"/>
      <c r="G66" s="1867"/>
      <c r="H66" s="1867"/>
      <c r="I66" s="1867"/>
      <c r="J66" s="1867"/>
      <c r="K66" s="1867"/>
      <c r="L66" s="1867"/>
      <c r="M66" s="1867"/>
      <c r="N66" s="1867"/>
      <c r="O66" s="1867"/>
      <c r="P66" s="1867"/>
      <c r="Q66" s="1867"/>
    </row>
    <row r="67" spans="1:18" ht="13.2" customHeight="1">
      <c r="A67" s="1315" t="s">
        <v>340</v>
      </c>
      <c r="B67" s="1867" t="s">
        <v>755</v>
      </c>
      <c r="C67" s="1867"/>
      <c r="D67" s="1867"/>
      <c r="E67" s="1867"/>
      <c r="F67" s="1867"/>
      <c r="G67" s="1867"/>
      <c r="H67" s="1867"/>
      <c r="I67" s="1867"/>
      <c r="J67" s="1867"/>
      <c r="K67" s="1867"/>
      <c r="L67" s="1867"/>
      <c r="M67" s="1867"/>
      <c r="N67" s="1867"/>
      <c r="O67" s="1867"/>
      <c r="P67" s="1867"/>
      <c r="Q67" s="1867"/>
    </row>
    <row r="68" spans="1:18" ht="13.2" customHeight="1">
      <c r="A68" s="1315" t="s">
        <v>341</v>
      </c>
      <c r="B68" s="1910" t="s">
        <v>757</v>
      </c>
      <c r="C68" s="1910"/>
      <c r="D68" s="1910"/>
      <c r="E68" s="1910"/>
      <c r="F68" s="1910"/>
      <c r="G68" s="1910"/>
      <c r="H68" s="1910"/>
      <c r="I68" s="1910"/>
      <c r="J68" s="1910"/>
      <c r="K68" s="1910"/>
      <c r="L68" s="1910"/>
      <c r="M68" s="1910"/>
      <c r="N68" s="1910"/>
      <c r="O68" s="1910"/>
      <c r="P68" s="1910"/>
      <c r="Q68" s="1910"/>
    </row>
    <row r="69" spans="1:18" ht="13.2" customHeight="1">
      <c r="A69" s="1315" t="s">
        <v>745</v>
      </c>
      <c r="B69" s="1906" t="s">
        <v>756</v>
      </c>
      <c r="C69" s="1906"/>
      <c r="D69" s="1906"/>
      <c r="E69" s="1906"/>
      <c r="F69" s="1906"/>
      <c r="G69" s="1906"/>
      <c r="H69" s="1906"/>
      <c r="I69" s="1906"/>
      <c r="J69" s="1906"/>
      <c r="K69" s="1906"/>
      <c r="L69" s="1906"/>
      <c r="M69" s="1906"/>
      <c r="N69" s="1906"/>
      <c r="O69" s="1906"/>
      <c r="P69" s="1906"/>
      <c r="Q69" s="1906"/>
      <c r="R69" s="1303"/>
    </row>
    <row r="70" spans="1:18">
      <c r="A70" s="1316"/>
      <c r="R70" s="1303"/>
    </row>
  </sheetData>
  <mergeCells count="11">
    <mergeCell ref="B69:Q69"/>
    <mergeCell ref="D35:D36"/>
    <mergeCell ref="A1:Q1"/>
    <mergeCell ref="A3:Q3"/>
    <mergeCell ref="Q6:Q7"/>
    <mergeCell ref="A2:Q2"/>
    <mergeCell ref="B64:Q64"/>
    <mergeCell ref="B65:Q65"/>
    <mergeCell ref="B66:Q66"/>
    <mergeCell ref="B67:Q67"/>
    <mergeCell ref="B68:Q68"/>
  </mergeCells>
  <printOptions horizontalCentered="1" verticalCentered="1"/>
  <pageMargins left="0.5" right="0.5" top="0.5" bottom="0.5" header="0.3" footer="0.5"/>
  <pageSetup scale="62" orientation="landscape" r:id="rId1"/>
  <headerFooter>
    <oddFooter>&amp;R&amp;A</oddFooter>
  </headerFooter>
  <ignoredErrors>
    <ignoredError sqref="A64:A69 F35:G3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8"/>
  <sheetViews>
    <sheetView workbookViewId="0">
      <pane xSplit="2" topLeftCell="C1" activePane="topRight" state="frozenSplit"/>
      <selection sqref="A1:B1"/>
      <selection pane="topRight" sqref="A1:B1"/>
    </sheetView>
  </sheetViews>
  <sheetFormatPr defaultColWidth="9.109375" defaultRowHeight="13.2"/>
  <cols>
    <col min="1" max="1" width="3" style="830" bestFit="1" customWidth="1"/>
    <col min="2" max="2" width="17.6640625" style="830" customWidth="1"/>
    <col min="3" max="15" width="10.33203125" style="830" bestFit="1" customWidth="1"/>
    <col min="16" max="16" width="10.44140625" style="812" bestFit="1" customWidth="1"/>
    <col min="17" max="16384" width="9.109375" style="830"/>
  </cols>
  <sheetData>
    <row r="1" spans="1:16">
      <c r="A1" s="1912" t="str">
        <f>+'MISO Cover'!C6</f>
        <v>Entergy Arkansas, Inc.</v>
      </c>
      <c r="B1" s="1912"/>
      <c r="C1" s="1912"/>
      <c r="D1" s="1912"/>
      <c r="E1" s="1912"/>
      <c r="F1" s="1912"/>
      <c r="G1" s="1912"/>
      <c r="H1" s="1912"/>
      <c r="I1" s="1912"/>
      <c r="J1" s="1912"/>
      <c r="K1" s="1912"/>
      <c r="L1" s="1912"/>
      <c r="M1" s="1912"/>
      <c r="N1" s="1912"/>
      <c r="O1" s="1912"/>
      <c r="P1" s="1912"/>
    </row>
    <row r="2" spans="1:16">
      <c r="A2" s="1913" t="s">
        <v>928</v>
      </c>
      <c r="B2" s="1913"/>
      <c r="C2" s="1913"/>
      <c r="D2" s="1913"/>
      <c r="E2" s="1913"/>
      <c r="F2" s="1913"/>
      <c r="G2" s="1913"/>
      <c r="H2" s="1913"/>
      <c r="I2" s="1913"/>
      <c r="J2" s="1913"/>
      <c r="K2" s="1913"/>
      <c r="L2" s="1913"/>
      <c r="M2" s="1913"/>
      <c r="N2" s="1913"/>
      <c r="O2" s="1913"/>
      <c r="P2" s="1913"/>
    </row>
    <row r="3" spans="1:16">
      <c r="A3" s="1912" t="str">
        <f>+'MISO Cover'!K4</f>
        <v>For  the 12 Months Ended 12/31/2016</v>
      </c>
      <c r="B3" s="1912"/>
      <c r="C3" s="1912"/>
      <c r="D3" s="1912"/>
      <c r="E3" s="1912"/>
      <c r="F3" s="1912"/>
      <c r="G3" s="1912"/>
      <c r="H3" s="1912"/>
      <c r="I3" s="1912"/>
      <c r="J3" s="1912"/>
      <c r="K3" s="1912"/>
      <c r="L3" s="1912"/>
      <c r="M3" s="1912"/>
      <c r="N3" s="1912"/>
      <c r="O3" s="1912"/>
      <c r="P3" s="1912"/>
    </row>
    <row r="4" spans="1:16">
      <c r="B4" s="1911"/>
      <c r="C4" s="1911"/>
      <c r="D4" s="1911"/>
      <c r="E4" s="1911"/>
      <c r="F4" s="1911"/>
      <c r="G4" s="1911"/>
      <c r="H4" s="1911"/>
      <c r="I4" s="1911"/>
      <c r="J4" s="1911"/>
      <c r="K4" s="1911"/>
      <c r="L4" s="1911"/>
      <c r="M4" s="1911"/>
      <c r="N4" s="1911"/>
      <c r="O4" s="1911"/>
    </row>
    <row r="5" spans="1:16" s="831" customFormat="1">
      <c r="A5" s="831" t="s">
        <v>290</v>
      </c>
      <c r="B5" s="625" t="s">
        <v>72</v>
      </c>
      <c r="C5" s="625" t="s">
        <v>119</v>
      </c>
      <c r="D5" s="625" t="s">
        <v>60</v>
      </c>
      <c r="E5" s="625" t="s">
        <v>73</v>
      </c>
      <c r="F5" s="625" t="s">
        <v>71</v>
      </c>
      <c r="G5" s="625" t="s">
        <v>161</v>
      </c>
      <c r="H5" s="625" t="s">
        <v>74</v>
      </c>
      <c r="I5" s="625" t="s">
        <v>174</v>
      </c>
      <c r="J5" s="625" t="s">
        <v>64</v>
      </c>
      <c r="K5" s="625" t="s">
        <v>65</v>
      </c>
      <c r="L5" s="625" t="s">
        <v>76</v>
      </c>
      <c r="M5" s="625" t="s">
        <v>103</v>
      </c>
      <c r="N5" s="625" t="s">
        <v>104</v>
      </c>
      <c r="O5" s="625" t="s">
        <v>162</v>
      </c>
      <c r="P5" s="832" t="s">
        <v>232</v>
      </c>
    </row>
    <row r="6" spans="1:16">
      <c r="B6" s="177"/>
      <c r="C6" s="566"/>
      <c r="D6" s="566"/>
      <c r="E6" s="566"/>
      <c r="F6" s="566"/>
      <c r="G6" s="566"/>
      <c r="H6" s="566"/>
      <c r="I6" s="566"/>
      <c r="J6" s="833"/>
      <c r="K6" s="833"/>
      <c r="L6" s="833"/>
      <c r="M6" s="833"/>
      <c r="N6" s="833"/>
      <c r="O6" s="833"/>
      <c r="P6" s="812" t="s">
        <v>507</v>
      </c>
    </row>
    <row r="7" spans="1:16">
      <c r="A7" s="831">
        <v>1</v>
      </c>
      <c r="B7" s="177"/>
      <c r="C7" s="1531" t="s">
        <v>42</v>
      </c>
      <c r="D7" s="1531" t="s">
        <v>32</v>
      </c>
      <c r="E7" s="1531" t="s">
        <v>33</v>
      </c>
      <c r="F7" s="1531" t="s">
        <v>34</v>
      </c>
      <c r="G7" s="1531" t="s">
        <v>35</v>
      </c>
      <c r="H7" s="1531" t="s">
        <v>31</v>
      </c>
      <c r="I7" s="1531" t="s">
        <v>36</v>
      </c>
      <c r="J7" s="1531" t="s">
        <v>37</v>
      </c>
      <c r="K7" s="1531" t="s">
        <v>38</v>
      </c>
      <c r="L7" s="1531" t="s">
        <v>39</v>
      </c>
      <c r="M7" s="1531" t="s">
        <v>40</v>
      </c>
      <c r="N7" s="1531" t="s">
        <v>41</v>
      </c>
      <c r="O7" s="1531" t="s">
        <v>42</v>
      </c>
      <c r="P7" s="1532" t="s">
        <v>146</v>
      </c>
    </row>
    <row r="8" spans="1:16">
      <c r="A8" s="831">
        <f>+A7+1</f>
        <v>2</v>
      </c>
      <c r="B8" s="178" t="s">
        <v>194</v>
      </c>
      <c r="C8" s="1606">
        <v>56045.95</v>
      </c>
      <c r="D8" s="1606">
        <v>56045.95</v>
      </c>
      <c r="E8" s="1606">
        <v>56045.95</v>
      </c>
      <c r="F8" s="1606">
        <v>56045.95</v>
      </c>
      <c r="G8" s="1606">
        <v>56045.95</v>
      </c>
      <c r="H8" s="1606">
        <v>56045.95</v>
      </c>
      <c r="I8" s="1606">
        <v>56045.95</v>
      </c>
      <c r="J8" s="1606">
        <v>56045.95</v>
      </c>
      <c r="K8" s="1606">
        <v>56045.95</v>
      </c>
      <c r="L8" s="1606">
        <v>56045.95</v>
      </c>
      <c r="M8" s="1606">
        <v>56045.95</v>
      </c>
      <c r="N8" s="1606">
        <v>56045.95</v>
      </c>
      <c r="O8" s="1606">
        <v>56045.95</v>
      </c>
      <c r="P8" s="812">
        <f t="shared" ref="P8:P14" si="0">+SUM(C8:O8)/13</f>
        <v>56045.94999999999</v>
      </c>
    </row>
    <row r="9" spans="1:16">
      <c r="A9" s="831">
        <f t="shared" ref="A9:A15" si="1">+A8+1</f>
        <v>3</v>
      </c>
      <c r="B9" s="178" t="s">
        <v>195</v>
      </c>
      <c r="C9" s="1456">
        <v>0</v>
      </c>
      <c r="D9" s="1456">
        <v>0</v>
      </c>
      <c r="E9" s="1456">
        <v>0</v>
      </c>
      <c r="F9" s="1456">
        <v>0</v>
      </c>
      <c r="G9" s="1456">
        <v>0</v>
      </c>
      <c r="H9" s="1456">
        <v>0</v>
      </c>
      <c r="I9" s="1456">
        <v>0</v>
      </c>
      <c r="J9" s="1456">
        <v>0</v>
      </c>
      <c r="K9" s="1456">
        <v>0</v>
      </c>
      <c r="L9" s="1456">
        <v>0</v>
      </c>
      <c r="M9" s="1456">
        <v>0</v>
      </c>
      <c r="N9" s="1456">
        <v>0</v>
      </c>
      <c r="O9" s="1456">
        <v>0</v>
      </c>
      <c r="P9" s="812">
        <f t="shared" si="0"/>
        <v>0</v>
      </c>
    </row>
    <row r="10" spans="1:16">
      <c r="A10" s="831">
        <f t="shared" si="1"/>
        <v>4</v>
      </c>
      <c r="B10" s="178" t="s">
        <v>196</v>
      </c>
      <c r="C10" s="1606">
        <v>77641.88</v>
      </c>
      <c r="D10" s="1606">
        <v>77641.88</v>
      </c>
      <c r="E10" s="1606">
        <v>77641.88</v>
      </c>
      <c r="F10" s="1606">
        <v>77641.88</v>
      </c>
      <c r="G10" s="1606">
        <v>77641.88</v>
      </c>
      <c r="H10" s="1606">
        <v>77641.88</v>
      </c>
      <c r="I10" s="1606">
        <v>77641.88</v>
      </c>
      <c r="J10" s="1606">
        <v>77641.88</v>
      </c>
      <c r="K10" s="1606">
        <v>77641.88</v>
      </c>
      <c r="L10" s="1606">
        <v>77641.88</v>
      </c>
      <c r="M10" s="1606">
        <v>77641.88</v>
      </c>
      <c r="N10" s="1606">
        <v>77641.88</v>
      </c>
      <c r="O10" s="1606">
        <v>77641.88</v>
      </c>
      <c r="P10" s="812">
        <f t="shared" si="0"/>
        <v>77641.88</v>
      </c>
    </row>
    <row r="11" spans="1:16">
      <c r="A11" s="831">
        <f t="shared" si="1"/>
        <v>5</v>
      </c>
      <c r="B11" s="177" t="s">
        <v>141</v>
      </c>
      <c r="C11" s="1606">
        <v>532590.64</v>
      </c>
      <c r="D11" s="1606">
        <v>532590.64</v>
      </c>
      <c r="E11" s="1606">
        <v>532590.64</v>
      </c>
      <c r="F11" s="1606">
        <v>532590.64</v>
      </c>
      <c r="G11" s="1606">
        <v>532590.64</v>
      </c>
      <c r="H11" s="1606">
        <v>532590.64</v>
      </c>
      <c r="I11" s="1606">
        <v>532590.64</v>
      </c>
      <c r="J11" s="1606">
        <v>532590.64</v>
      </c>
      <c r="K11" s="1606">
        <v>532590.64</v>
      </c>
      <c r="L11" s="1606">
        <v>532590.64</v>
      </c>
      <c r="M11" s="1606">
        <v>532590.64</v>
      </c>
      <c r="N11" s="1606">
        <v>532590.64</v>
      </c>
      <c r="O11" s="1606">
        <v>532590.64</v>
      </c>
      <c r="P11" s="1563">
        <f t="shared" si="0"/>
        <v>532590.6399999999</v>
      </c>
    </row>
    <row r="12" spans="1:16">
      <c r="A12" s="831">
        <f t="shared" si="1"/>
        <v>6</v>
      </c>
      <c r="B12" s="177" t="s">
        <v>25</v>
      </c>
      <c r="C12" s="1606">
        <v>70091.19</v>
      </c>
      <c r="D12" s="1606">
        <v>70091.19</v>
      </c>
      <c r="E12" s="1606">
        <v>70091.19</v>
      </c>
      <c r="F12" s="1606">
        <v>70091.19</v>
      </c>
      <c r="G12" s="1606">
        <v>70091.19</v>
      </c>
      <c r="H12" s="1606">
        <v>70091.19</v>
      </c>
      <c r="I12" s="1606">
        <v>70091.19</v>
      </c>
      <c r="J12" s="1606">
        <v>70091.19</v>
      </c>
      <c r="K12" s="1606">
        <v>70091.19</v>
      </c>
      <c r="L12" s="1606">
        <v>70091.19</v>
      </c>
      <c r="M12" s="1606">
        <v>70091.19</v>
      </c>
      <c r="N12" s="1606">
        <v>70091.19</v>
      </c>
      <c r="O12" s="1606">
        <v>70091.19</v>
      </c>
      <c r="P12" s="812">
        <f t="shared" si="0"/>
        <v>70091.189999999973</v>
      </c>
    </row>
    <row r="13" spans="1:16">
      <c r="A13" s="831">
        <f t="shared" si="1"/>
        <v>7</v>
      </c>
      <c r="B13" s="177" t="s">
        <v>197</v>
      </c>
      <c r="C13" s="1456">
        <v>0</v>
      </c>
      <c r="D13" s="1456">
        <v>0</v>
      </c>
      <c r="E13" s="1456">
        <v>0</v>
      </c>
      <c r="F13" s="1456">
        <v>0</v>
      </c>
      <c r="G13" s="1456">
        <v>0</v>
      </c>
      <c r="H13" s="1456">
        <v>0</v>
      </c>
      <c r="I13" s="1456">
        <v>0</v>
      </c>
      <c r="J13" s="1456">
        <v>0</v>
      </c>
      <c r="K13" s="1456">
        <v>0</v>
      </c>
      <c r="L13" s="1456">
        <v>0</v>
      </c>
      <c r="M13" s="1456">
        <v>0</v>
      </c>
      <c r="N13" s="1456">
        <v>0</v>
      </c>
      <c r="O13" s="1456">
        <v>0</v>
      </c>
      <c r="P13" s="812">
        <f t="shared" si="0"/>
        <v>0</v>
      </c>
    </row>
    <row r="14" spans="1:16">
      <c r="A14" s="831">
        <f t="shared" si="1"/>
        <v>8</v>
      </c>
      <c r="B14" s="177" t="s">
        <v>198</v>
      </c>
      <c r="C14" s="1607">
        <v>229011.24</v>
      </c>
      <c r="D14" s="1607">
        <v>229011.24</v>
      </c>
      <c r="E14" s="1607">
        <v>229011.24</v>
      </c>
      <c r="F14" s="1607">
        <v>229011.24</v>
      </c>
      <c r="G14" s="1607">
        <v>229011.24</v>
      </c>
      <c r="H14" s="1607">
        <v>229011.24</v>
      </c>
      <c r="I14" s="1607">
        <v>229011.24</v>
      </c>
      <c r="J14" s="1607">
        <v>229011.24</v>
      </c>
      <c r="K14" s="1607">
        <v>229011.24</v>
      </c>
      <c r="L14" s="1607">
        <v>229011.24</v>
      </c>
      <c r="M14" s="1607">
        <v>229011.24</v>
      </c>
      <c r="N14" s="1607">
        <v>229011.24</v>
      </c>
      <c r="O14" s="1607">
        <v>229011.24</v>
      </c>
      <c r="P14" s="1530">
        <f t="shared" si="0"/>
        <v>229011.24000000002</v>
      </c>
    </row>
    <row r="15" spans="1:16">
      <c r="A15" s="831">
        <f t="shared" si="1"/>
        <v>9</v>
      </c>
      <c r="B15" s="177" t="s">
        <v>484</v>
      </c>
      <c r="C15" s="567">
        <f t="shared" ref="C15:P15" si="2">SUM(C8:C14)</f>
        <v>965380.89999999991</v>
      </c>
      <c r="D15" s="567">
        <f t="shared" si="2"/>
        <v>965380.89999999991</v>
      </c>
      <c r="E15" s="567">
        <f t="shared" si="2"/>
        <v>965380.89999999991</v>
      </c>
      <c r="F15" s="567">
        <f t="shared" si="2"/>
        <v>965380.89999999991</v>
      </c>
      <c r="G15" s="567">
        <f t="shared" si="2"/>
        <v>965380.89999999991</v>
      </c>
      <c r="H15" s="567">
        <f t="shared" si="2"/>
        <v>965380.89999999991</v>
      </c>
      <c r="I15" s="567">
        <f t="shared" si="2"/>
        <v>965380.89999999991</v>
      </c>
      <c r="J15" s="567">
        <f t="shared" si="2"/>
        <v>965380.89999999991</v>
      </c>
      <c r="K15" s="567">
        <f t="shared" si="2"/>
        <v>965380.89999999991</v>
      </c>
      <c r="L15" s="567">
        <f t="shared" si="2"/>
        <v>965380.89999999991</v>
      </c>
      <c r="M15" s="567">
        <f t="shared" si="2"/>
        <v>965380.89999999991</v>
      </c>
      <c r="N15" s="567">
        <f t="shared" si="2"/>
        <v>965380.89999999991</v>
      </c>
      <c r="O15" s="567">
        <f t="shared" si="2"/>
        <v>965380.89999999991</v>
      </c>
      <c r="P15" s="812">
        <f t="shared" si="2"/>
        <v>965380.89999999979</v>
      </c>
    </row>
    <row r="16" spans="1:16">
      <c r="A16" s="831"/>
      <c r="B16" s="177"/>
      <c r="C16" s="982" t="s">
        <v>176</v>
      </c>
      <c r="D16" s="567"/>
      <c r="E16" s="567"/>
      <c r="F16" s="567"/>
      <c r="G16" s="567"/>
      <c r="H16" s="567"/>
      <c r="I16" s="567"/>
      <c r="J16" s="834"/>
      <c r="K16" s="834"/>
      <c r="L16" s="834"/>
      <c r="M16" s="834"/>
      <c r="N16" s="834"/>
      <c r="O16" s="982" t="s">
        <v>176</v>
      </c>
    </row>
    <row r="17" spans="1:9">
      <c r="A17" s="177" t="s">
        <v>199</v>
      </c>
      <c r="C17" s="177"/>
      <c r="D17" s="177"/>
      <c r="E17" s="177"/>
      <c r="F17" s="177"/>
      <c r="G17" s="177"/>
      <c r="H17" s="177"/>
      <c r="I17" s="177"/>
    </row>
    <row r="18" spans="1:9">
      <c r="A18" s="835" t="s">
        <v>176</v>
      </c>
      <c r="B18" s="178" t="s">
        <v>593</v>
      </c>
      <c r="C18" s="177"/>
      <c r="D18" s="177"/>
      <c r="E18" s="177"/>
      <c r="F18" s="177"/>
      <c r="G18" s="177"/>
      <c r="H18" s="177"/>
      <c r="I18" s="177"/>
    </row>
  </sheetData>
  <mergeCells count="4">
    <mergeCell ref="B4:O4"/>
    <mergeCell ref="A1:P1"/>
    <mergeCell ref="A3:P3"/>
    <mergeCell ref="A2:P2"/>
  </mergeCells>
  <phoneticPr fontId="104" type="noConversion"/>
  <printOptions horizontalCentered="1"/>
  <pageMargins left="0.7" right="0.7" top="0.7" bottom="0.7" header="0.3" footer="0.5"/>
  <pageSetup scale="75" orientation="landscape" r:id="rId1"/>
  <headerFooter>
    <oddFooter>&amp;R&amp;A</oddFooter>
  </headerFooter>
  <ignoredErrors>
    <ignoredError sqref="A3 C15:P15 P16:P17 A1" unlockedFormula="1"/>
    <ignoredError sqref="C16:O17" numberStoredAsText="1" unlockedFormula="1"/>
    <ignoredError sqref="A18:O18 A16:B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81"/>
  <sheetViews>
    <sheetView zoomScaleNormal="100" workbookViewId="0">
      <selection sqref="A1:B1"/>
    </sheetView>
  </sheetViews>
  <sheetFormatPr defaultColWidth="8.88671875" defaultRowHeight="13.2"/>
  <cols>
    <col min="1" max="1" width="4.44140625" style="759" customWidth="1"/>
    <col min="2" max="2" width="55.109375" style="174" customWidth="1"/>
    <col min="3" max="4" width="14.88671875" style="174" bestFit="1" customWidth="1"/>
    <col min="5" max="5" width="16" style="174" customWidth="1"/>
    <col min="6" max="7" width="8.88671875" style="174"/>
    <col min="8" max="8" width="10.88671875" style="174" bestFit="1" customWidth="1"/>
    <col min="9" max="16384" width="8.88671875" style="174"/>
  </cols>
  <sheetData>
    <row r="1" spans="1:8">
      <c r="A1" s="1874" t="str">
        <f>+'MISO Cover'!C6</f>
        <v>Entergy Arkansas, Inc.</v>
      </c>
      <c r="B1" s="1874"/>
      <c r="C1" s="1874"/>
      <c r="D1" s="1874"/>
      <c r="E1" s="1874"/>
      <c r="F1" s="881"/>
      <c r="H1" s="882"/>
    </row>
    <row r="2" spans="1:8">
      <c r="A2" s="1875" t="s">
        <v>973</v>
      </c>
      <c r="B2" s="1875"/>
      <c r="C2" s="1875"/>
      <c r="D2" s="1875"/>
      <c r="E2" s="1875"/>
      <c r="F2" s="639"/>
    </row>
    <row r="3" spans="1:8">
      <c r="A3" s="1874" t="str">
        <f>+'MISO Cover'!K4</f>
        <v>For  the 12 Months Ended 12/31/2016</v>
      </c>
      <c r="B3" s="1874"/>
      <c r="C3" s="1874"/>
      <c r="D3" s="1874"/>
      <c r="E3" s="1874"/>
      <c r="F3" s="883"/>
    </row>
    <row r="4" spans="1:8">
      <c r="A4" s="870"/>
    </row>
    <row r="5" spans="1:8">
      <c r="A5" s="756"/>
      <c r="B5" s="884"/>
      <c r="E5" s="803" t="s">
        <v>697</v>
      </c>
    </row>
    <row r="6" spans="1:8">
      <c r="A6" s="757" t="s">
        <v>290</v>
      </c>
      <c r="B6" s="871" t="s">
        <v>72</v>
      </c>
      <c r="C6" s="872" t="s">
        <v>119</v>
      </c>
      <c r="D6" s="872" t="s">
        <v>60</v>
      </c>
      <c r="E6" s="872" t="s">
        <v>904</v>
      </c>
    </row>
    <row r="7" spans="1:8">
      <c r="A7" s="935">
        <v>1</v>
      </c>
      <c r="B7" s="1541" t="s">
        <v>180</v>
      </c>
      <c r="C7" s="1541" t="s">
        <v>901</v>
      </c>
      <c r="D7" s="1541" t="s">
        <v>853</v>
      </c>
      <c r="E7" s="1541" t="s">
        <v>510</v>
      </c>
      <c r="H7" s="885"/>
    </row>
    <row r="8" spans="1:8" s="176" customFormat="1">
      <c r="A8" s="936">
        <f>+A7+0.01</f>
        <v>1.01</v>
      </c>
      <c r="B8" s="640" t="s">
        <v>181</v>
      </c>
      <c r="C8" s="1020">
        <v>0</v>
      </c>
      <c r="D8" s="1020">
        <v>0</v>
      </c>
      <c r="E8" s="1084">
        <f>+C8+D8</f>
        <v>0</v>
      </c>
      <c r="F8" s="643"/>
      <c r="H8" s="673"/>
    </row>
    <row r="9" spans="1:8" s="1327" customFormat="1">
      <c r="A9" s="936">
        <f t="shared" ref="A9:A26" si="0">+A8+0.01</f>
        <v>1.02</v>
      </c>
      <c r="B9" s="640" t="s">
        <v>945</v>
      </c>
      <c r="C9" s="1020">
        <v>0</v>
      </c>
      <c r="D9" s="1020">
        <v>0</v>
      </c>
      <c r="E9" s="1084">
        <f t="shared" ref="E9:E15" si="1">+C9+D9</f>
        <v>0</v>
      </c>
      <c r="F9" s="643"/>
      <c r="H9" s="673"/>
    </row>
    <row r="10" spans="1:8" s="1327" customFormat="1">
      <c r="A10" s="936">
        <f t="shared" si="0"/>
        <v>1.03</v>
      </c>
      <c r="B10" s="640" t="s">
        <v>934</v>
      </c>
      <c r="C10" s="1020">
        <v>0</v>
      </c>
      <c r="D10" s="1020">
        <v>0</v>
      </c>
      <c r="E10" s="1084">
        <f t="shared" si="1"/>
        <v>0</v>
      </c>
      <c r="F10" s="643"/>
      <c r="H10" s="673"/>
    </row>
    <row r="11" spans="1:8" s="1327" customFormat="1">
      <c r="A11" s="936">
        <f t="shared" si="0"/>
        <v>1.04</v>
      </c>
      <c r="B11" s="640" t="s">
        <v>936</v>
      </c>
      <c r="C11" s="1020">
        <v>0</v>
      </c>
      <c r="D11" s="1020">
        <v>0</v>
      </c>
      <c r="E11" s="1084">
        <f t="shared" si="1"/>
        <v>0</v>
      </c>
      <c r="F11" s="643"/>
      <c r="H11" s="673"/>
    </row>
    <row r="12" spans="1:8" s="1327" customFormat="1">
      <c r="A12" s="936">
        <f t="shared" si="0"/>
        <v>1.05</v>
      </c>
      <c r="B12" s="640" t="s">
        <v>935</v>
      </c>
      <c r="C12" s="1020">
        <v>0</v>
      </c>
      <c r="D12" s="1020">
        <v>0</v>
      </c>
      <c r="E12" s="1084">
        <f t="shared" si="1"/>
        <v>0</v>
      </c>
      <c r="F12" s="643"/>
      <c r="H12" s="673"/>
    </row>
    <row r="13" spans="1:8" s="1327" customFormat="1">
      <c r="A13" s="936">
        <f t="shared" si="0"/>
        <v>1.06</v>
      </c>
      <c r="B13" s="640" t="s">
        <v>946</v>
      </c>
      <c r="C13" s="1020">
        <v>0</v>
      </c>
      <c r="D13" s="1020">
        <v>0</v>
      </c>
      <c r="E13" s="1084">
        <f t="shared" si="1"/>
        <v>0</v>
      </c>
      <c r="F13" s="643"/>
      <c r="H13" s="673"/>
    </row>
    <row r="14" spans="1:8" s="175" customFormat="1">
      <c r="A14" s="936">
        <f t="shared" si="0"/>
        <v>1.07</v>
      </c>
      <c r="B14" s="640" t="s">
        <v>937</v>
      </c>
      <c r="C14" s="1020">
        <v>0</v>
      </c>
      <c r="D14" s="1020">
        <v>0</v>
      </c>
      <c r="E14" s="1084">
        <f t="shared" si="1"/>
        <v>0</v>
      </c>
      <c r="F14" s="641"/>
      <c r="G14" s="1327"/>
    </row>
    <row r="15" spans="1:8" s="175" customFormat="1">
      <c r="A15" s="936">
        <f t="shared" si="0"/>
        <v>1.08</v>
      </c>
      <c r="B15" s="640" t="s">
        <v>938</v>
      </c>
      <c r="C15" s="1020">
        <v>0</v>
      </c>
      <c r="D15" s="1020">
        <v>0</v>
      </c>
      <c r="E15" s="1084">
        <f t="shared" si="1"/>
        <v>0</v>
      </c>
      <c r="F15" s="641"/>
      <c r="G15" s="1327"/>
    </row>
    <row r="16" spans="1:8" s="175" customFormat="1">
      <c r="A16" s="936">
        <f t="shared" si="0"/>
        <v>1.0900000000000001</v>
      </c>
      <c r="B16" s="640" t="s">
        <v>940</v>
      </c>
      <c r="C16" s="1020">
        <v>253850.85999999996</v>
      </c>
      <c r="D16" s="1020">
        <v>40496.21</v>
      </c>
      <c r="E16" s="1084">
        <f t="shared" ref="E16:E38" si="2">+C16+D16</f>
        <v>294347.06999999995</v>
      </c>
      <c r="F16" s="641"/>
      <c r="G16" s="1327"/>
      <c r="H16" s="174"/>
    </row>
    <row r="17" spans="1:8" s="175" customFormat="1">
      <c r="A17" s="936">
        <f t="shared" si="0"/>
        <v>1.1000000000000001</v>
      </c>
      <c r="B17" s="640" t="s">
        <v>939</v>
      </c>
      <c r="C17" s="1020">
        <v>0</v>
      </c>
      <c r="D17" s="1020">
        <v>0</v>
      </c>
      <c r="E17" s="1084">
        <f t="shared" si="2"/>
        <v>0</v>
      </c>
      <c r="F17" s="641"/>
      <c r="G17" s="1327"/>
      <c r="H17" s="174"/>
    </row>
    <row r="18" spans="1:8" s="175" customFormat="1">
      <c r="A18" s="936">
        <f t="shared" si="0"/>
        <v>1.1100000000000001</v>
      </c>
      <c r="B18" s="640" t="s">
        <v>182</v>
      </c>
      <c r="C18" s="1020">
        <v>0</v>
      </c>
      <c r="D18" s="1020">
        <v>0</v>
      </c>
      <c r="E18" s="1084">
        <f t="shared" si="2"/>
        <v>0</v>
      </c>
      <c r="F18" s="641"/>
      <c r="G18" s="1327"/>
    </row>
    <row r="19" spans="1:8" s="175" customFormat="1">
      <c r="A19" s="936">
        <f t="shared" si="0"/>
        <v>1.1200000000000001</v>
      </c>
      <c r="B19" s="640" t="s">
        <v>941</v>
      </c>
      <c r="C19" s="1020">
        <v>0</v>
      </c>
      <c r="D19" s="1020">
        <v>0</v>
      </c>
      <c r="E19" s="1084">
        <f t="shared" si="2"/>
        <v>0</v>
      </c>
      <c r="F19" s="641"/>
      <c r="G19" s="1327"/>
    </row>
    <row r="20" spans="1:8" s="175" customFormat="1">
      <c r="A20" s="936">
        <f t="shared" si="0"/>
        <v>1.1300000000000001</v>
      </c>
      <c r="B20" s="640" t="s">
        <v>942</v>
      </c>
      <c r="C20" s="1020">
        <v>0</v>
      </c>
      <c r="D20" s="1020">
        <v>0</v>
      </c>
      <c r="E20" s="1084">
        <f t="shared" si="2"/>
        <v>0</v>
      </c>
      <c r="F20" s="641"/>
      <c r="G20" s="1327"/>
    </row>
    <row r="21" spans="1:8" s="175" customFormat="1">
      <c r="A21" s="936">
        <f t="shared" si="0"/>
        <v>1.1400000000000001</v>
      </c>
      <c r="B21" s="640" t="s">
        <v>951</v>
      </c>
      <c r="C21" s="1020">
        <v>0</v>
      </c>
      <c r="D21" s="1020">
        <v>0</v>
      </c>
      <c r="E21" s="1084">
        <f t="shared" si="2"/>
        <v>0</v>
      </c>
      <c r="F21" s="641"/>
      <c r="G21" s="1327"/>
    </row>
    <row r="22" spans="1:8" s="175" customFormat="1">
      <c r="A22" s="936">
        <f t="shared" si="0"/>
        <v>1.1500000000000001</v>
      </c>
      <c r="B22" s="640" t="s">
        <v>183</v>
      </c>
      <c r="C22" s="1020">
        <v>0</v>
      </c>
      <c r="D22" s="1020">
        <v>0</v>
      </c>
      <c r="E22" s="1084">
        <f t="shared" si="2"/>
        <v>0</v>
      </c>
      <c r="F22" s="641"/>
      <c r="G22" s="1327"/>
    </row>
    <row r="23" spans="1:8" s="175" customFormat="1">
      <c r="A23" s="936">
        <f t="shared" si="0"/>
        <v>1.1600000000000001</v>
      </c>
      <c r="B23" s="640" t="s">
        <v>949</v>
      </c>
      <c r="C23" s="1020">
        <v>0</v>
      </c>
      <c r="D23" s="1020">
        <v>0</v>
      </c>
      <c r="E23" s="1084">
        <f>+C23+D23</f>
        <v>0</v>
      </c>
      <c r="F23" s="641"/>
      <c r="G23" s="1327"/>
    </row>
    <row r="24" spans="1:8" s="175" customFormat="1">
      <c r="A24" s="936">
        <f t="shared" si="0"/>
        <v>1.1700000000000002</v>
      </c>
      <c r="B24" s="640" t="s">
        <v>950</v>
      </c>
      <c r="C24" s="1020">
        <v>-69002</v>
      </c>
      <c r="D24" s="1020">
        <v>0</v>
      </c>
      <c r="E24" s="1084">
        <f>+C24+D24</f>
        <v>-69002</v>
      </c>
      <c r="F24" s="641"/>
      <c r="G24" s="1327"/>
    </row>
    <row r="25" spans="1:8" s="175" customFormat="1">
      <c r="A25" s="936">
        <f t="shared" si="0"/>
        <v>1.1800000000000002</v>
      </c>
      <c r="B25" s="640" t="s">
        <v>947</v>
      </c>
      <c r="C25" s="1020">
        <v>0</v>
      </c>
      <c r="D25" s="1020">
        <v>0</v>
      </c>
      <c r="E25" s="1084">
        <f t="shared" si="2"/>
        <v>0</v>
      </c>
      <c r="F25" s="641"/>
      <c r="G25" s="1327"/>
    </row>
    <row r="26" spans="1:8" s="175" customFormat="1">
      <c r="A26" s="936">
        <f t="shared" si="0"/>
        <v>1.1900000000000002</v>
      </c>
      <c r="B26" s="640" t="s">
        <v>186</v>
      </c>
      <c r="C26" s="1020">
        <v>0</v>
      </c>
      <c r="D26" s="1020">
        <v>0</v>
      </c>
      <c r="E26" s="1084">
        <f t="shared" si="2"/>
        <v>0</v>
      </c>
      <c r="F26" s="641"/>
      <c r="G26" s="1327"/>
    </row>
    <row r="27" spans="1:8" s="175" customFormat="1">
      <c r="A27" s="936">
        <f t="shared" ref="A27:A36" si="3">+A26+0.01</f>
        <v>1.2000000000000002</v>
      </c>
      <c r="B27" s="640" t="s">
        <v>187</v>
      </c>
      <c r="C27" s="1020">
        <v>0</v>
      </c>
      <c r="D27" s="1020">
        <v>0</v>
      </c>
      <c r="E27" s="1084">
        <f t="shared" si="2"/>
        <v>0</v>
      </c>
      <c r="F27" s="641"/>
      <c r="G27" s="1327"/>
    </row>
    <row r="28" spans="1:8" s="175" customFormat="1">
      <c r="A28" s="936">
        <f t="shared" si="3"/>
        <v>1.2100000000000002</v>
      </c>
      <c r="B28" s="640" t="s">
        <v>188</v>
      </c>
      <c r="C28" s="1020">
        <v>0</v>
      </c>
      <c r="D28" s="1020">
        <v>0</v>
      </c>
      <c r="E28" s="1084">
        <f t="shared" si="2"/>
        <v>0</v>
      </c>
      <c r="F28" s="641"/>
      <c r="G28" s="1327"/>
    </row>
    <row r="29" spans="1:8" s="175" customFormat="1">
      <c r="A29" s="936">
        <f t="shared" si="3"/>
        <v>1.2200000000000002</v>
      </c>
      <c r="B29" s="640" t="s">
        <v>189</v>
      </c>
      <c r="C29" s="1020">
        <v>0</v>
      </c>
      <c r="D29" s="1020">
        <v>0</v>
      </c>
      <c r="E29" s="1084">
        <f t="shared" si="2"/>
        <v>0</v>
      </c>
      <c r="F29" s="641"/>
      <c r="G29" s="1327"/>
    </row>
    <row r="30" spans="1:8" s="175" customFormat="1">
      <c r="A30" s="936">
        <f t="shared" si="3"/>
        <v>1.2300000000000002</v>
      </c>
      <c r="B30" s="640" t="s">
        <v>190</v>
      </c>
      <c r="C30" s="1020">
        <v>0</v>
      </c>
      <c r="D30" s="1020">
        <v>0</v>
      </c>
      <c r="E30" s="1084">
        <f t="shared" si="2"/>
        <v>0</v>
      </c>
      <c r="F30" s="641"/>
      <c r="G30" s="1327"/>
    </row>
    <row r="31" spans="1:8" s="175" customFormat="1">
      <c r="A31" s="936">
        <f t="shared" si="3"/>
        <v>1.2400000000000002</v>
      </c>
      <c r="B31" s="640" t="s">
        <v>191</v>
      </c>
      <c r="C31" s="1020">
        <v>0</v>
      </c>
      <c r="D31" s="1020">
        <v>0</v>
      </c>
      <c r="E31" s="1084">
        <f t="shared" si="2"/>
        <v>0</v>
      </c>
      <c r="F31" s="641"/>
      <c r="G31" s="1327"/>
    </row>
    <row r="32" spans="1:8" s="175" customFormat="1">
      <c r="A32" s="936">
        <f t="shared" si="3"/>
        <v>1.2500000000000002</v>
      </c>
      <c r="B32" s="640" t="s">
        <v>310</v>
      </c>
      <c r="C32" s="1020">
        <v>0</v>
      </c>
      <c r="D32" s="1020">
        <v>0</v>
      </c>
      <c r="E32" s="1084">
        <f t="shared" si="2"/>
        <v>0</v>
      </c>
      <c r="F32" s="641"/>
    </row>
    <row r="33" spans="1:8" s="175" customFormat="1">
      <c r="A33" s="936">
        <f t="shared" si="3"/>
        <v>1.2600000000000002</v>
      </c>
      <c r="B33" s="640" t="s">
        <v>192</v>
      </c>
      <c r="C33" s="1020">
        <v>0</v>
      </c>
      <c r="D33" s="1020">
        <v>0</v>
      </c>
      <c r="E33" s="1084">
        <f t="shared" si="2"/>
        <v>0</v>
      </c>
      <c r="F33" s="641"/>
      <c r="H33" s="188"/>
    </row>
    <row r="34" spans="1:8" s="175" customFormat="1">
      <c r="A34" s="936">
        <f t="shared" si="3"/>
        <v>1.2700000000000002</v>
      </c>
      <c r="B34" s="640" t="s">
        <v>311</v>
      </c>
      <c r="C34" s="1020">
        <v>0</v>
      </c>
      <c r="D34" s="1020">
        <v>0</v>
      </c>
      <c r="E34" s="1084">
        <f t="shared" si="2"/>
        <v>0</v>
      </c>
      <c r="F34" s="641"/>
      <c r="H34" s="189"/>
    </row>
    <row r="35" spans="1:8" s="175" customFormat="1">
      <c r="A35" s="936">
        <f t="shared" si="3"/>
        <v>1.2800000000000002</v>
      </c>
      <c r="B35" s="640" t="s">
        <v>193</v>
      </c>
      <c r="C35" s="1020">
        <v>0</v>
      </c>
      <c r="D35" s="1020">
        <v>0</v>
      </c>
      <c r="E35" s="1084">
        <f t="shared" si="2"/>
        <v>0</v>
      </c>
      <c r="F35" s="641"/>
      <c r="H35" s="189"/>
    </row>
    <row r="36" spans="1:8" s="175" customFormat="1">
      <c r="A36" s="1405">
        <f t="shared" si="3"/>
        <v>1.2900000000000003</v>
      </c>
      <c r="B36" s="1406" t="s">
        <v>969</v>
      </c>
      <c r="C36" s="1020">
        <v>0</v>
      </c>
      <c r="D36" s="1020">
        <v>0</v>
      </c>
      <c r="E36" s="1084">
        <f t="shared" si="2"/>
        <v>0</v>
      </c>
      <c r="F36" s="641"/>
      <c r="H36" s="189"/>
    </row>
    <row r="37" spans="1:8" s="175" customFormat="1">
      <c r="A37" s="1405" t="s">
        <v>960</v>
      </c>
      <c r="B37" s="1406" t="s">
        <v>969</v>
      </c>
      <c r="C37" s="1020">
        <v>0</v>
      </c>
      <c r="D37" s="1020">
        <v>0</v>
      </c>
      <c r="E37" s="1084">
        <f t="shared" si="2"/>
        <v>0</v>
      </c>
      <c r="F37" s="641"/>
      <c r="H37" s="189"/>
    </row>
    <row r="38" spans="1:8" s="175" customFormat="1">
      <c r="A38" s="1405" t="s">
        <v>964</v>
      </c>
      <c r="B38" s="1407" t="s">
        <v>969</v>
      </c>
      <c r="C38" s="1020">
        <v>0</v>
      </c>
      <c r="D38" s="1020">
        <v>0</v>
      </c>
      <c r="E38" s="1084">
        <f t="shared" si="2"/>
        <v>0</v>
      </c>
      <c r="F38" s="641"/>
    </row>
    <row r="39" spans="1:8" s="175" customFormat="1" ht="13.8" thickBot="1">
      <c r="A39" s="935">
        <f>+A7+1</f>
        <v>2</v>
      </c>
      <c r="B39" s="673" t="str">
        <f>+"Total Line "&amp;A7&amp;" Subparts"</f>
        <v>Total Line 1 Subparts</v>
      </c>
      <c r="C39" s="1083">
        <f>SUM(C8:C38)</f>
        <v>184848.85999999996</v>
      </c>
      <c r="D39" s="1083">
        <f>SUM(D8:D38)</f>
        <v>40496.21</v>
      </c>
      <c r="E39" s="1083">
        <f>SUM(E8:E38)</f>
        <v>225345.06999999995</v>
      </c>
      <c r="F39" s="641"/>
    </row>
    <row r="40" spans="1:8" s="175" customFormat="1" ht="13.8" thickTop="1">
      <c r="A40" s="935">
        <f>+A39+1</f>
        <v>3</v>
      </c>
      <c r="B40" s="640"/>
      <c r="C40" s="1018"/>
      <c r="D40" s="1018"/>
      <c r="E40" s="1018"/>
      <c r="F40" s="641"/>
    </row>
    <row r="41" spans="1:8" s="636" customFormat="1">
      <c r="A41" s="965">
        <f t="shared" ref="A41:A46" si="4">A40+1</f>
        <v>4</v>
      </c>
      <c r="B41" s="873" t="s">
        <v>598</v>
      </c>
      <c r="C41" s="889"/>
      <c r="D41" s="889"/>
      <c r="E41" s="889"/>
      <c r="F41" s="874"/>
      <c r="G41" s="175"/>
    </row>
    <row r="42" spans="1:8" s="636" customFormat="1">
      <c r="A42" s="965">
        <f t="shared" si="4"/>
        <v>5</v>
      </c>
      <c r="B42" s="875" t="s">
        <v>696</v>
      </c>
      <c r="C42" s="889">
        <f>+C9+C10+C11+C12</f>
        <v>0</v>
      </c>
      <c r="D42" s="889">
        <f>+D9+D10+D11+D12</f>
        <v>0</v>
      </c>
      <c r="E42" s="889">
        <f>+E9+E10+E11+E12</f>
        <v>0</v>
      </c>
      <c r="F42" s="889"/>
      <c r="G42" s="889"/>
    </row>
    <row r="43" spans="1:8" s="636" customFormat="1" ht="15">
      <c r="A43" s="965">
        <f t="shared" si="4"/>
        <v>6</v>
      </c>
      <c r="B43" s="1080" t="s">
        <v>540</v>
      </c>
      <c r="C43" s="1081">
        <f>+C13+C14</f>
        <v>0</v>
      </c>
      <c r="D43" s="1081">
        <f>+D13+D14</f>
        <v>0</v>
      </c>
      <c r="E43" s="1081">
        <f>+E13+E14</f>
        <v>0</v>
      </c>
      <c r="F43" s="704"/>
    </row>
    <row r="44" spans="1:8" s="636" customFormat="1">
      <c r="A44" s="965">
        <f t="shared" si="4"/>
        <v>7</v>
      </c>
      <c r="B44" s="1082" t="str">
        <f>+"Total Account 561 Lines "&amp;A42&amp;" + "&amp;A43</f>
        <v>Total Account 561 Lines 5 + 6</v>
      </c>
      <c r="C44" s="889">
        <f>+C42+C43</f>
        <v>0</v>
      </c>
      <c r="D44" s="889">
        <f>+D42+D43</f>
        <v>0</v>
      </c>
      <c r="E44" s="889">
        <f>+E42+E43</f>
        <v>0</v>
      </c>
      <c r="F44" s="889"/>
    </row>
    <row r="45" spans="1:8" s="636" customFormat="1">
      <c r="A45" s="965">
        <f t="shared" si="4"/>
        <v>8</v>
      </c>
      <c r="B45" s="1208" t="s">
        <v>863</v>
      </c>
      <c r="C45" s="1081">
        <f>+SUM(C8:C24)-C14</f>
        <v>184848.85999999996</v>
      </c>
      <c r="D45" s="1081">
        <f>+SUM(D8:D24)-D14</f>
        <v>40496.21</v>
      </c>
      <c r="E45" s="1081">
        <f>+SUM(E8:E24)-E14</f>
        <v>225345.06999999995</v>
      </c>
      <c r="F45" s="910"/>
    </row>
    <row r="46" spans="1:8" s="636" customFormat="1">
      <c r="A46" s="965">
        <f t="shared" si="4"/>
        <v>9</v>
      </c>
      <c r="B46" s="873" t="str">
        <f>+"Total Transmission O&amp;M  (Line "&amp;A44&amp;" + Line "&amp;A45&amp;")"</f>
        <v>Total Transmission O&amp;M  (Line 7 + Line 8)</v>
      </c>
      <c r="C46" s="889">
        <f>+C44+C45</f>
        <v>184848.85999999996</v>
      </c>
      <c r="D46" s="889">
        <f>+D44+D45</f>
        <v>40496.21</v>
      </c>
      <c r="E46" s="889">
        <f>+E44+E45</f>
        <v>225345.06999999995</v>
      </c>
      <c r="F46" s="889"/>
    </row>
    <row r="47" spans="1:8" s="175" customFormat="1">
      <c r="A47" s="965">
        <f>+A46+1</f>
        <v>10</v>
      </c>
      <c r="B47" s="640"/>
      <c r="C47" s="1018"/>
      <c r="D47" s="1018"/>
      <c r="E47" s="1018"/>
      <c r="F47" s="296"/>
      <c r="G47" s="641"/>
    </row>
    <row r="48" spans="1:8" s="175" customFormat="1">
      <c r="A48" s="965">
        <f>+A47+1</f>
        <v>11</v>
      </c>
      <c r="B48" s="873" t="s">
        <v>56</v>
      </c>
      <c r="C48" s="889"/>
      <c r="D48" s="889"/>
      <c r="E48" s="889"/>
      <c r="F48" s="641"/>
    </row>
    <row r="49" spans="1:7" s="175" customFormat="1">
      <c r="A49" s="965">
        <f>+A48+1</f>
        <v>12</v>
      </c>
      <c r="B49" s="875" t="s">
        <v>719</v>
      </c>
      <c r="C49" s="889"/>
      <c r="D49" s="889"/>
      <c r="E49" s="889"/>
      <c r="F49" s="641"/>
    </row>
    <row r="50" spans="1:7" s="175" customFormat="1">
      <c r="A50" s="965">
        <f>+A49+1</f>
        <v>13</v>
      </c>
      <c r="B50" s="1370" t="s">
        <v>948</v>
      </c>
      <c r="C50" s="891"/>
      <c r="D50" s="891"/>
      <c r="E50" s="891"/>
      <c r="F50" s="641"/>
    </row>
    <row r="51" spans="1:7" s="175" customFormat="1">
      <c r="A51" s="935">
        <f t="shared" ref="A51:A65" si="5">+A50+1</f>
        <v>14</v>
      </c>
      <c r="B51" s="875" t="s">
        <v>717</v>
      </c>
      <c r="C51" s="891"/>
      <c r="D51" s="891"/>
      <c r="E51" s="891"/>
      <c r="F51" s="641"/>
    </row>
    <row r="52" spans="1:7" s="175" customFormat="1">
      <c r="A52" s="935">
        <f t="shared" si="5"/>
        <v>15</v>
      </c>
      <c r="B52" s="875" t="s">
        <v>711</v>
      </c>
      <c r="C52" s="889"/>
      <c r="D52" s="889"/>
      <c r="E52" s="889"/>
      <c r="F52" s="641"/>
    </row>
    <row r="53" spans="1:7" s="175" customFormat="1">
      <c r="A53" s="935">
        <f t="shared" si="5"/>
        <v>16</v>
      </c>
      <c r="B53" s="875" t="s">
        <v>710</v>
      </c>
      <c r="C53" s="889">
        <f>+SUM(C8:C24)</f>
        <v>184848.85999999996</v>
      </c>
      <c r="D53" s="889">
        <f>+SUM(D8:D24)</f>
        <v>40496.21</v>
      </c>
      <c r="E53" s="889">
        <f>+SUM(E8:E24)</f>
        <v>225345.06999999995</v>
      </c>
      <c r="F53" s="641"/>
    </row>
    <row r="54" spans="1:7" s="175" customFormat="1">
      <c r="A54" s="935">
        <f t="shared" si="5"/>
        <v>17</v>
      </c>
      <c r="B54" s="875" t="s">
        <v>712</v>
      </c>
      <c r="C54" s="889"/>
      <c r="D54" s="889"/>
      <c r="E54" s="889"/>
      <c r="F54" s="641"/>
    </row>
    <row r="55" spans="1:7" s="175" customFormat="1">
      <c r="A55" s="935">
        <f t="shared" si="5"/>
        <v>18</v>
      </c>
      <c r="B55" s="875" t="s">
        <v>713</v>
      </c>
      <c r="C55" s="889"/>
      <c r="D55" s="889"/>
      <c r="E55" s="889"/>
      <c r="F55" s="641"/>
    </row>
    <row r="56" spans="1:7" s="175" customFormat="1">
      <c r="A56" s="935">
        <f t="shared" si="5"/>
        <v>19</v>
      </c>
      <c r="B56" s="875" t="s">
        <v>714</v>
      </c>
      <c r="C56" s="889"/>
      <c r="D56" s="889"/>
      <c r="E56" s="889"/>
      <c r="F56" s="641"/>
    </row>
    <row r="57" spans="1:7" s="175" customFormat="1">
      <c r="A57" s="935">
        <f t="shared" si="5"/>
        <v>20</v>
      </c>
      <c r="B57" s="875" t="s">
        <v>715</v>
      </c>
      <c r="C57" s="889"/>
      <c r="D57" s="889"/>
      <c r="E57" s="889"/>
      <c r="F57" s="641"/>
    </row>
    <row r="58" spans="1:7" s="175" customFormat="1">
      <c r="A58" s="935">
        <f t="shared" si="5"/>
        <v>21</v>
      </c>
      <c r="B58" s="875" t="s">
        <v>716</v>
      </c>
      <c r="C58" s="1019">
        <f>+SUM(C25:C38)</f>
        <v>0</v>
      </c>
      <c r="D58" s="1019">
        <f>+SUM(D25:D38)</f>
        <v>0</v>
      </c>
      <c r="E58" s="1019">
        <f>+SUM(E25:E38)</f>
        <v>0</v>
      </c>
      <c r="F58" s="641"/>
    </row>
    <row r="59" spans="1:7" s="175" customFormat="1" ht="13.8" thickBot="1">
      <c r="A59" s="935">
        <f t="shared" si="5"/>
        <v>22</v>
      </c>
      <c r="B59" s="873" t="str">
        <f>+"Total Lines ("&amp;A49&amp;" to "&amp;A58&amp;")"</f>
        <v>Total Lines (12 to 21)</v>
      </c>
      <c r="C59" s="890">
        <f>SUM(C49:C58)</f>
        <v>184848.85999999996</v>
      </c>
      <c r="D59" s="890">
        <f>SUM(D49:D58)</f>
        <v>40496.21</v>
      </c>
      <c r="E59" s="890">
        <f>SUM(E49:E58)</f>
        <v>225345.06999999995</v>
      </c>
      <c r="F59" s="641"/>
    </row>
    <row r="60" spans="1:7" s="175" customFormat="1" ht="13.8" thickTop="1">
      <c r="A60" s="935">
        <f t="shared" si="5"/>
        <v>23</v>
      </c>
      <c r="B60" s="873"/>
      <c r="C60" s="889"/>
      <c r="D60" s="889"/>
      <c r="E60" s="889"/>
      <c r="F60" s="641"/>
    </row>
    <row r="61" spans="1:7" s="1100" customFormat="1">
      <c r="A61" s="1006">
        <f t="shared" si="5"/>
        <v>24</v>
      </c>
      <c r="B61" s="1103" t="str">
        <f>+"Payroll O&amp;M Excl A&amp;G  Sum (Ln "&amp;A49&amp;" To Ln "&amp;A57&amp;")"</f>
        <v>Payroll O&amp;M Excl A&amp;G  Sum (Ln 12 To Ln 20)</v>
      </c>
      <c r="C61" s="1105"/>
      <c r="D61" s="1105">
        <f>+SUM(D49:D57)</f>
        <v>40496.21</v>
      </c>
      <c r="E61" s="1105"/>
      <c r="F61" s="1105"/>
      <c r="G61" s="1105"/>
    </row>
    <row r="62" spans="1:7" s="175" customFormat="1">
      <c r="A62" s="935">
        <f t="shared" si="5"/>
        <v>25</v>
      </c>
      <c r="B62" s="873"/>
      <c r="C62" s="889"/>
      <c r="D62" s="889"/>
      <c r="E62" s="889"/>
      <c r="F62" s="641"/>
    </row>
    <row r="63" spans="1:7" s="175" customFormat="1">
      <c r="A63" s="935">
        <f t="shared" si="5"/>
        <v>26</v>
      </c>
      <c r="B63" s="873" t="s">
        <v>773</v>
      </c>
      <c r="C63" s="296"/>
      <c r="D63" s="296"/>
      <c r="E63" s="1020">
        <v>34915010.909999996</v>
      </c>
      <c r="F63" s="641"/>
    </row>
    <row r="64" spans="1:7" s="175" customFormat="1">
      <c r="A64" s="935">
        <f t="shared" si="5"/>
        <v>27</v>
      </c>
      <c r="B64" s="873" t="s">
        <v>774</v>
      </c>
      <c r="C64" s="296"/>
      <c r="D64" s="296"/>
      <c r="E64" s="1021">
        <v>27910724</v>
      </c>
      <c r="F64" s="641"/>
    </row>
    <row r="65" spans="1:6" s="175" customFormat="1">
      <c r="A65" s="935">
        <f t="shared" si="5"/>
        <v>28</v>
      </c>
      <c r="B65" s="873" t="str">
        <f>+"Account 924 without Storm Damage Accrual  (Ln "&amp;A63&amp;" Less Ln "&amp;A64&amp;")"</f>
        <v>Account 924 without Storm Damage Accrual  (Ln 26 Less Ln 27)</v>
      </c>
      <c r="C65" s="296"/>
      <c r="D65" s="296"/>
      <c r="E65" s="1084">
        <f>+E63-E64</f>
        <v>7004286.9099999964</v>
      </c>
      <c r="F65" s="641"/>
    </row>
    <row r="66" spans="1:6" s="175" customFormat="1">
      <c r="A66" s="1004"/>
      <c r="B66" s="640"/>
      <c r="C66" s="296"/>
      <c r="D66" s="296"/>
      <c r="E66" s="296"/>
      <c r="F66" s="641"/>
    </row>
    <row r="67" spans="1:6" s="175" customFormat="1">
      <c r="A67" s="673" t="s">
        <v>316</v>
      </c>
      <c r="C67" s="296"/>
      <c r="D67" s="296"/>
      <c r="E67" s="296"/>
      <c r="F67" s="641"/>
    </row>
    <row r="68" spans="1:6" s="175" customFormat="1" ht="180" customHeight="1">
      <c r="A68" s="760" t="s">
        <v>176</v>
      </c>
      <c r="B68" s="1877" t="s">
        <v>1175</v>
      </c>
      <c r="C68" s="1877"/>
      <c r="D68" s="1877"/>
      <c r="E68" s="1877"/>
      <c r="F68" s="641"/>
    </row>
    <row r="69" spans="1:6" s="175" customFormat="1">
      <c r="A69" s="758"/>
      <c r="B69" s="174"/>
      <c r="C69" s="174"/>
      <c r="D69" s="174"/>
      <c r="E69" s="174"/>
    </row>
    <row r="70" spans="1:6" s="175" customFormat="1">
      <c r="A70" s="758"/>
      <c r="B70" s="174"/>
      <c r="C70" s="174"/>
      <c r="D70" s="174"/>
      <c r="E70" s="174"/>
    </row>
    <row r="71" spans="1:6" s="175" customFormat="1">
      <c r="A71" s="758"/>
      <c r="B71" s="174"/>
      <c r="C71" s="174"/>
      <c r="D71" s="174"/>
      <c r="E71" s="174"/>
    </row>
    <row r="72" spans="1:6" s="175" customFormat="1">
      <c r="A72" s="758"/>
      <c r="B72" s="174"/>
      <c r="C72" s="174"/>
      <c r="D72" s="174"/>
      <c r="E72" s="174"/>
    </row>
    <row r="73" spans="1:6" s="175" customFormat="1">
      <c r="A73" s="758"/>
      <c r="B73" s="174"/>
      <c r="C73" s="174"/>
      <c r="D73" s="174"/>
      <c r="E73" s="174"/>
    </row>
    <row r="74" spans="1:6" s="175" customFormat="1">
      <c r="A74" s="759"/>
      <c r="B74" s="174"/>
      <c r="C74" s="174"/>
      <c r="D74" s="174"/>
      <c r="E74" s="174"/>
    </row>
    <row r="75" spans="1:6" s="175" customFormat="1">
      <c r="A75" s="759"/>
      <c r="B75" s="174"/>
      <c r="C75" s="174"/>
      <c r="D75" s="174"/>
      <c r="E75" s="174"/>
    </row>
    <row r="76" spans="1:6" s="175" customFormat="1">
      <c r="A76" s="759"/>
      <c r="B76" s="174"/>
      <c r="C76" s="174"/>
      <c r="D76" s="174"/>
      <c r="E76" s="174"/>
    </row>
    <row r="77" spans="1:6" s="175" customFormat="1">
      <c r="A77" s="759"/>
      <c r="B77" s="174"/>
      <c r="C77" s="174"/>
      <c r="D77" s="174"/>
      <c r="E77" s="174"/>
    </row>
    <row r="78" spans="1:6" s="175" customFormat="1">
      <c r="A78" s="759"/>
      <c r="B78" s="174"/>
      <c r="C78" s="174"/>
      <c r="D78" s="174"/>
      <c r="E78" s="174"/>
    </row>
    <row r="79" spans="1:6" s="175" customFormat="1">
      <c r="A79" s="759"/>
      <c r="B79" s="174"/>
      <c r="C79" s="174"/>
      <c r="D79" s="174"/>
      <c r="E79" s="174"/>
      <c r="F79" s="876"/>
    </row>
    <row r="80" spans="1:6" s="175" customFormat="1">
      <c r="A80" s="759"/>
      <c r="B80" s="174"/>
      <c r="C80" s="174"/>
      <c r="D80" s="174"/>
      <c r="E80" s="174"/>
      <c r="F80" s="174"/>
    </row>
    <row r="81" spans="1:6" s="175" customFormat="1">
      <c r="A81" s="759"/>
      <c r="B81" s="174"/>
      <c r="C81" s="174"/>
      <c r="D81" s="174"/>
      <c r="E81" s="174"/>
      <c r="F81" s="174"/>
    </row>
  </sheetData>
  <mergeCells count="4">
    <mergeCell ref="B68:E68"/>
    <mergeCell ref="A1:E1"/>
    <mergeCell ref="A2:E2"/>
    <mergeCell ref="A3:E3"/>
  </mergeCells>
  <printOptions horizontalCentered="1"/>
  <pageMargins left="0.7" right="0.7" top="0.7" bottom="0.7" header="0.3" footer="0.5"/>
  <pageSetup scale="69" orientation="portrait" r:id="rId1"/>
  <headerFooter>
    <oddFooter>&amp;R&amp;A</oddFooter>
  </headerFooter>
  <ignoredErrors>
    <ignoredError sqref="E45:E58" formula="1"/>
    <ignoredError sqref="C45:D58" formula="1" formulaRange="1"/>
    <ignoredError sqref="A68"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8"/>
  <sheetViews>
    <sheetView workbookViewId="0">
      <selection sqref="A1:B1"/>
    </sheetView>
  </sheetViews>
  <sheetFormatPr defaultColWidth="22.44140625" defaultRowHeight="13.2"/>
  <cols>
    <col min="1" max="1" width="6.109375" style="210" bestFit="1" customWidth="1"/>
    <col min="2" max="2" width="26.33203125" bestFit="1" customWidth="1"/>
    <col min="3" max="5" width="15.5546875" customWidth="1"/>
  </cols>
  <sheetData>
    <row r="1" spans="1:8" s="226" customFormat="1">
      <c r="A1" s="1914" t="str">
        <f>+'MISO Cover'!C6</f>
        <v>Entergy Arkansas, Inc.</v>
      </c>
      <c r="B1" s="1914"/>
      <c r="C1" s="1914"/>
      <c r="D1" s="1914"/>
      <c r="E1" s="1914"/>
    </row>
    <row r="2" spans="1:8" ht="15">
      <c r="A2" s="1915" t="s">
        <v>724</v>
      </c>
      <c r="B2" s="1915"/>
      <c r="C2" s="1915"/>
      <c r="D2" s="1915"/>
      <c r="E2" s="1915"/>
      <c r="F2" s="190"/>
      <c r="G2" s="190"/>
      <c r="H2" s="190"/>
    </row>
    <row r="3" spans="1:8" s="226" customFormat="1" ht="15">
      <c r="A3" s="1879" t="str">
        <f>+'MISO Cover'!K4</f>
        <v>For  the 12 Months Ended 12/31/2016</v>
      </c>
      <c r="B3" s="1879"/>
      <c r="C3" s="1879"/>
      <c r="D3" s="1879"/>
      <c r="E3" s="1879"/>
      <c r="F3" s="227"/>
      <c r="G3" s="227"/>
      <c r="H3" s="227"/>
    </row>
    <row r="4" spans="1:8" s="226" customFormat="1" ht="15">
      <c r="A4" s="708"/>
      <c r="B4" s="707"/>
      <c r="C4" s="707"/>
      <c r="D4" s="707"/>
      <c r="E4" s="707"/>
      <c r="F4" s="227"/>
      <c r="G4" s="227"/>
      <c r="H4" s="227"/>
    </row>
    <row r="5" spans="1:8" ht="15">
      <c r="A5" s="210" t="s">
        <v>290</v>
      </c>
      <c r="B5" s="523" t="s">
        <v>72</v>
      </c>
      <c r="C5" s="523" t="s">
        <v>119</v>
      </c>
      <c r="D5" s="523" t="s">
        <v>60</v>
      </c>
      <c r="E5" s="523" t="s">
        <v>73</v>
      </c>
      <c r="F5" s="191"/>
      <c r="G5" s="191"/>
      <c r="H5" s="191"/>
    </row>
    <row r="6" spans="1:8" ht="15">
      <c r="A6" s="1254">
        <v>1</v>
      </c>
      <c r="B6" s="1221" t="s">
        <v>117</v>
      </c>
      <c r="C6" s="675" t="s">
        <v>807</v>
      </c>
      <c r="D6" s="675" t="s">
        <v>819</v>
      </c>
      <c r="E6" s="675" t="s">
        <v>820</v>
      </c>
      <c r="F6" s="527"/>
      <c r="G6" s="191"/>
      <c r="H6" s="191"/>
    </row>
    <row r="7" spans="1:8" ht="15">
      <c r="A7" s="1408">
        <f>+A6+0.1</f>
        <v>1.1000000000000001</v>
      </c>
      <c r="B7" s="1403" t="s">
        <v>969</v>
      </c>
      <c r="C7" s="1409">
        <v>0</v>
      </c>
      <c r="D7" s="1409"/>
      <c r="E7" s="1409"/>
      <c r="F7" s="1372"/>
      <c r="G7" s="191"/>
      <c r="H7" s="191"/>
    </row>
    <row r="8" spans="1:8" ht="15">
      <c r="A8" s="1408" t="s">
        <v>960</v>
      </c>
      <c r="B8" s="1403" t="s">
        <v>969</v>
      </c>
      <c r="C8" s="1409">
        <v>0</v>
      </c>
      <c r="D8" s="1409"/>
      <c r="E8" s="1409"/>
      <c r="F8" s="1372"/>
      <c r="G8" s="191"/>
      <c r="H8" s="191"/>
    </row>
    <row r="9" spans="1:8" ht="15">
      <c r="A9" s="1408" t="s">
        <v>964</v>
      </c>
      <c r="B9" s="1403" t="s">
        <v>969</v>
      </c>
      <c r="C9" s="1410">
        <v>0</v>
      </c>
      <c r="D9" s="1409"/>
      <c r="E9" s="1409"/>
      <c r="F9" s="1252"/>
      <c r="G9" s="191"/>
      <c r="H9" s="191"/>
    </row>
    <row r="10" spans="1:8">
      <c r="A10" s="1255">
        <f>+A6+1</f>
        <v>2</v>
      </c>
      <c r="B10" s="1221" t="str">
        <f>+"Total  Sum of Line "&amp;A6&amp;" Subparts"</f>
        <v>Total  Sum of Line 1 Subparts</v>
      </c>
      <c r="C10" s="845">
        <f>SUM(C7:C9)</f>
        <v>0</v>
      </c>
      <c r="D10" s="44"/>
      <c r="E10" s="44"/>
    </row>
    <row r="11" spans="1:8">
      <c r="A11" s="1255"/>
      <c r="B11" s="1221"/>
      <c r="C11" s="44"/>
      <c r="D11" s="44"/>
      <c r="E11" s="44"/>
    </row>
    <row r="12" spans="1:8">
      <c r="A12" s="1220"/>
      <c r="B12" s="43"/>
      <c r="C12" s="44"/>
      <c r="D12" s="44"/>
      <c r="E12" s="44"/>
    </row>
    <row r="13" spans="1:8">
      <c r="A13" s="44" t="s">
        <v>316</v>
      </c>
      <c r="C13" s="44"/>
      <c r="D13" s="44"/>
      <c r="E13" s="44"/>
    </row>
    <row r="14" spans="1:8" s="709" customFormat="1" ht="40.200000000000003" customHeight="1">
      <c r="A14" s="1222" t="s">
        <v>176</v>
      </c>
      <c r="B14" s="1857" t="s">
        <v>984</v>
      </c>
      <c r="C14" s="1857"/>
      <c r="D14" s="1857"/>
      <c r="E14" s="1857"/>
      <c r="F14" s="188"/>
    </row>
    <row r="15" spans="1:8" s="709" customFormat="1" ht="27" customHeight="1">
      <c r="A15" s="1222" t="s">
        <v>338</v>
      </c>
      <c r="B15" s="1857" t="s">
        <v>806</v>
      </c>
      <c r="C15" s="1857"/>
      <c r="D15" s="1857"/>
      <c r="E15" s="1857"/>
      <c r="F15" s="188"/>
    </row>
    <row r="16" spans="1:8">
      <c r="A16" s="1222"/>
      <c r="B16" s="43"/>
      <c r="C16" s="43"/>
      <c r="D16" s="43"/>
      <c r="E16" s="43"/>
    </row>
    <row r="17" spans="1:5">
      <c r="A17" s="1220"/>
      <c r="B17" s="43"/>
      <c r="C17" s="43"/>
      <c r="D17" s="43"/>
      <c r="E17" s="43"/>
    </row>
    <row r="18" spans="1:5">
      <c r="A18" s="1220"/>
      <c r="B18" s="43"/>
      <c r="C18" s="43"/>
      <c r="D18" s="43"/>
      <c r="E18" s="43"/>
    </row>
    <row r="19" spans="1:5">
      <c r="B19" s="44"/>
      <c r="C19" s="44"/>
      <c r="D19" s="44"/>
      <c r="E19" s="44"/>
    </row>
    <row r="20" spans="1:5">
      <c r="B20" s="44"/>
      <c r="C20" s="44"/>
      <c r="D20" s="44"/>
      <c r="E20" s="44"/>
    </row>
    <row r="21" spans="1:5">
      <c r="B21" s="44"/>
      <c r="C21" s="44"/>
      <c r="D21" s="44"/>
      <c r="E21" s="44"/>
    </row>
    <row r="22" spans="1:5">
      <c r="B22" s="44"/>
      <c r="C22" s="44"/>
      <c r="D22" s="44"/>
      <c r="E22" s="44"/>
    </row>
    <row r="23" spans="1:5">
      <c r="B23" s="44"/>
      <c r="C23" s="44"/>
      <c r="D23" s="44"/>
      <c r="E23" s="44"/>
    </row>
    <row r="24" spans="1:5">
      <c r="B24" s="44"/>
      <c r="C24" s="44"/>
      <c r="D24" s="44"/>
      <c r="E24" s="44"/>
    </row>
    <row r="25" spans="1:5">
      <c r="B25" s="44"/>
      <c r="C25" s="44"/>
      <c r="D25" s="44"/>
      <c r="E25" s="44"/>
    </row>
    <row r="26" spans="1:5">
      <c r="B26" s="44"/>
      <c r="C26" s="44"/>
      <c r="D26" s="44"/>
      <c r="E26" s="44"/>
    </row>
    <row r="27" spans="1:5">
      <c r="B27" s="44"/>
      <c r="C27" s="44"/>
      <c r="D27" s="44"/>
      <c r="E27" s="44"/>
    </row>
    <row r="28" spans="1:5">
      <c r="C28" s="44"/>
      <c r="D28" s="44"/>
      <c r="E28" s="44"/>
    </row>
  </sheetData>
  <mergeCells count="5">
    <mergeCell ref="B15:E15"/>
    <mergeCell ref="B14:E14"/>
    <mergeCell ref="A3:E3"/>
    <mergeCell ref="A1:E1"/>
    <mergeCell ref="A2:E2"/>
  </mergeCells>
  <phoneticPr fontId="104" type="noConversion"/>
  <printOptions horizontalCentered="1"/>
  <pageMargins left="0.7" right="0.7" top="0.7" bottom="0.7" header="0.3" footer="0.5"/>
  <pageSetup orientation="portrait" r:id="rId1"/>
  <headerFooter>
    <oddFooter>&amp;R&amp;A</oddFooter>
  </headerFooter>
  <ignoredErrors>
    <ignoredError sqref="A14:A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240"/>
  <sheetViews>
    <sheetView zoomScale="90" zoomScaleNormal="90" zoomScaleSheetLayoutView="100" workbookViewId="0">
      <selection sqref="A1:B1"/>
    </sheetView>
  </sheetViews>
  <sheetFormatPr defaultColWidth="9.109375" defaultRowHeight="13.2"/>
  <cols>
    <col min="1" max="1" width="6.33203125" style="311" bestFit="1" customWidth="1"/>
    <col min="2" max="2" width="79.44140625" style="311" bestFit="1" customWidth="1"/>
    <col min="3" max="3" width="50.44140625" style="311" customWidth="1"/>
    <col min="4" max="4" width="14" style="311" bestFit="1" customWidth="1"/>
    <col min="5" max="5" width="1.44140625" style="311" customWidth="1"/>
    <col min="6" max="6" width="7.6640625" style="311" customWidth="1"/>
    <col min="7" max="7" width="11.44140625" style="311" customWidth="1"/>
    <col min="8" max="8" width="6.33203125" style="311" hidden="1" customWidth="1"/>
    <col min="9" max="9" width="15.33203125" style="311" customWidth="1"/>
    <col min="10" max="10" width="3.44140625" style="311" customWidth="1"/>
    <col min="11" max="11" width="7" style="311" customWidth="1"/>
    <col min="12" max="12" width="14" style="312" customWidth="1"/>
    <col min="13" max="14" width="14.33203125" style="312" customWidth="1"/>
    <col min="15" max="15" width="13.109375" style="311" customWidth="1"/>
    <col min="16" max="16" width="15.88671875" style="312" bestFit="1" customWidth="1"/>
    <col min="17" max="17" width="25.6640625" style="312" customWidth="1"/>
    <col min="18" max="18" width="14.88671875" style="311" bestFit="1" customWidth="1"/>
    <col min="19" max="16384" width="9.109375" style="311"/>
  </cols>
  <sheetData>
    <row r="1" spans="1:17">
      <c r="I1" s="1072"/>
      <c r="J1" s="1072"/>
      <c r="K1" s="1073" t="s">
        <v>429</v>
      </c>
      <c r="M1" s="311"/>
      <c r="N1" s="311"/>
      <c r="P1" s="311"/>
      <c r="Q1" s="311"/>
    </row>
    <row r="2" spans="1:17">
      <c r="A2" s="313"/>
      <c r="B2" s="313"/>
      <c r="C2" s="313"/>
      <c r="E2" s="313"/>
      <c r="F2" s="313"/>
      <c r="G2" s="313"/>
      <c r="H2" s="313"/>
      <c r="I2" s="313"/>
      <c r="J2" s="313"/>
      <c r="K2" s="314" t="s">
        <v>333</v>
      </c>
      <c r="M2" s="311"/>
      <c r="N2" s="311"/>
      <c r="P2" s="311"/>
      <c r="Q2" s="311"/>
    </row>
    <row r="3" spans="1:17">
      <c r="A3" s="313"/>
      <c r="B3" s="313"/>
      <c r="C3" s="1534" t="s">
        <v>1113</v>
      </c>
      <c r="D3" s="313"/>
      <c r="E3" s="313"/>
      <c r="F3" s="313"/>
      <c r="G3" s="313"/>
      <c r="H3" s="313"/>
      <c r="I3" s="313"/>
      <c r="J3" s="313"/>
      <c r="K3" s="313"/>
      <c r="M3" s="311"/>
      <c r="N3" s="311"/>
      <c r="P3" s="311"/>
      <c r="Q3" s="311"/>
    </row>
    <row r="4" spans="1:17" ht="13.2" customHeight="1">
      <c r="A4" s="315"/>
      <c r="B4" s="316" t="s">
        <v>334</v>
      </c>
      <c r="C4" s="317" t="s">
        <v>335</v>
      </c>
      <c r="E4" s="316"/>
      <c r="F4" s="316"/>
      <c r="G4" s="318"/>
      <c r="H4" s="319"/>
      <c r="I4" s="1070"/>
      <c r="J4" s="1071"/>
      <c r="K4" s="1754" t="s">
        <v>1515</v>
      </c>
      <c r="L4" s="1835" t="s">
        <v>1114</v>
      </c>
      <c r="M4" s="1835"/>
      <c r="N4" s="1835"/>
      <c r="O4" s="1835"/>
      <c r="P4" s="311"/>
      <c r="Q4" s="311"/>
    </row>
    <row r="5" spans="1:17" ht="13.8" thickBot="1">
      <c r="A5" s="315"/>
      <c r="C5" s="320" t="s">
        <v>336</v>
      </c>
      <c r="E5" s="321"/>
      <c r="F5" s="321"/>
      <c r="G5" s="321"/>
      <c r="H5" s="322"/>
      <c r="I5" s="322"/>
      <c r="J5" s="323"/>
      <c r="K5" s="323"/>
      <c r="L5" s="1835"/>
      <c r="M5" s="1835"/>
      <c r="N5" s="1835"/>
      <c r="O5" s="1835"/>
      <c r="P5" s="311"/>
      <c r="Q5" s="311"/>
    </row>
    <row r="6" spans="1:17" ht="14.4" thickBot="1">
      <c r="A6" s="315"/>
      <c r="B6" s="324"/>
      <c r="C6" s="1074" t="s">
        <v>175</v>
      </c>
      <c r="E6" s="323"/>
      <c r="F6" s="323"/>
      <c r="G6" s="323"/>
      <c r="H6" s="323"/>
      <c r="J6" s="325"/>
      <c r="K6" s="325"/>
      <c r="L6" s="1253" t="s">
        <v>337</v>
      </c>
      <c r="M6" s="311"/>
      <c r="N6" s="311"/>
      <c r="P6" s="311"/>
      <c r="Q6" s="311"/>
    </row>
    <row r="7" spans="1:17" ht="13.8">
      <c r="B7" s="324"/>
      <c r="C7" s="1047" t="str">
        <f>+L6&amp;" Rate"</f>
        <v>Projected Rate</v>
      </c>
      <c r="J7" s="326"/>
      <c r="K7" s="326"/>
      <c r="L7" s="311"/>
      <c r="M7" s="311"/>
      <c r="N7" s="311"/>
      <c r="P7" s="311"/>
      <c r="Q7" s="311"/>
    </row>
    <row r="8" spans="1:17">
      <c r="A8" s="317"/>
      <c r="C8" s="323"/>
      <c r="D8" s="327"/>
      <c r="E8" s="323"/>
      <c r="F8" s="323"/>
      <c r="G8" s="323"/>
      <c r="H8" s="323"/>
      <c r="I8" s="323"/>
      <c r="J8" s="323"/>
      <c r="K8" s="323"/>
      <c r="L8" s="312" t="s">
        <v>337</v>
      </c>
      <c r="M8" s="311"/>
      <c r="N8" s="311"/>
      <c r="P8" s="311"/>
      <c r="Q8" s="311"/>
    </row>
    <row r="9" spans="1:17">
      <c r="A9" s="317"/>
      <c r="B9" s="329" t="s">
        <v>176</v>
      </c>
      <c r="C9" s="329" t="s">
        <v>338</v>
      </c>
      <c r="D9" s="329" t="s">
        <v>339</v>
      </c>
      <c r="E9" s="321" t="s">
        <v>70</v>
      </c>
      <c r="F9" s="321"/>
      <c r="G9" s="327" t="s">
        <v>340</v>
      </c>
      <c r="H9" s="321"/>
      <c r="I9" s="327" t="s">
        <v>341</v>
      </c>
      <c r="J9" s="323"/>
      <c r="K9" s="323"/>
      <c r="L9" s="312" t="s">
        <v>1115</v>
      </c>
      <c r="M9" s="311"/>
      <c r="N9" s="311"/>
      <c r="P9" s="311"/>
      <c r="Q9" s="311"/>
    </row>
    <row r="10" spans="1:17">
      <c r="A10" s="317" t="s">
        <v>342</v>
      </c>
      <c r="B10" s="323"/>
      <c r="C10" s="323"/>
      <c r="D10" s="330"/>
      <c r="E10" s="323"/>
      <c r="F10" s="323"/>
      <c r="G10" s="323"/>
      <c r="H10" s="323"/>
      <c r="I10" s="317" t="s">
        <v>343</v>
      </c>
      <c r="J10" s="323"/>
      <c r="K10" s="323"/>
      <c r="L10" s="328">
        <f>IF(L6=L8,0,1)</f>
        <v>0</v>
      </c>
      <c r="M10" s="311"/>
      <c r="N10" s="311"/>
      <c r="P10" s="311"/>
      <c r="Q10" s="311"/>
    </row>
    <row r="11" spans="1:17" ht="13.8" thickBot="1">
      <c r="A11" s="331" t="s">
        <v>344</v>
      </c>
      <c r="B11" s="323"/>
      <c r="C11" s="323"/>
      <c r="D11" s="323"/>
      <c r="E11" s="323"/>
      <c r="F11" s="323"/>
      <c r="G11" s="323"/>
      <c r="H11" s="323"/>
      <c r="I11" s="331" t="s">
        <v>153</v>
      </c>
      <c r="J11" s="323"/>
      <c r="K11" s="323"/>
      <c r="M11" s="311"/>
      <c r="N11" s="311"/>
      <c r="P11" s="311"/>
      <c r="Q11" s="311"/>
    </row>
    <row r="12" spans="1:17">
      <c r="A12" s="388">
        <v>1</v>
      </c>
      <c r="B12" s="323" t="s">
        <v>345</v>
      </c>
      <c r="C12" s="335" t="str">
        <f>+"Page 3, Line "&amp;A174</f>
        <v>Page 3, Line 31</v>
      </c>
      <c r="D12" s="332"/>
      <c r="E12" s="323"/>
      <c r="F12" s="323"/>
      <c r="G12" s="323"/>
      <c r="H12" s="323"/>
      <c r="I12" s="333">
        <f>+I174</f>
        <v>211249438.31879589</v>
      </c>
      <c r="J12" s="323"/>
      <c r="K12" s="325"/>
      <c r="M12" s="311"/>
      <c r="N12" s="311"/>
      <c r="P12" s="311"/>
      <c r="Q12" s="311"/>
    </row>
    <row r="13" spans="1:17">
      <c r="A13" s="388"/>
      <c r="B13" s="323"/>
      <c r="C13" s="323"/>
      <c r="D13" s="323"/>
      <c r="E13" s="323"/>
      <c r="F13" s="323"/>
      <c r="G13" s="323"/>
      <c r="H13" s="323"/>
      <c r="I13" s="332"/>
      <c r="J13" s="323"/>
      <c r="K13" s="323"/>
      <c r="M13" s="311"/>
      <c r="N13" s="311"/>
      <c r="P13" s="311"/>
      <c r="Q13" s="311"/>
    </row>
    <row r="14" spans="1:17" ht="13.8" thickBot="1">
      <c r="A14" s="388" t="s">
        <v>70</v>
      </c>
      <c r="B14" s="334" t="s">
        <v>346</v>
      </c>
      <c r="C14" s="335"/>
      <c r="D14" s="336" t="s">
        <v>118</v>
      </c>
      <c r="E14" s="335"/>
      <c r="F14" s="337" t="s">
        <v>347</v>
      </c>
      <c r="G14" s="337"/>
      <c r="H14" s="325"/>
      <c r="I14" s="338"/>
      <c r="J14" s="325"/>
      <c r="K14" s="323"/>
      <c r="M14" s="311"/>
      <c r="N14" s="311"/>
      <c r="P14" s="311"/>
      <c r="Q14" s="311"/>
    </row>
    <row r="15" spans="1:17">
      <c r="A15" s="388">
        <f>+A12+1</f>
        <v>2</v>
      </c>
      <c r="B15" s="783" t="str">
        <f>+B224</f>
        <v xml:space="preserve">Account 454 (Rent From Electric Property: General Plant Only) </v>
      </c>
      <c r="C15" s="335" t="str">
        <f>+"Page 4, Line "&amp;A224</f>
        <v>Page 4, Line 34</v>
      </c>
      <c r="D15" s="333">
        <f>+I224</f>
        <v>52133.982604891069</v>
      </c>
      <c r="E15" s="335"/>
      <c r="F15" s="335" t="s">
        <v>348</v>
      </c>
      <c r="G15" s="339">
        <v>1</v>
      </c>
      <c r="H15" s="340"/>
      <c r="I15" s="333">
        <f>+G15*D15</f>
        <v>52133.982604891069</v>
      </c>
      <c r="J15" s="325"/>
      <c r="K15" s="323"/>
      <c r="M15" s="311"/>
      <c r="N15" s="311"/>
      <c r="P15" s="311"/>
      <c r="Q15" s="311"/>
    </row>
    <row r="16" spans="1:17">
      <c r="A16" s="388">
        <f>+A15+1</f>
        <v>3</v>
      </c>
      <c r="B16" s="783" t="str">
        <f>+B227</f>
        <v>Account 456.1 Transmission Service Revenue Credits</v>
      </c>
      <c r="C16" s="335" t="str">
        <f>+"Page 4, Line "&amp;A231</f>
        <v>Page 4, Line 37</v>
      </c>
      <c r="D16" s="333">
        <f>+I231</f>
        <v>693280.7140801698</v>
      </c>
      <c r="E16" s="335"/>
      <c r="F16" s="335" t="s">
        <v>348</v>
      </c>
      <c r="G16" s="339">
        <v>1</v>
      </c>
      <c r="H16" s="340"/>
      <c r="I16" s="333">
        <f>+G16*D16</f>
        <v>693280.7140801698</v>
      </c>
      <c r="J16" s="325"/>
      <c r="K16" s="323"/>
      <c r="M16" s="311"/>
      <c r="N16" s="311"/>
      <c r="P16" s="311"/>
      <c r="Q16" s="311"/>
    </row>
    <row r="17" spans="1:17">
      <c r="A17" s="388">
        <f>+A16+1</f>
        <v>4</v>
      </c>
      <c r="B17" s="783" t="s">
        <v>866</v>
      </c>
      <c r="C17" s="342"/>
      <c r="D17" s="341"/>
      <c r="E17" s="335"/>
      <c r="F17" s="335" t="s">
        <v>349</v>
      </c>
      <c r="G17" s="339" t="s">
        <v>350</v>
      </c>
      <c r="H17" s="340"/>
      <c r="I17" s="341"/>
      <c r="J17" s="325"/>
      <c r="K17" s="323"/>
      <c r="N17" s="311"/>
      <c r="P17" s="311"/>
      <c r="Q17" s="311"/>
    </row>
    <row r="18" spans="1:17" ht="14.4" thickBot="1">
      <c r="A18" s="388">
        <f>+A17+1</f>
        <v>5</v>
      </c>
      <c r="B18" s="783" t="s">
        <v>866</v>
      </c>
      <c r="C18" s="342"/>
      <c r="D18" s="341"/>
      <c r="E18" s="335"/>
      <c r="F18" s="335" t="s">
        <v>349</v>
      </c>
      <c r="G18" s="339" t="s">
        <v>350</v>
      </c>
      <c r="H18" s="340"/>
      <c r="I18" s="343"/>
      <c r="J18" s="325"/>
      <c r="K18" s="323"/>
      <c r="L18" s="1976" t="s">
        <v>1162</v>
      </c>
      <c r="N18" s="311"/>
      <c r="P18" s="311"/>
      <c r="Q18" s="311"/>
    </row>
    <row r="19" spans="1:17">
      <c r="A19" s="388">
        <f>+A18+1</f>
        <v>6</v>
      </c>
      <c r="B19" s="334" t="s">
        <v>351</v>
      </c>
      <c r="C19" s="325" t="str">
        <f>+"(Sum of Line "&amp;A15&amp;" to Line "&amp;A18&amp;")"</f>
        <v>(Sum of Line 2 to Line 5)</v>
      </c>
      <c r="D19" s="344" t="s">
        <v>70</v>
      </c>
      <c r="E19" s="335"/>
      <c r="F19" s="335"/>
      <c r="G19" s="345"/>
      <c r="H19" s="340"/>
      <c r="I19" s="333">
        <f>SUM(I15:I18)</f>
        <v>745414.69668506086</v>
      </c>
      <c r="J19" s="325"/>
      <c r="K19" s="323"/>
      <c r="L19" s="1487"/>
      <c r="M19" s="1487"/>
      <c r="N19" s="1488"/>
      <c r="O19" s="1488"/>
      <c r="P19" s="1488"/>
      <c r="Q19" s="311"/>
    </row>
    <row r="20" spans="1:17">
      <c r="A20" s="388"/>
      <c r="B20" s="346"/>
      <c r="C20" s="325"/>
      <c r="D20" s="335" t="s">
        <v>70</v>
      </c>
      <c r="E20" s="325"/>
      <c r="F20" s="325"/>
      <c r="G20" s="347"/>
      <c r="H20" s="325"/>
      <c r="I20" s="346"/>
      <c r="J20" s="325"/>
      <c r="K20" s="323"/>
      <c r="L20" s="1487"/>
      <c r="M20" s="1487"/>
      <c r="N20" s="1488"/>
      <c r="O20" s="1488"/>
      <c r="P20" s="1488"/>
      <c r="Q20" s="311"/>
    </row>
    <row r="21" spans="1:17">
      <c r="A21" s="388" t="str">
        <f>+A19&amp;"a"</f>
        <v>6a</v>
      </c>
      <c r="B21" s="348" t="s">
        <v>353</v>
      </c>
      <c r="C21" s="335" t="str">
        <f>+"Appendix A Line"&amp;'Appendix A'!A291&amp;" "&amp;$L$6&amp;" Column"</f>
        <v>Appendix A Line194 Projected Column</v>
      </c>
      <c r="D21" s="333">
        <f>IF($L$10=0,'Appendix A'!H291,'Appendix A'!G291)</f>
        <v>11154931.414013188</v>
      </c>
      <c r="E21" s="349"/>
      <c r="F21" s="350" t="s">
        <v>348</v>
      </c>
      <c r="G21" s="351">
        <v>1</v>
      </c>
      <c r="H21" s="349"/>
      <c r="I21" s="333">
        <f>+G21*D21</f>
        <v>11154931.414013188</v>
      </c>
      <c r="J21" s="325"/>
      <c r="K21" s="323"/>
      <c r="L21" s="1487"/>
      <c r="M21" s="1487">
        <f>IF($L$10=0,'Appendix A'!H291,'Appendix A'!G291)</f>
        <v>11154931.414013188</v>
      </c>
      <c r="N21" s="1489">
        <f>+I21-M21</f>
        <v>0</v>
      </c>
      <c r="O21" s="1488"/>
      <c r="P21" s="1488"/>
      <c r="Q21" s="311"/>
    </row>
    <row r="22" spans="1:17">
      <c r="A22" s="388"/>
      <c r="B22" s="346"/>
      <c r="C22" s="325"/>
      <c r="D22" s="335"/>
      <c r="E22" s="325"/>
      <c r="F22" s="325"/>
      <c r="G22" s="347"/>
      <c r="H22" s="325"/>
      <c r="I22" s="346"/>
      <c r="J22" s="325"/>
      <c r="K22" s="323"/>
      <c r="L22" s="1487"/>
      <c r="M22" s="1487"/>
      <c r="N22" s="1488"/>
      <c r="O22" s="1488"/>
      <c r="P22" s="1488"/>
      <c r="Q22" s="311"/>
    </row>
    <row r="23" spans="1:17">
      <c r="A23" s="388" t="s">
        <v>678</v>
      </c>
      <c r="B23" s="348" t="s">
        <v>352</v>
      </c>
      <c r="C23" s="311" t="str">
        <f>+"(Line "&amp;A12&amp;" - Line "&amp;A19&amp;" + Line "&amp;A21&amp;")"</f>
        <v>(Line 1 - Line 6 + Line 6a)</v>
      </c>
      <c r="I23" s="1051">
        <f>+I12-I19+I21</f>
        <v>221658955.03612402</v>
      </c>
      <c r="J23" s="325"/>
      <c r="K23" s="323"/>
      <c r="L23" s="1487"/>
      <c r="M23" s="1487">
        <f>IF($L$10=0,'Appendix A'!H293,'Appendix A'!G288)</f>
        <v>221658955.03612402</v>
      </c>
      <c r="N23" s="1489">
        <f>+I23-M23</f>
        <v>0</v>
      </c>
      <c r="O23" s="1488"/>
      <c r="P23" s="1488"/>
      <c r="Q23" s="311"/>
    </row>
    <row r="24" spans="1:17">
      <c r="A24" s="388"/>
      <c r="B24" s="348"/>
      <c r="C24" s="352"/>
      <c r="D24" s="352"/>
      <c r="E24" s="352"/>
      <c r="F24" s="352"/>
      <c r="G24" s="352"/>
      <c r="H24" s="352"/>
      <c r="I24" s="352"/>
      <c r="J24" s="325"/>
      <c r="K24" s="323"/>
      <c r="L24" s="1487"/>
      <c r="M24" s="1487"/>
      <c r="N24" s="1488"/>
      <c r="O24" s="1488"/>
      <c r="P24" s="1488"/>
      <c r="Q24" s="311"/>
    </row>
    <row r="25" spans="1:17">
      <c r="A25" s="388" t="s">
        <v>677</v>
      </c>
      <c r="B25" s="334" t="s">
        <v>838</v>
      </c>
      <c r="C25" s="335" t="str">
        <f>+"Appendix A Line "&amp;'Appendix A'!A296&amp;" "&amp;$L$6&amp;" Column"</f>
        <v>Appendix A Line 197 Projected Column</v>
      </c>
      <c r="D25" s="341"/>
      <c r="E25" s="325"/>
      <c r="F25" s="325"/>
      <c r="G25" s="347"/>
      <c r="H25" s="325"/>
      <c r="I25" s="333">
        <f>IF($L$10=0,'Appendix A'!H296,'Appendix A'!G296)</f>
        <v>0</v>
      </c>
      <c r="J25" s="325"/>
      <c r="K25" s="323"/>
      <c r="L25" s="1487"/>
      <c r="M25" s="1487"/>
      <c r="N25" s="1488"/>
      <c r="O25" s="1488"/>
      <c r="P25" s="1488"/>
      <c r="Q25" s="311"/>
    </row>
    <row r="26" spans="1:17">
      <c r="A26" s="388" t="s">
        <v>679</v>
      </c>
      <c r="B26" s="334" t="s">
        <v>838</v>
      </c>
      <c r="C26" s="335" t="str">
        <f>+"Appendix A Line "&amp;'Appendix A'!A297&amp;" "&amp;$L$6&amp;" Column"</f>
        <v>Appendix A Line 198 Projected Column</v>
      </c>
      <c r="D26" s="335"/>
      <c r="E26" s="325"/>
      <c r="F26" s="325"/>
      <c r="G26" s="347"/>
      <c r="H26" s="325"/>
      <c r="I26" s="333">
        <f>IF($L$10=0,'Appendix A'!H297,'Appendix A'!G297)</f>
        <v>0</v>
      </c>
      <c r="J26" s="325"/>
      <c r="K26" s="323"/>
      <c r="L26" s="1488"/>
      <c r="M26" s="1488"/>
      <c r="N26" s="1488"/>
      <c r="O26" s="1488"/>
      <c r="P26" s="1488"/>
      <c r="Q26" s="311"/>
    </row>
    <row r="27" spans="1:17">
      <c r="A27" s="418"/>
      <c r="B27" s="348"/>
      <c r="C27" s="349"/>
      <c r="D27" s="354"/>
      <c r="E27" s="354"/>
      <c r="F27" s="354"/>
      <c r="G27" s="354"/>
      <c r="H27" s="354"/>
      <c r="I27" s="355"/>
      <c r="J27" s="352"/>
      <c r="K27" s="353"/>
      <c r="L27" s="1488"/>
      <c r="M27" s="1487"/>
      <c r="N27" s="1489"/>
      <c r="O27" s="1488"/>
      <c r="P27" s="1488"/>
      <c r="Q27" s="311"/>
    </row>
    <row r="28" spans="1:17" ht="13.8" thickBot="1">
      <c r="A28" s="418">
        <v>7</v>
      </c>
      <c r="B28" s="348" t="s">
        <v>352</v>
      </c>
      <c r="C28" s="349" t="str">
        <f>+"(Sum of Line "&amp;A23&amp;" to Line "&amp;A26&amp;")"</f>
        <v>(Sum of Line 7a to Line 7c)</v>
      </c>
      <c r="D28" s="354"/>
      <c r="E28" s="355"/>
      <c r="F28" s="355"/>
      <c r="G28" s="355"/>
      <c r="H28" s="355"/>
      <c r="I28" s="1374">
        <f>+SUM(I23:I26)</f>
        <v>221658955.03612402</v>
      </c>
      <c r="J28" s="352"/>
      <c r="K28" s="353"/>
      <c r="L28" s="1488"/>
      <c r="M28" s="1487">
        <f>IF($L$10=0,'Appendix A'!H293,'Appendix A'!G293)</f>
        <v>221658955.03612402</v>
      </c>
      <c r="N28" s="1489">
        <f>+I28-M28</f>
        <v>0</v>
      </c>
      <c r="O28" s="1488"/>
      <c r="P28" s="1488"/>
      <c r="Q28" s="311"/>
    </row>
    <row r="29" spans="1:17" ht="13.8" thickTop="1">
      <c r="A29" s="356"/>
      <c r="B29" s="357"/>
      <c r="C29" s="353"/>
      <c r="D29" s="353"/>
      <c r="E29" s="353"/>
      <c r="F29" s="358"/>
      <c r="G29" s="359"/>
      <c r="H29" s="353"/>
      <c r="I29" s="357"/>
      <c r="J29" s="353"/>
      <c r="K29" s="353"/>
      <c r="L29" s="1487"/>
      <c r="M29" s="1487"/>
      <c r="N29" s="1488"/>
      <c r="O29" s="1488"/>
      <c r="P29" s="1488"/>
      <c r="Q29" s="311"/>
    </row>
    <row r="30" spans="1:17">
      <c r="A30" s="356"/>
      <c r="B30" s="360"/>
      <c r="C30" s="353"/>
      <c r="D30" s="353"/>
      <c r="E30" s="353"/>
      <c r="F30" s="358"/>
      <c r="G30" s="359"/>
      <c r="H30" s="353"/>
      <c r="I30" s="357"/>
      <c r="J30" s="353"/>
      <c r="K30" s="353"/>
      <c r="L30" s="1487"/>
      <c r="M30" s="1487"/>
      <c r="N30" s="1488"/>
      <c r="O30" s="1488"/>
      <c r="P30" s="1488"/>
      <c r="Q30" s="311"/>
    </row>
    <row r="31" spans="1:17" ht="15.6">
      <c r="A31" s="376"/>
      <c r="B31" s="361" t="s">
        <v>354</v>
      </c>
      <c r="C31" s="362"/>
      <c r="D31" s="363"/>
      <c r="E31" s="362"/>
      <c r="F31" s="362"/>
      <c r="G31" s="362"/>
      <c r="H31" s="362"/>
      <c r="I31" s="364"/>
      <c r="J31" s="362"/>
      <c r="L31" s="1490"/>
      <c r="M31" s="1487"/>
      <c r="N31" s="1488"/>
      <c r="O31" s="1488"/>
      <c r="P31" s="1488"/>
      <c r="Q31" s="311"/>
    </row>
    <row r="32" spans="1:17" ht="15.6">
      <c r="A32" s="376">
        <f>+A28+1</f>
        <v>8</v>
      </c>
      <c r="B32" s="786" t="s">
        <v>649</v>
      </c>
      <c r="C32" s="335" t="str">
        <f>+"Appendix A Line "&amp;'Appendix A'!A301&amp;" "&amp;$L$6&amp;" Column"</f>
        <v>Appendix A Line 200 Projected Column</v>
      </c>
      <c r="D32" s="363"/>
      <c r="E32" s="362"/>
      <c r="F32" s="362"/>
      <c r="G32" s="365"/>
      <c r="H32" s="362"/>
      <c r="I32" s="333">
        <f>IF($L$10=0,'Appendix A'!$H$301,'Appendix A'!$G$301)</f>
        <v>5460500</v>
      </c>
      <c r="J32" s="362"/>
      <c r="L32" s="1490"/>
      <c r="M32" s="1487"/>
      <c r="N32" s="1488"/>
      <c r="O32" s="1488"/>
      <c r="P32" s="1488"/>
      <c r="Q32" s="311"/>
    </row>
    <row r="33" spans="1:17" ht="15.6">
      <c r="A33" s="376">
        <f t="shared" ref="A33:A39" si="0">+A32+1</f>
        <v>9</v>
      </c>
      <c r="B33" s="783" t="s">
        <v>866</v>
      </c>
      <c r="C33" s="362"/>
      <c r="D33" s="362"/>
      <c r="E33" s="362"/>
      <c r="F33" s="362"/>
      <c r="G33" s="365"/>
      <c r="H33" s="362"/>
      <c r="I33" s="368">
        <v>0</v>
      </c>
      <c r="J33" s="362"/>
      <c r="L33" s="1490"/>
      <c r="M33" s="1488"/>
      <c r="N33" s="1488"/>
      <c r="O33" s="1488"/>
      <c r="P33" s="1488"/>
      <c r="Q33" s="311"/>
    </row>
    <row r="34" spans="1:17" ht="15.6">
      <c r="A34" s="376">
        <f t="shared" si="0"/>
        <v>10</v>
      </c>
      <c r="B34" s="783" t="s">
        <v>866</v>
      </c>
      <c r="C34" s="362"/>
      <c r="D34" s="362"/>
      <c r="E34" s="362"/>
      <c r="F34" s="362"/>
      <c r="G34" s="365"/>
      <c r="H34" s="362"/>
      <c r="I34" s="368">
        <v>0</v>
      </c>
      <c r="J34" s="362"/>
      <c r="L34" s="1490"/>
      <c r="M34" s="1488"/>
      <c r="N34" s="1488"/>
      <c r="O34" s="1488"/>
      <c r="P34" s="1488"/>
      <c r="Q34" s="311"/>
    </row>
    <row r="35" spans="1:17" ht="15.6">
      <c r="A35" s="376">
        <f t="shared" si="0"/>
        <v>11</v>
      </c>
      <c r="B35" s="783" t="s">
        <v>866</v>
      </c>
      <c r="C35" s="362"/>
      <c r="D35" s="362"/>
      <c r="E35" s="362"/>
      <c r="F35" s="362"/>
      <c r="G35" s="365"/>
      <c r="H35" s="362"/>
      <c r="I35" s="368">
        <v>0</v>
      </c>
      <c r="J35" s="362"/>
      <c r="L35" s="1490"/>
      <c r="M35" s="1488"/>
      <c r="N35" s="1488"/>
      <c r="O35" s="1488"/>
      <c r="P35" s="1488"/>
      <c r="Q35" s="311"/>
    </row>
    <row r="36" spans="1:17" ht="15.6">
      <c r="A36" s="376">
        <f t="shared" si="0"/>
        <v>12</v>
      </c>
      <c r="B36" s="783" t="s">
        <v>866</v>
      </c>
      <c r="C36" s="362"/>
      <c r="D36" s="362"/>
      <c r="E36" s="362"/>
      <c r="F36" s="362"/>
      <c r="G36" s="365"/>
      <c r="H36" s="362"/>
      <c r="I36" s="368">
        <v>0</v>
      </c>
      <c r="J36" s="362"/>
      <c r="L36" s="1490"/>
      <c r="M36" s="1488"/>
      <c r="N36" s="1488"/>
      <c r="O36" s="1488"/>
      <c r="P36" s="1488"/>
      <c r="Q36" s="311"/>
    </row>
    <row r="37" spans="1:17" ht="15.6">
      <c r="A37" s="376">
        <f t="shared" si="0"/>
        <v>13</v>
      </c>
      <c r="B37" s="783" t="s">
        <v>866</v>
      </c>
      <c r="C37" s="362"/>
      <c r="D37" s="362"/>
      <c r="E37" s="362"/>
      <c r="F37" s="362"/>
      <c r="G37" s="365"/>
      <c r="H37" s="362"/>
      <c r="I37" s="368">
        <v>0</v>
      </c>
      <c r="J37" s="362"/>
      <c r="L37" s="1490"/>
      <c r="M37" s="1488"/>
      <c r="N37" s="1488"/>
      <c r="O37" s="1488"/>
      <c r="P37" s="1488"/>
      <c r="Q37" s="311"/>
    </row>
    <row r="38" spans="1:17" ht="16.2" thickBot="1">
      <c r="A38" s="376">
        <f t="shared" si="0"/>
        <v>14</v>
      </c>
      <c r="B38" s="783" t="s">
        <v>866</v>
      </c>
      <c r="C38" s="362"/>
      <c r="D38" s="362"/>
      <c r="E38" s="362"/>
      <c r="F38" s="362"/>
      <c r="G38" s="365"/>
      <c r="H38" s="362"/>
      <c r="I38" s="369">
        <v>0</v>
      </c>
      <c r="J38" s="362"/>
      <c r="L38" s="1490"/>
      <c r="M38" s="1488"/>
      <c r="N38" s="1488"/>
      <c r="O38" s="1488"/>
      <c r="P38" s="1488"/>
      <c r="Q38" s="311"/>
    </row>
    <row r="39" spans="1:17" ht="15.6">
      <c r="A39" s="376">
        <f t="shared" si="0"/>
        <v>15</v>
      </c>
      <c r="B39" s="370" t="str">
        <f>+B31</f>
        <v xml:space="preserve">DIVISOR </v>
      </c>
      <c r="C39" s="362" t="str">
        <f>+"(Sum of Line "&amp;A32&amp;" to Line "&amp;A38&amp;")"</f>
        <v>(Sum of Line 8 to Line 14)</v>
      </c>
      <c r="D39" s="362"/>
      <c r="E39" s="362"/>
      <c r="F39" s="362"/>
      <c r="G39" s="362"/>
      <c r="H39" s="362"/>
      <c r="I39" s="366">
        <f>SUM(I32:I38)</f>
        <v>5460500</v>
      </c>
      <c r="J39" s="362"/>
      <c r="L39" s="1490"/>
      <c r="M39" s="1488"/>
      <c r="N39" s="1488"/>
      <c r="O39" s="1488"/>
      <c r="P39" s="1488"/>
      <c r="Q39" s="311"/>
    </row>
    <row r="40" spans="1:17" ht="15.6">
      <c r="A40" s="376"/>
      <c r="B40" s="361"/>
      <c r="C40" s="362"/>
      <c r="D40" s="362"/>
      <c r="E40" s="362"/>
      <c r="F40" s="362"/>
      <c r="G40" s="362"/>
      <c r="H40" s="362"/>
      <c r="I40" s="364"/>
      <c r="J40" s="362"/>
      <c r="L40" s="1490"/>
      <c r="M40" s="1488"/>
      <c r="N40" s="1488"/>
      <c r="O40" s="1488"/>
      <c r="P40" s="1488"/>
      <c r="Q40" s="311"/>
    </row>
    <row r="41" spans="1:17" ht="15.6">
      <c r="A41" s="376">
        <f>+A39+1</f>
        <v>16</v>
      </c>
      <c r="B41" s="361" t="s">
        <v>355</v>
      </c>
      <c r="C41" s="362" t="str">
        <f>+"(Line "&amp;A28&amp;" / Line "&amp;A39&amp;")"</f>
        <v>(Line 7 / Line 15)</v>
      </c>
      <c r="D41" s="364">
        <f>IF(I39&gt;0,I28/I39,0)</f>
        <v>40.593160889318561</v>
      </c>
      <c r="E41" s="364"/>
      <c r="F41" s="364"/>
      <c r="G41" s="364"/>
      <c r="H41" s="364"/>
      <c r="I41" s="341"/>
      <c r="J41" s="362"/>
      <c r="L41" s="1490"/>
      <c r="M41" s="1488"/>
      <c r="N41" s="1488"/>
      <c r="O41" s="1488"/>
      <c r="P41" s="1488"/>
      <c r="Q41" s="311"/>
    </row>
    <row r="42" spans="1:17" ht="15.6">
      <c r="A42" s="376">
        <f>+A41+1</f>
        <v>17</v>
      </c>
      <c r="B42" s="361" t="s">
        <v>356</v>
      </c>
      <c r="C42" s="362" t="str">
        <f>+"(Line "&amp;A41&amp;" / 12)"</f>
        <v>(Line 16 / 12)</v>
      </c>
      <c r="D42" s="364">
        <f>+D41/12</f>
        <v>3.3827634074432136</v>
      </c>
      <c r="E42" s="364"/>
      <c r="F42" s="364"/>
      <c r="G42" s="364"/>
      <c r="H42" s="364"/>
      <c r="I42" s="341"/>
      <c r="J42" s="362"/>
      <c r="L42" s="1490"/>
      <c r="M42" s="1488"/>
      <c r="N42" s="1488"/>
      <c r="O42" s="1488"/>
      <c r="P42" s="1488"/>
      <c r="Q42" s="311"/>
    </row>
    <row r="43" spans="1:17" ht="15.6">
      <c r="A43" s="376"/>
      <c r="B43" s="361"/>
      <c r="C43" s="362"/>
      <c r="D43" s="364"/>
      <c r="E43" s="364"/>
      <c r="F43" s="364"/>
      <c r="G43" s="364"/>
      <c r="H43" s="364"/>
      <c r="I43" s="341"/>
      <c r="J43" s="362"/>
      <c r="L43" s="1490"/>
      <c r="M43" s="1488"/>
      <c r="N43" s="1488"/>
      <c r="O43" s="1488"/>
      <c r="P43" s="1488"/>
      <c r="Q43" s="311"/>
    </row>
    <row r="44" spans="1:17" ht="15.6">
      <c r="A44" s="376"/>
      <c r="B44" s="361"/>
      <c r="C44" s="362"/>
      <c r="D44" s="371" t="s">
        <v>357</v>
      </c>
      <c r="E44" s="364"/>
      <c r="F44" s="364"/>
      <c r="G44" s="364"/>
      <c r="H44" s="364"/>
      <c r="I44" s="371" t="s">
        <v>358</v>
      </c>
      <c r="J44" s="362"/>
      <c r="L44" s="1490"/>
      <c r="M44" s="1488"/>
      <c r="N44" s="1488"/>
      <c r="O44" s="1488"/>
      <c r="P44" s="1488"/>
      <c r="Q44" s="311"/>
    </row>
    <row r="45" spans="1:17" ht="15.6">
      <c r="A45" s="376"/>
      <c r="B45" s="361"/>
      <c r="C45" s="362"/>
      <c r="D45" s="364"/>
      <c r="E45" s="364"/>
      <c r="F45" s="364"/>
      <c r="G45" s="364"/>
      <c r="H45" s="364"/>
      <c r="I45" s="341"/>
      <c r="J45" s="362"/>
      <c r="L45" s="1490"/>
      <c r="M45" s="1488"/>
      <c r="N45" s="1488"/>
      <c r="O45" s="1488"/>
      <c r="P45" s="1488"/>
      <c r="Q45" s="311"/>
    </row>
    <row r="46" spans="1:17" ht="15.6">
      <c r="A46" s="376">
        <f>+A42+1</f>
        <v>18</v>
      </c>
      <c r="B46" s="361" t="s">
        <v>359</v>
      </c>
      <c r="C46" s="372" t="str">
        <f>+"(Line "&amp;A$41&amp;" / 52; Line "&amp;A$41&amp;" / 52)"</f>
        <v>(Line 16 / 52; Line 16 / 52)</v>
      </c>
      <c r="D46" s="364">
        <f>+D41/52</f>
        <v>0.78063770940997235</v>
      </c>
      <c r="E46" s="364"/>
      <c r="F46" s="364"/>
      <c r="G46" s="364"/>
      <c r="H46" s="364"/>
      <c r="I46" s="341">
        <f>+D41/52</f>
        <v>0.78063770940997235</v>
      </c>
      <c r="J46" s="362"/>
      <c r="L46" s="1490"/>
      <c r="M46" s="1488"/>
      <c r="N46" s="1488"/>
      <c r="O46" s="1488"/>
      <c r="P46" s="1488"/>
      <c r="Q46" s="311"/>
    </row>
    <row r="47" spans="1:17" ht="15.6">
      <c r="A47" s="376">
        <f>+A46+1</f>
        <v>19</v>
      </c>
      <c r="B47" s="361" t="s">
        <v>360</v>
      </c>
      <c r="C47" s="372" t="str">
        <f>+"(Line "&amp;A$41&amp;" / 260; Line "&amp;A$41&amp;" / 365)"</f>
        <v>(Line 16 / 260; Line 16 / 365)</v>
      </c>
      <c r="D47" s="364">
        <f>+D41/260</f>
        <v>0.15612754188199446</v>
      </c>
      <c r="F47" s="364" t="s">
        <v>361</v>
      </c>
      <c r="G47" s="364"/>
      <c r="H47" s="364"/>
      <c r="I47" s="341">
        <f>+D41/365</f>
        <v>0.11121413942279058</v>
      </c>
      <c r="J47" s="362"/>
      <c r="L47" s="1490"/>
      <c r="M47" s="1488"/>
      <c r="N47" s="1488"/>
      <c r="O47" s="1488"/>
      <c r="P47" s="1488"/>
      <c r="Q47" s="311"/>
    </row>
    <row r="48" spans="1:17" ht="15.6" customHeight="1">
      <c r="A48" s="376">
        <f>+A47+1</f>
        <v>20</v>
      </c>
      <c r="B48" s="361" t="s">
        <v>362</v>
      </c>
      <c r="C48" s="372" t="str">
        <f>+"(Line "&amp;A$41&amp;" / 4160; Line "&amp;A$41&amp;" / 8760) x 1000"</f>
        <v>(Line 16 / 4160; Line 16 / 8760) x 1000</v>
      </c>
      <c r="D48" s="364">
        <f>+D41 / 4160 * 1000</f>
        <v>9.7579713676246538</v>
      </c>
      <c r="F48" s="364" t="s">
        <v>363</v>
      </c>
      <c r="G48" s="364"/>
      <c r="H48" s="364"/>
      <c r="I48" s="341">
        <f>+D41 / 8760 * 1000</f>
        <v>4.6339224759496069</v>
      </c>
      <c r="J48" s="362"/>
      <c r="L48" s="1490"/>
      <c r="M48" s="1488"/>
      <c r="N48" s="1488"/>
      <c r="O48" s="1488"/>
      <c r="P48" s="1488"/>
      <c r="Q48" s="311"/>
    </row>
    <row r="49" spans="1:17" ht="15.6">
      <c r="A49" s="376"/>
      <c r="B49" s="361"/>
      <c r="C49" s="362"/>
      <c r="D49" s="364"/>
      <c r="F49" s="364" t="s">
        <v>364</v>
      </c>
      <c r="G49" s="364"/>
      <c r="H49" s="364"/>
      <c r="I49" s="341"/>
      <c r="J49" s="362"/>
      <c r="L49" s="1490" t="s">
        <v>70</v>
      </c>
      <c r="M49" s="1488"/>
      <c r="N49" s="1488"/>
      <c r="O49" s="1488"/>
      <c r="P49" s="1488"/>
      <c r="Q49" s="311"/>
    </row>
    <row r="50" spans="1:17" ht="15.6">
      <c r="A50" s="376"/>
      <c r="B50" s="361"/>
      <c r="C50" s="362"/>
      <c r="D50" s="364"/>
      <c r="F50" s="364"/>
      <c r="G50" s="364"/>
      <c r="H50" s="364"/>
      <c r="I50" s="341"/>
      <c r="J50" s="362"/>
      <c r="L50" s="1490" t="s">
        <v>70</v>
      </c>
      <c r="M50" s="1488"/>
      <c r="N50" s="1488"/>
      <c r="O50" s="1488"/>
      <c r="P50" s="1488"/>
      <c r="Q50" s="311"/>
    </row>
    <row r="51" spans="1:17" ht="15.6">
      <c r="A51" s="376">
        <f>+A48+1</f>
        <v>21</v>
      </c>
      <c r="B51" s="373" t="s">
        <v>365</v>
      </c>
      <c r="C51" s="362" t="s">
        <v>366</v>
      </c>
      <c r="D51" s="1458">
        <v>0</v>
      </c>
      <c r="F51" s="374" t="s">
        <v>367</v>
      </c>
      <c r="G51" s="374"/>
      <c r="H51" s="374"/>
      <c r="I51" s="374">
        <f>D51</f>
        <v>0</v>
      </c>
      <c r="J51" s="375" t="s">
        <v>367</v>
      </c>
      <c r="L51" s="1490"/>
      <c r="M51" s="1488"/>
      <c r="N51" s="1488"/>
      <c r="O51" s="1488"/>
      <c r="P51" s="1488"/>
      <c r="Q51" s="311"/>
    </row>
    <row r="52" spans="1:17" ht="15.6">
      <c r="A52" s="376">
        <f>+A51+1</f>
        <v>22</v>
      </c>
      <c r="B52" s="373" t="s">
        <v>365</v>
      </c>
      <c r="C52" s="362"/>
      <c r="D52" s="1458">
        <v>0</v>
      </c>
      <c r="F52" s="374" t="s">
        <v>368</v>
      </c>
      <c r="G52" s="374"/>
      <c r="H52" s="374"/>
      <c r="I52" s="374">
        <f>D52</f>
        <v>0</v>
      </c>
      <c r="J52" s="375" t="s">
        <v>368</v>
      </c>
      <c r="L52" s="1490"/>
      <c r="M52" s="1488"/>
      <c r="N52" s="1488"/>
      <c r="O52" s="1488"/>
      <c r="P52" s="1488"/>
      <c r="Q52" s="311"/>
    </row>
    <row r="53" spans="1:17" ht="15.6">
      <c r="A53" s="376"/>
      <c r="B53" s="352"/>
      <c r="C53" s="361"/>
      <c r="D53" s="362"/>
      <c r="E53" s="377"/>
      <c r="F53" s="377"/>
      <c r="G53" s="377"/>
      <c r="H53" s="377"/>
      <c r="I53" s="377"/>
      <c r="J53" s="377"/>
      <c r="K53" s="377"/>
      <c r="L53" s="1490"/>
      <c r="M53" s="1488"/>
      <c r="N53" s="1488"/>
      <c r="O53" s="1488"/>
      <c r="P53" s="1488"/>
      <c r="Q53" s="311"/>
    </row>
    <row r="54" spans="1:17">
      <c r="A54" s="317"/>
      <c r="B54" s="378"/>
      <c r="C54" s="325"/>
      <c r="D54" s="379"/>
      <c r="E54" s="380"/>
      <c r="F54" s="380"/>
      <c r="G54" s="380"/>
      <c r="H54" s="380"/>
      <c r="I54" s="380"/>
      <c r="J54" s="380"/>
      <c r="K54" s="381" t="str">
        <f>+K1</f>
        <v>Attachment O-EAI</v>
      </c>
      <c r="L54" s="1487"/>
      <c r="M54" s="1488"/>
      <c r="N54" s="1488"/>
      <c r="O54" s="1488"/>
      <c r="P54" s="1488"/>
      <c r="Q54" s="311"/>
    </row>
    <row r="55" spans="1:17">
      <c r="A55" s="315"/>
      <c r="B55" s="378"/>
      <c r="C55" s="325"/>
      <c r="D55" s="323"/>
      <c r="E55" s="323"/>
      <c r="F55" s="323"/>
      <c r="G55" s="323"/>
      <c r="H55" s="323"/>
      <c r="I55" s="382"/>
      <c r="J55" s="323"/>
      <c r="K55" s="383" t="s">
        <v>369</v>
      </c>
      <c r="L55" s="1487"/>
      <c r="M55" s="1488"/>
      <c r="N55" s="1488"/>
      <c r="O55" s="1488"/>
      <c r="P55" s="1488"/>
      <c r="Q55" s="311"/>
    </row>
    <row r="56" spans="1:17">
      <c r="A56" s="315"/>
      <c r="B56" s="323"/>
      <c r="C56" s="410" t="str">
        <f>+C$3</f>
        <v>MISO Cover</v>
      </c>
      <c r="D56" s="323"/>
      <c r="E56" s="323"/>
      <c r="F56" s="323"/>
      <c r="G56" s="323"/>
      <c r="H56" s="323"/>
      <c r="I56" s="323"/>
      <c r="J56" s="323"/>
      <c r="K56" s="323"/>
      <c r="L56" s="1487"/>
      <c r="M56" s="1488"/>
      <c r="N56" s="1488"/>
      <c r="O56" s="1488"/>
      <c r="P56" s="1488"/>
      <c r="Q56" s="311"/>
    </row>
    <row r="57" spans="1:17">
      <c r="A57" s="315"/>
      <c r="B57" s="378" t="s">
        <v>334</v>
      </c>
      <c r="C57" s="410" t="s">
        <v>335</v>
      </c>
      <c r="E57" s="378"/>
      <c r="F57" s="378"/>
      <c r="G57" s="378"/>
      <c r="H57" s="378"/>
      <c r="I57" s="313"/>
      <c r="J57" s="378"/>
      <c r="K57" s="383" t="str">
        <f>K4</f>
        <v>For  the 12 Months Ended 12/31/2016</v>
      </c>
      <c r="L57" s="1487"/>
      <c r="M57" s="1488"/>
      <c r="N57" s="1488"/>
      <c r="O57" s="1488"/>
      <c r="P57" s="1488"/>
      <c r="Q57" s="311"/>
    </row>
    <row r="58" spans="1:17">
      <c r="A58" s="315"/>
      <c r="B58" s="384"/>
      <c r="C58" s="408" t="s">
        <v>336</v>
      </c>
      <c r="E58" s="321"/>
      <c r="F58" s="321"/>
      <c r="G58" s="321"/>
      <c r="H58" s="321"/>
      <c r="I58" s="321"/>
      <c r="J58" s="321"/>
      <c r="K58" s="321"/>
      <c r="L58" s="1487"/>
      <c r="M58" s="1488"/>
      <c r="N58" s="1488"/>
      <c r="O58" s="1488"/>
      <c r="P58" s="1488"/>
      <c r="Q58" s="311"/>
    </row>
    <row r="59" spans="1:17">
      <c r="A59" s="315"/>
      <c r="B59" s="378"/>
      <c r="C59" s="408" t="str">
        <f>+C6</f>
        <v>Entergy Arkansas, Inc.</v>
      </c>
      <c r="E59" s="321"/>
      <c r="F59" s="321"/>
      <c r="G59" s="321" t="s">
        <v>70</v>
      </c>
      <c r="H59" s="321"/>
      <c r="I59" s="321"/>
      <c r="J59" s="321"/>
      <c r="K59" s="321"/>
      <c r="L59" s="1487"/>
      <c r="M59" s="1488"/>
      <c r="N59" s="1488"/>
      <c r="O59" s="1488"/>
      <c r="P59" s="1488"/>
      <c r="Q59" s="311"/>
    </row>
    <row r="60" spans="1:17">
      <c r="A60" s="315"/>
      <c r="B60" s="315"/>
      <c r="C60" s="408" t="str">
        <f>+C7</f>
        <v>Projected Rate</v>
      </c>
      <c r="D60" s="315"/>
      <c r="E60" s="315"/>
      <c r="F60" s="315"/>
      <c r="G60" s="315"/>
      <c r="H60" s="315"/>
      <c r="I60" s="315"/>
      <c r="J60" s="315"/>
      <c r="K60" s="315"/>
      <c r="L60" s="1487"/>
      <c r="M60" s="1488"/>
      <c r="N60" s="1488"/>
      <c r="O60" s="1488"/>
      <c r="P60" s="1488"/>
      <c r="Q60" s="311"/>
    </row>
    <row r="61" spans="1:17">
      <c r="A61" s="315"/>
      <c r="B61" s="329" t="s">
        <v>176</v>
      </c>
      <c r="C61" s="410" t="s">
        <v>338</v>
      </c>
      <c r="D61" s="329" t="s">
        <v>339</v>
      </c>
      <c r="E61" s="321" t="s">
        <v>70</v>
      </c>
      <c r="F61" s="321"/>
      <c r="G61" s="327" t="s">
        <v>340</v>
      </c>
      <c r="H61" s="321"/>
      <c r="I61" s="327" t="s">
        <v>341</v>
      </c>
      <c r="J61" s="321"/>
      <c r="K61" s="329"/>
      <c r="L61" s="1487"/>
      <c r="M61" s="1488"/>
      <c r="N61" s="1488"/>
      <c r="O61" s="1488"/>
      <c r="P61" s="1488"/>
      <c r="Q61" s="311"/>
    </row>
    <row r="62" spans="1:17">
      <c r="A62" s="315"/>
      <c r="B62" s="378"/>
      <c r="C62" s="412"/>
      <c r="D62" s="321"/>
      <c r="E62" s="321"/>
      <c r="F62" s="335"/>
      <c r="G62" s="388"/>
      <c r="H62" s="335"/>
      <c r="I62" s="413" t="s">
        <v>956</v>
      </c>
      <c r="J62" s="321"/>
      <c r="K62" s="329"/>
      <c r="L62" s="1487"/>
      <c r="M62" s="1488"/>
      <c r="N62" s="1488"/>
      <c r="O62" s="1488"/>
      <c r="P62" s="1488"/>
      <c r="Q62" s="311"/>
    </row>
    <row r="63" spans="1:17">
      <c r="A63" s="317" t="s">
        <v>342</v>
      </c>
      <c r="B63" s="378"/>
      <c r="C63" s="414" t="s">
        <v>163</v>
      </c>
      <c r="D63" s="385" t="s">
        <v>370</v>
      </c>
      <c r="E63" s="386"/>
      <c r="F63" s="1836" t="s">
        <v>680</v>
      </c>
      <c r="G63" s="1836"/>
      <c r="H63" s="415"/>
      <c r="I63" s="388" t="s">
        <v>372</v>
      </c>
      <c r="J63" s="321"/>
      <c r="K63" s="329"/>
      <c r="L63" s="1487"/>
      <c r="M63" s="1488"/>
      <c r="N63" s="1488"/>
      <c r="O63" s="1488"/>
      <c r="P63" s="1488"/>
      <c r="Q63" s="311"/>
    </row>
    <row r="64" spans="1:17" ht="13.8" thickBot="1">
      <c r="A64" s="331" t="s">
        <v>344</v>
      </c>
      <c r="B64" s="387" t="s">
        <v>373</v>
      </c>
      <c r="C64" s="335"/>
      <c r="D64" s="321"/>
      <c r="E64" s="321"/>
      <c r="F64" s="335"/>
      <c r="G64" s="335"/>
      <c r="H64" s="335"/>
      <c r="I64" s="335"/>
      <c r="J64" s="321"/>
      <c r="K64" s="321"/>
      <c r="L64" s="1487"/>
      <c r="M64" s="1488"/>
      <c r="N64" s="1488"/>
      <c r="O64" s="1488"/>
      <c r="P64" s="1488"/>
      <c r="Q64" s="311"/>
    </row>
    <row r="65" spans="1:17">
      <c r="A65" s="388"/>
      <c r="B65" s="334" t="s">
        <v>374</v>
      </c>
      <c r="C65" s="335"/>
      <c r="D65" s="335"/>
      <c r="E65" s="335"/>
      <c r="F65" s="335"/>
      <c r="G65" s="335"/>
      <c r="H65" s="335"/>
      <c r="I65" s="335"/>
      <c r="J65" s="335"/>
      <c r="K65" s="335"/>
      <c r="L65" s="1487"/>
      <c r="M65" s="1488"/>
      <c r="N65" s="1488"/>
      <c r="O65" s="1488"/>
      <c r="P65" s="1488"/>
      <c r="Q65" s="311"/>
    </row>
    <row r="66" spans="1:17">
      <c r="A66" s="388">
        <v>1</v>
      </c>
      <c r="B66" s="783" t="s">
        <v>638</v>
      </c>
      <c r="C66" s="335" t="str">
        <f>+"WP04 PIS Line "&amp;IF($L$10=0,'WP04 PIS'!A$21,'WP04 PIS'!A$23)&amp;" Column "&amp;'WP04 PIS'!D$5</f>
        <v>WP04 PIS Line 16 Column C</v>
      </c>
      <c r="D66" s="333">
        <f>IF($L$10=0,'WP04 PIS'!D$21,'WP04 PIS'!D$23)</f>
        <v>4517288280.4200001</v>
      </c>
      <c r="E66" s="335"/>
      <c r="F66" s="335" t="s">
        <v>349</v>
      </c>
      <c r="G66" s="389" t="s">
        <v>70</v>
      </c>
      <c r="H66" s="335"/>
      <c r="I66" s="333"/>
      <c r="J66" s="335"/>
      <c r="K66" s="352"/>
      <c r="L66" s="1491"/>
      <c r="M66" s="1487"/>
      <c r="N66" s="1487"/>
      <c r="O66" s="1487"/>
      <c r="P66" s="1488"/>
      <c r="Q66" s="311"/>
    </row>
    <row r="67" spans="1:17">
      <c r="A67" s="388">
        <f>+A66+1</f>
        <v>2</v>
      </c>
      <c r="B67" s="783" t="s">
        <v>141</v>
      </c>
      <c r="C67" s="335" t="str">
        <f>+"WP04 PIS Line "&amp;IF($L$10=0,'WP04 PIS'!A$21,'WP04 PIS'!A$23)&amp;" Column "&amp;'WP04 PIS'!G$5</f>
        <v>WP04 PIS Line 16 Column F</v>
      </c>
      <c r="D67" s="333">
        <f>IF($L$10=0,'WP04 PIS'!G$21,'WP04 PIS'!G$23)</f>
        <v>2003998510.73</v>
      </c>
      <c r="E67" s="335"/>
      <c r="F67" s="335" t="s">
        <v>375</v>
      </c>
      <c r="G67" s="339">
        <f>+TP</f>
        <v>0.94499172336410309</v>
      </c>
      <c r="H67" s="340"/>
      <c r="I67" s="333">
        <f>+G67*D67</f>
        <v>1893762006.2738388</v>
      </c>
      <c r="J67" s="335"/>
      <c r="K67" s="352"/>
      <c r="L67" s="1488"/>
      <c r="M67" s="1487">
        <f>+D67</f>
        <v>2003998510.73</v>
      </c>
      <c r="N67" s="1487">
        <f>+D67-M67</f>
        <v>0</v>
      </c>
      <c r="O67" s="1487"/>
      <c r="P67" s="1487"/>
      <c r="Q67" s="311"/>
    </row>
    <row r="68" spans="1:17">
      <c r="A68" s="388" t="str">
        <f>+A67&amp;"a"</f>
        <v>2a</v>
      </c>
      <c r="B68" s="783" t="s">
        <v>764</v>
      </c>
      <c r="C68" s="335" t="str">
        <f>+"Appendix A Line "&amp;'Appendix A'!A41&amp;" "&amp;$L$6&amp;" Column"</f>
        <v>Appendix A Line 20 Projected Column</v>
      </c>
      <c r="D68" s="333">
        <f>IF($L$10=0,'Appendix A'!H41,'Appendix A'!G41)</f>
        <v>81005436.569722578</v>
      </c>
      <c r="E68" s="335"/>
      <c r="F68" s="335" t="s">
        <v>375</v>
      </c>
      <c r="G68" s="339">
        <f>+TP</f>
        <v>0.94499172336410309</v>
      </c>
      <c r="H68" s="340"/>
      <c r="I68" s="333">
        <f>+G68*D68</f>
        <v>76549467.105883673</v>
      </c>
      <c r="J68" s="335"/>
      <c r="K68" s="352"/>
      <c r="L68" s="1492"/>
      <c r="M68" s="1487">
        <f>+D68</f>
        <v>81005436.569722578</v>
      </c>
      <c r="N68" s="1487"/>
      <c r="O68" s="1487"/>
      <c r="P68" s="1487"/>
      <c r="Q68" s="311"/>
    </row>
    <row r="69" spans="1:17">
      <c r="A69" s="388">
        <f>+A67+1</f>
        <v>3</v>
      </c>
      <c r="B69" s="783" t="s">
        <v>639</v>
      </c>
      <c r="C69" s="335" t="str">
        <f>+"WP04 PIS Line "&amp;IF($L$10=0,'WP04 PIS'!A$21,'WP04 PIS'!A$23)&amp;" Column "&amp;'WP04 PIS'!J$5</f>
        <v>WP04 PIS Line 16 Column I</v>
      </c>
      <c r="D69" s="333">
        <f>IF($L$10=0,'WP04 PIS'!J$21,'WP04 PIS'!J$23)</f>
        <v>3292329835.54</v>
      </c>
      <c r="E69" s="335"/>
      <c r="F69" s="335" t="s">
        <v>349</v>
      </c>
      <c r="G69" s="339" t="s">
        <v>70</v>
      </c>
      <c r="H69" s="340"/>
      <c r="I69" s="333"/>
      <c r="J69" s="335"/>
      <c r="K69" s="352"/>
      <c r="L69" s="1491"/>
      <c r="M69" s="1487"/>
      <c r="N69" s="1487"/>
      <c r="O69" s="1487"/>
      <c r="P69" s="1487"/>
      <c r="Q69" s="311"/>
    </row>
    <row r="70" spans="1:17">
      <c r="A70" s="388">
        <f>+A69+1</f>
        <v>4</v>
      </c>
      <c r="B70" s="783" t="s">
        <v>631</v>
      </c>
      <c r="C70" s="335" t="str">
        <f>+"WP04 PIS Line "&amp;IF($L$10=0,'WP04 PIS'!A$21,'WP04 PIS'!A$23)&amp;" Column "&amp;'WP04 PIS'!C$5&amp;" &amp; "&amp;'WP04 PIS'!K5</f>
        <v>WP04 PIS Line 16 Column B &amp; J</v>
      </c>
      <c r="D70" s="333">
        <f>IF($L$10=0,('WP04 PIS'!C$21+'WP04 PIS'!K$21),('WP04 PIS'!C$23+'WP04 PIS'!K$23))</f>
        <v>630298761.61000001</v>
      </c>
      <c r="E70" s="335"/>
      <c r="F70" s="335" t="s">
        <v>376</v>
      </c>
      <c r="G70" s="339">
        <f>+WS</f>
        <v>6.3463757619497907E-2</v>
      </c>
      <c r="H70" s="340"/>
      <c r="I70" s="333">
        <f>+G70*D70</f>
        <v>40001127.834686734</v>
      </c>
      <c r="J70" s="335"/>
      <c r="K70" s="352"/>
      <c r="L70" s="1493">
        <f>(D198+D199)/D202</f>
        <v>6.7158003663324653E-2</v>
      </c>
      <c r="M70" s="1487">
        <f>+D70*L70</f>
        <v>42329606.541193374</v>
      </c>
      <c r="N70" s="1487"/>
      <c r="O70" s="1487"/>
      <c r="P70" s="1487"/>
      <c r="Q70" s="311"/>
    </row>
    <row r="71" spans="1:17" ht="13.8" thickBot="1">
      <c r="A71" s="388">
        <f>+A70+1</f>
        <v>5</v>
      </c>
      <c r="B71" s="783" t="s">
        <v>866</v>
      </c>
      <c r="C71" s="335"/>
      <c r="D71" s="391"/>
      <c r="E71" s="335"/>
      <c r="F71" s="335"/>
      <c r="G71" s="339"/>
      <c r="H71" s="340"/>
      <c r="I71" s="391"/>
      <c r="J71" s="335"/>
      <c r="K71" s="352"/>
      <c r="L71" s="1494"/>
      <c r="M71" s="1487"/>
      <c r="N71" s="1487"/>
      <c r="O71" s="1487"/>
      <c r="P71" s="1487"/>
      <c r="Q71" s="311"/>
    </row>
    <row r="72" spans="1:17">
      <c r="A72" s="388">
        <f>+A71+1</f>
        <v>6</v>
      </c>
      <c r="B72" s="318" t="s">
        <v>377</v>
      </c>
      <c r="C72" s="325" t="str">
        <f>+"(Sum of Line "&amp;A66&amp;" to Line "&amp;A71&amp;")"</f>
        <v>(Sum of Line 1 to Line 5)</v>
      </c>
      <c r="D72" s="333">
        <f>SUM(D66:D71)</f>
        <v>10524920824.869722</v>
      </c>
      <c r="E72" s="335"/>
      <c r="F72" s="335"/>
      <c r="G72" s="392"/>
      <c r="H72" s="340"/>
      <c r="I72" s="333">
        <f>SUM(I66:I71)</f>
        <v>2010312601.2144091</v>
      </c>
      <c r="J72" s="335"/>
      <c r="K72" s="352"/>
      <c r="L72" s="1495"/>
      <c r="M72" s="1487">
        <f>+M67+M68+M70</f>
        <v>2127333553.8409162</v>
      </c>
      <c r="N72" s="1487"/>
      <c r="O72" s="1487"/>
      <c r="P72" s="1487"/>
      <c r="Q72" s="311"/>
    </row>
    <row r="73" spans="1:17">
      <c r="A73" s="388"/>
      <c r="B73" s="334"/>
      <c r="C73" s="335"/>
      <c r="D73" s="333"/>
      <c r="E73" s="335"/>
      <c r="F73" s="335"/>
      <c r="G73" s="393"/>
      <c r="H73" s="335"/>
      <c r="I73" s="333"/>
      <c r="J73" s="335"/>
      <c r="K73" s="352"/>
      <c r="L73" s="1492"/>
      <c r="M73" s="1487"/>
      <c r="N73" s="1487"/>
      <c r="O73" s="1487"/>
      <c r="P73" s="1487"/>
      <c r="Q73" s="311"/>
    </row>
    <row r="74" spans="1:17">
      <c r="A74" s="388"/>
      <c r="B74" s="334" t="s">
        <v>378</v>
      </c>
      <c r="C74" s="335"/>
      <c r="D74" s="333"/>
      <c r="E74" s="335"/>
      <c r="F74" s="335"/>
      <c r="G74" s="394"/>
      <c r="H74" s="335"/>
      <c r="I74" s="333"/>
      <c r="J74" s="335"/>
      <c r="K74" s="352"/>
      <c r="L74" s="1491"/>
      <c r="M74" s="1487"/>
      <c r="N74" s="1487"/>
      <c r="O74" s="1487"/>
      <c r="P74" s="1487"/>
      <c r="Q74" s="311"/>
    </row>
    <row r="75" spans="1:17">
      <c r="A75" s="388">
        <f>+A72+1</f>
        <v>7</v>
      </c>
      <c r="B75" s="783" t="s">
        <v>638</v>
      </c>
      <c r="C75" s="335" t="str">
        <f>+"WP04 PIS Line "&amp;IF($L$10=0,'WP04 PIS'!A$40,'WP04 PIS'!A$42)&amp;" Column "&amp;'WP04 PIS'!D$5</f>
        <v>WP04 PIS Line 35 Column C</v>
      </c>
      <c r="D75" s="333">
        <f>IF($L$10=0,'WP04 PIS'!D$40,'WP04 PIS'!D$42)</f>
        <v>2491694405</v>
      </c>
      <c r="E75" s="335"/>
      <c r="F75" s="335" t="s">
        <v>349</v>
      </c>
      <c r="G75" s="394" t="s">
        <v>70</v>
      </c>
      <c r="H75" s="335"/>
      <c r="I75" s="333"/>
      <c r="J75" s="335"/>
      <c r="K75" s="352"/>
      <c r="L75" s="1496"/>
      <c r="M75" s="1487"/>
      <c r="N75" s="1487"/>
      <c r="O75" s="1487"/>
      <c r="P75" s="1487"/>
      <c r="Q75" s="311"/>
    </row>
    <row r="76" spans="1:17">
      <c r="A76" s="388">
        <f>+A75+1</f>
        <v>8</v>
      </c>
      <c r="B76" s="783" t="s">
        <v>141</v>
      </c>
      <c r="C76" s="335" t="str">
        <f>+"WP04 PIS Line "&amp;IF($L$10=0,'WP04 PIS'!A$40,'WP04 PIS'!A$42)&amp;" Column "&amp;'WP04 PIS'!G$5</f>
        <v>WP04 PIS Line 35 Column F</v>
      </c>
      <c r="D76" s="333">
        <f>IF($L$10=0,'WP04 PIS'!G$40,'WP04 PIS'!G$42)</f>
        <v>483750388</v>
      </c>
      <c r="E76" s="335"/>
      <c r="F76" s="335" t="s">
        <v>375</v>
      </c>
      <c r="G76" s="339">
        <f>+TP</f>
        <v>0.94499172336410309</v>
      </c>
      <c r="H76" s="340"/>
      <c r="I76" s="333">
        <f>+G76*D76</f>
        <v>457140112.83417356</v>
      </c>
      <c r="J76" s="335"/>
      <c r="K76" s="352"/>
      <c r="L76" s="1491"/>
      <c r="M76" s="1487">
        <f>+D76</f>
        <v>483750388</v>
      </c>
      <c r="N76" s="1487">
        <f>+D76-M76</f>
        <v>0</v>
      </c>
      <c r="O76" s="1487"/>
      <c r="P76" s="1487"/>
      <c r="Q76" s="311"/>
    </row>
    <row r="77" spans="1:17">
      <c r="A77" s="388" t="str">
        <f>+A76&amp;"a"</f>
        <v>8a</v>
      </c>
      <c r="B77" s="783" t="s">
        <v>764</v>
      </c>
      <c r="C77" s="335"/>
      <c r="D77" s="333"/>
      <c r="E77" s="335"/>
      <c r="F77" s="335"/>
      <c r="G77" s="339"/>
      <c r="H77" s="340"/>
      <c r="I77" s="333"/>
      <c r="J77" s="335"/>
      <c r="K77" s="352"/>
      <c r="L77" s="1491"/>
      <c r="M77" s="1487"/>
      <c r="N77" s="1487"/>
      <c r="O77" s="1487"/>
      <c r="P77" s="1487"/>
      <c r="Q77" s="311"/>
    </row>
    <row r="78" spans="1:17">
      <c r="A78" s="388">
        <f>+A76+1</f>
        <v>9</v>
      </c>
      <c r="B78" s="783" t="s">
        <v>639</v>
      </c>
      <c r="C78" s="335" t="str">
        <f>+"WP04 PIS Line "&amp;IF($L$10=0,'WP04 PIS'!A$40,'WP04 PIS'!A$42)&amp;" Column "&amp;'WP04 PIS'!J$5</f>
        <v>WP04 PIS Line 35 Column I</v>
      </c>
      <c r="D78" s="333">
        <f>IF($L$10=0,'WP04 PIS'!J$40,'WP04 PIS'!J$42)</f>
        <v>1156560772</v>
      </c>
      <c r="E78" s="335"/>
      <c r="F78" s="335" t="s">
        <v>349</v>
      </c>
      <c r="G78" s="339" t="str">
        <f>+G69</f>
        <v xml:space="preserve"> </v>
      </c>
      <c r="H78" s="340"/>
      <c r="I78" s="333" t="s">
        <v>70</v>
      </c>
      <c r="J78" s="335"/>
      <c r="K78" s="352"/>
      <c r="L78" s="1491"/>
      <c r="M78" s="1487"/>
      <c r="N78" s="1487"/>
      <c r="O78" s="1487"/>
      <c r="P78" s="1487"/>
      <c r="Q78" s="311"/>
    </row>
    <row r="79" spans="1:17">
      <c r="A79" s="388">
        <f>+A78+1</f>
        <v>10</v>
      </c>
      <c r="B79" s="783" t="s">
        <v>631</v>
      </c>
      <c r="C79" s="335" t="str">
        <f>+"WP04 PIS Line "&amp;IF($L$10=0,'WP04 PIS'!A$40,'WP04 PIS'!A$42)&amp;" Column "&amp;'WP04 PIS'!C$5&amp;" &amp; "&amp;'WP04 PIS'!K5</f>
        <v>WP04 PIS Line 35 Column B &amp; J</v>
      </c>
      <c r="D79" s="333">
        <f>IF($L$10=0,('WP04 PIS'!C$40+'WP04 PIS'!K$40),('WP04 PIS'!C$42+'WP04 PIS'!K$42))</f>
        <v>413093515</v>
      </c>
      <c r="E79" s="335"/>
      <c r="F79" s="335" t="s">
        <v>376</v>
      </c>
      <c r="G79" s="339">
        <f>+WS</f>
        <v>6.3463757619497907E-2</v>
      </c>
      <c r="H79" s="340"/>
      <c r="I79" s="333">
        <f>+G79*D79</f>
        <v>26216466.710146423</v>
      </c>
      <c r="J79" s="335"/>
      <c r="K79" s="352"/>
      <c r="L79" s="1493">
        <f>+L70</f>
        <v>6.7158003663324653E-2</v>
      </c>
      <c r="M79" s="1487">
        <f>+D79*L79</f>
        <v>27742535.793665659</v>
      </c>
      <c r="N79" s="1487"/>
      <c r="O79" s="1487"/>
      <c r="P79" s="1487"/>
      <c r="Q79" s="311"/>
    </row>
    <row r="80" spans="1:17" ht="13.8" thickBot="1">
      <c r="A80" s="388">
        <f>+A79+1</f>
        <v>11</v>
      </c>
      <c r="B80" s="783" t="s">
        <v>866</v>
      </c>
      <c r="C80" s="335"/>
      <c r="D80" s="391"/>
      <c r="E80" s="335"/>
      <c r="F80" s="341"/>
      <c r="G80" s="339"/>
      <c r="H80" s="340"/>
      <c r="I80" s="391"/>
      <c r="J80" s="335"/>
      <c r="K80" s="352"/>
      <c r="L80" s="1491"/>
      <c r="M80" s="1487"/>
      <c r="N80" s="1487"/>
      <c r="O80" s="1487"/>
      <c r="P80" s="1487"/>
      <c r="Q80" s="311"/>
    </row>
    <row r="81" spans="1:17">
      <c r="A81" s="388">
        <f>+A80+1</f>
        <v>12</v>
      </c>
      <c r="B81" s="334" t="s">
        <v>379</v>
      </c>
      <c r="C81" s="325" t="str">
        <f>+"(Sum of Line "&amp;A75&amp;" to Line "&amp;A80&amp;")"</f>
        <v>(Sum of Line 7 to Line 11)</v>
      </c>
      <c r="D81" s="333">
        <f>SUM(D75:D80)</f>
        <v>4545099080</v>
      </c>
      <c r="E81" s="335"/>
      <c r="F81" s="335"/>
      <c r="G81" s="341"/>
      <c r="H81" s="340"/>
      <c r="I81" s="333">
        <f>SUM(I75:I80)</f>
        <v>483356579.54431999</v>
      </c>
      <c r="J81" s="335"/>
      <c r="K81" s="352"/>
      <c r="L81" s="1491"/>
      <c r="M81" s="1487">
        <f>+M76+M79</f>
        <v>511492923.79366565</v>
      </c>
      <c r="N81" s="1487"/>
      <c r="O81" s="1487"/>
      <c r="P81" s="1487"/>
      <c r="Q81" s="311"/>
    </row>
    <row r="82" spans="1:17">
      <c r="A82" s="388"/>
      <c r="B82" s="346"/>
      <c r="C82" s="335" t="s">
        <v>70</v>
      </c>
      <c r="D82" s="333"/>
      <c r="E82" s="335"/>
      <c r="F82" s="335"/>
      <c r="G82" s="371"/>
      <c r="H82" s="335"/>
      <c r="I82" s="333"/>
      <c r="J82" s="335"/>
      <c r="K82" s="352"/>
      <c r="L82" s="1492"/>
      <c r="M82" s="1487"/>
      <c r="N82" s="1487"/>
      <c r="O82" s="1487"/>
      <c r="P82" s="1487"/>
      <c r="Q82" s="311"/>
    </row>
    <row r="83" spans="1:17">
      <c r="A83" s="388"/>
      <c r="B83" s="334" t="s">
        <v>380</v>
      </c>
      <c r="C83" s="335"/>
      <c r="D83" s="333"/>
      <c r="E83" s="335"/>
      <c r="F83" s="335"/>
      <c r="G83" s="341"/>
      <c r="H83" s="335"/>
      <c r="I83" s="333"/>
      <c r="J83" s="335"/>
      <c r="K83" s="352"/>
      <c r="L83" s="1491"/>
      <c r="M83" s="1487"/>
      <c r="N83" s="1487"/>
      <c r="O83" s="1487"/>
      <c r="P83" s="1487"/>
      <c r="Q83" s="311"/>
    </row>
    <row r="84" spans="1:17">
      <c r="A84" s="388">
        <f>+A81+1</f>
        <v>13</v>
      </c>
      <c r="B84" s="783" t="s">
        <v>638</v>
      </c>
      <c r="C84" s="335" t="str">
        <f>"(Line "&amp;A66&amp;" - Line "&amp;A75&amp;")"</f>
        <v>(Line 1 - Line 7)</v>
      </c>
      <c r="D84" s="333">
        <f>D66-D75</f>
        <v>2025593875.4200001</v>
      </c>
      <c r="E84" s="340"/>
      <c r="F84" s="340"/>
      <c r="G84" s="371"/>
      <c r="H84" s="340"/>
      <c r="I84" s="333" t="s">
        <v>70</v>
      </c>
      <c r="J84" s="335"/>
      <c r="K84" s="352"/>
      <c r="L84" s="1492"/>
      <c r="M84" s="1487"/>
      <c r="N84" s="1487"/>
      <c r="O84" s="1487"/>
      <c r="P84" s="1487"/>
      <c r="Q84" s="311"/>
    </row>
    <row r="85" spans="1:17">
      <c r="A85" s="388">
        <f>+A84+1</f>
        <v>14</v>
      </c>
      <c r="B85" s="783" t="s">
        <v>141</v>
      </c>
      <c r="C85" s="335" t="str">
        <f>"(Line "&amp;A67&amp;" - Line "&amp;A76&amp;")"</f>
        <v>(Line 2 - Line 8)</v>
      </c>
      <c r="D85" s="333">
        <f>D67-D76</f>
        <v>1520248122.73</v>
      </c>
      <c r="E85" s="340"/>
      <c r="F85" s="340"/>
      <c r="G85" s="341"/>
      <c r="H85" s="340"/>
      <c r="I85" s="333">
        <f>I67-I76</f>
        <v>1436621893.4396653</v>
      </c>
      <c r="J85" s="335"/>
      <c r="K85" s="352"/>
      <c r="L85" s="1492"/>
      <c r="M85" s="1487">
        <f>M67-M76</f>
        <v>1520248122.73</v>
      </c>
      <c r="N85" s="1487">
        <f>+D85-M85</f>
        <v>0</v>
      </c>
      <c r="O85" s="1487"/>
      <c r="P85" s="1487"/>
      <c r="Q85" s="311"/>
    </row>
    <row r="86" spans="1:17">
      <c r="A86" s="388" t="str">
        <f>+A85&amp;"a"</f>
        <v>14a</v>
      </c>
      <c r="B86" s="783" t="s">
        <v>764</v>
      </c>
      <c r="C86" s="335" t="str">
        <f>"(Line "&amp;A68&amp;" - Line "&amp;A77&amp;")"</f>
        <v>(Line 2a - Line 8a)</v>
      </c>
      <c r="D86" s="333">
        <f>D68-D77</f>
        <v>81005436.569722578</v>
      </c>
      <c r="E86" s="340"/>
      <c r="F86" s="340"/>
      <c r="G86" s="341"/>
      <c r="H86" s="340"/>
      <c r="I86" s="333">
        <f>I68-I77</f>
        <v>76549467.105883673</v>
      </c>
      <c r="J86" s="335"/>
      <c r="K86" s="352"/>
      <c r="L86" s="1492"/>
      <c r="M86" s="1487">
        <f>M68-M77</f>
        <v>81005436.569722578</v>
      </c>
      <c r="N86" s="1487"/>
      <c r="O86" s="1487"/>
      <c r="P86" s="1487"/>
      <c r="Q86" s="311"/>
    </row>
    <row r="87" spans="1:17">
      <c r="A87" s="388">
        <f>+A85+1</f>
        <v>15</v>
      </c>
      <c r="B87" s="783" t="s">
        <v>639</v>
      </c>
      <c r="C87" s="335" t="str">
        <f>"(Line "&amp;A69&amp;" - Line "&amp;A78&amp;")"</f>
        <v>(Line 3 - Line 9)</v>
      </c>
      <c r="D87" s="333">
        <f>D69-D78</f>
        <v>2135769063.54</v>
      </c>
      <c r="E87" s="340"/>
      <c r="F87" s="340"/>
      <c r="G87" s="371"/>
      <c r="H87" s="340"/>
      <c r="I87" s="333" t="s">
        <v>70</v>
      </c>
      <c r="J87" s="335"/>
      <c r="K87" s="352"/>
      <c r="L87" s="1492"/>
      <c r="M87" s="1487"/>
      <c r="N87" s="1487"/>
      <c r="O87" s="1487"/>
      <c r="P87" s="1487"/>
      <c r="Q87" s="311"/>
    </row>
    <row r="88" spans="1:17">
      <c r="A88" s="388">
        <f>+A87+1</f>
        <v>16</v>
      </c>
      <c r="B88" s="783" t="s">
        <v>631</v>
      </c>
      <c r="C88" s="335" t="str">
        <f>"(Line "&amp;A70&amp;" - Line "&amp;A79&amp;")"</f>
        <v>(Line 4 - Line 10)</v>
      </c>
      <c r="D88" s="333">
        <f>D70-D79</f>
        <v>217205246.61000001</v>
      </c>
      <c r="E88" s="340"/>
      <c r="F88" s="340"/>
      <c r="G88" s="371"/>
      <c r="H88" s="340"/>
      <c r="I88" s="333">
        <f>I70-I79</f>
        <v>13784661.12454031</v>
      </c>
      <c r="J88" s="335"/>
      <c r="K88" s="352"/>
      <c r="L88" s="1492"/>
      <c r="M88" s="1487">
        <f>M70-M79</f>
        <v>14587070.747527715</v>
      </c>
      <c r="N88" s="1487"/>
      <c r="O88" s="1487"/>
      <c r="P88" s="1487"/>
      <c r="Q88" s="311"/>
    </row>
    <row r="89" spans="1:17" ht="13.8" thickBot="1">
      <c r="A89" s="388">
        <f>+A88+1</f>
        <v>17</v>
      </c>
      <c r="B89" s="783" t="s">
        <v>866</v>
      </c>
      <c r="C89" s="335"/>
      <c r="D89" s="391"/>
      <c r="E89" s="340"/>
      <c r="F89" s="340"/>
      <c r="G89" s="371"/>
      <c r="H89" s="340"/>
      <c r="I89" s="391"/>
      <c r="J89" s="335"/>
      <c r="K89" s="352"/>
      <c r="L89" s="1492"/>
      <c r="M89" s="1487"/>
      <c r="N89" s="1487"/>
      <c r="O89" s="1487"/>
      <c r="P89" s="1487"/>
      <c r="Q89" s="311"/>
    </row>
    <row r="90" spans="1:17">
      <c r="A90" s="388">
        <f>+A89+1</f>
        <v>18</v>
      </c>
      <c r="B90" s="334" t="s">
        <v>381</v>
      </c>
      <c r="C90" s="325" t="str">
        <f>+"(Sum of Line "&amp;A84&amp;" to Line "&amp;A89&amp;")"</f>
        <v>(Sum of Line 13 to Line 17)</v>
      </c>
      <c r="D90" s="333">
        <f>SUM(D84:D89)</f>
        <v>5979821744.8697224</v>
      </c>
      <c r="E90" s="340"/>
      <c r="F90" s="340"/>
      <c r="G90" s="392"/>
      <c r="H90" s="340"/>
      <c r="I90" s="333">
        <f>SUM(I84:I89)</f>
        <v>1526956021.6700892</v>
      </c>
      <c r="J90" s="335"/>
      <c r="K90" s="352"/>
      <c r="L90" s="1491"/>
      <c r="M90" s="1487">
        <f>SUM(M84:M89)</f>
        <v>1615840630.0472503</v>
      </c>
      <c r="N90" s="1487"/>
      <c r="O90" s="1487"/>
      <c r="P90" s="1487"/>
      <c r="Q90" s="311"/>
    </row>
    <row r="91" spans="1:17">
      <c r="A91" s="388"/>
      <c r="B91" s="334"/>
      <c r="C91" s="335"/>
      <c r="D91" s="333"/>
      <c r="E91" s="340"/>
      <c r="F91" s="340"/>
      <c r="G91" s="371"/>
      <c r="H91" s="340"/>
      <c r="I91" s="333"/>
      <c r="J91" s="335"/>
      <c r="K91" s="352"/>
      <c r="L91" s="1491"/>
      <c r="M91" s="1487"/>
      <c r="N91" s="1487"/>
      <c r="O91" s="1487"/>
      <c r="P91" s="1487"/>
      <c r="Q91" s="311"/>
    </row>
    <row r="92" spans="1:17" s="399" customFormat="1">
      <c r="A92" s="388" t="s">
        <v>671</v>
      </c>
      <c r="B92" s="1239" t="s">
        <v>866</v>
      </c>
      <c r="C92" s="397"/>
      <c r="D92" s="1240"/>
      <c r="E92" s="1241"/>
      <c r="F92" s="395"/>
      <c r="G92" s="1242"/>
      <c r="H92" s="395"/>
      <c r="I92" s="396"/>
      <c r="J92" s="397"/>
      <c r="K92" s="398"/>
      <c r="L92" s="1497"/>
      <c r="M92" s="1498"/>
      <c r="N92" s="1498"/>
      <c r="O92" s="1498"/>
      <c r="P92" s="1498"/>
    </row>
    <row r="93" spans="1:17">
      <c r="A93" s="388"/>
      <c r="B93" s="346"/>
      <c r="C93" s="335"/>
      <c r="D93" s="1527"/>
      <c r="E93" s="397"/>
      <c r="F93" s="1528"/>
      <c r="G93" s="346"/>
      <c r="H93" s="335"/>
      <c r="I93" s="333"/>
      <c r="J93" s="335"/>
      <c r="K93" s="352"/>
      <c r="L93" s="1492"/>
      <c r="M93" s="1487"/>
      <c r="N93" s="1487"/>
      <c r="O93" s="1487"/>
      <c r="P93" s="1487"/>
      <c r="Q93" s="311"/>
    </row>
    <row r="94" spans="1:17">
      <c r="A94" s="388"/>
      <c r="B94" s="318" t="s">
        <v>382</v>
      </c>
      <c r="C94" s="335"/>
      <c r="D94" s="333"/>
      <c r="E94" s="335"/>
      <c r="F94" s="335"/>
      <c r="G94" s="335"/>
      <c r="H94" s="335"/>
      <c r="I94" s="333"/>
      <c r="J94" s="335"/>
      <c r="K94" s="352"/>
      <c r="L94" s="1491"/>
      <c r="M94" s="1487"/>
      <c r="N94" s="1487"/>
      <c r="O94" s="1487"/>
      <c r="P94" s="1487"/>
      <c r="Q94" s="311"/>
    </row>
    <row r="95" spans="1:17">
      <c r="A95" s="388">
        <f>+A90+1</f>
        <v>19</v>
      </c>
      <c r="B95" s="783" t="s">
        <v>150</v>
      </c>
      <c r="C95" s="335" t="str">
        <f>+"Appendix A Line "&amp;'Appendix A'!A75&amp;" "&amp;$L$6&amp;" Column"</f>
        <v>Appendix A Line 43 Projected Column</v>
      </c>
      <c r="D95" s="333">
        <f>IF($L$10=0,'Appendix A'!$H$75,'Appendix A'!$G$75)</f>
        <v>-322768296.00829458</v>
      </c>
      <c r="E95" s="335"/>
      <c r="F95" s="335" t="s">
        <v>375</v>
      </c>
      <c r="G95" s="1474">
        <f>+TP</f>
        <v>0.94499172336410309</v>
      </c>
      <c r="H95" s="340"/>
      <c r="I95" s="333">
        <f>+G95*D95</f>
        <v>-305013368.29217327</v>
      </c>
      <c r="J95" s="335"/>
      <c r="K95" s="352"/>
      <c r="L95" s="1492"/>
      <c r="M95" s="1487">
        <f>+D95</f>
        <v>-322768296.00829458</v>
      </c>
      <c r="N95" s="1487"/>
      <c r="O95" s="1487"/>
      <c r="P95" s="1487"/>
      <c r="Q95" s="311"/>
    </row>
    <row r="96" spans="1:17">
      <c r="B96" s="352"/>
      <c r="C96" s="352"/>
      <c r="D96" s="352"/>
      <c r="E96" s="352"/>
      <c r="F96" s="352"/>
      <c r="G96" s="352"/>
      <c r="H96" s="352"/>
      <c r="I96" s="352"/>
      <c r="L96" s="1487"/>
      <c r="M96" s="1487"/>
      <c r="N96" s="1487"/>
      <c r="O96" s="1488"/>
      <c r="P96" s="1487"/>
    </row>
    <row r="97" spans="1:17">
      <c r="A97" s="388">
        <f>+A95+1</f>
        <v>20</v>
      </c>
      <c r="B97" s="783" t="s">
        <v>866</v>
      </c>
      <c r="C97" s="335"/>
      <c r="D97" s="396"/>
      <c r="E97" s="335"/>
      <c r="F97" s="335"/>
      <c r="G97" s="400"/>
      <c r="H97" s="340"/>
      <c r="I97" s="333"/>
      <c r="J97" s="335"/>
      <c r="K97" s="352"/>
      <c r="L97" s="1492"/>
      <c r="M97" s="1487"/>
      <c r="N97" s="1487"/>
      <c r="O97" s="1487"/>
      <c r="P97" s="1487"/>
      <c r="Q97" s="311"/>
    </row>
    <row r="98" spans="1:17">
      <c r="A98" s="388">
        <f>+A97+1</f>
        <v>21</v>
      </c>
      <c r="B98" s="783" t="s">
        <v>866</v>
      </c>
      <c r="C98" s="335"/>
      <c r="D98" s="396"/>
      <c r="E98" s="335"/>
      <c r="F98" s="335"/>
      <c r="G98" s="400"/>
      <c r="H98" s="340"/>
      <c r="I98" s="333"/>
      <c r="J98" s="335"/>
      <c r="K98" s="352"/>
      <c r="L98" s="1492"/>
      <c r="M98" s="1487"/>
      <c r="N98" s="1487"/>
      <c r="O98" s="1487"/>
      <c r="P98" s="1487"/>
      <c r="Q98" s="311"/>
    </row>
    <row r="99" spans="1:17">
      <c r="A99" s="388">
        <f>+A98+1</f>
        <v>22</v>
      </c>
      <c r="B99" s="789" t="s">
        <v>323</v>
      </c>
      <c r="C99" s="335" t="str">
        <f>+"Appendix A Line "&amp;+'Appendix A'!A87&amp;" "&amp;$L$6&amp;" Column"</f>
        <v>Appendix A Line 52 Projected Column</v>
      </c>
      <c r="D99" s="333">
        <f>IF($L$10=0,'Appendix A'!H87,'Appendix A'!G87)</f>
        <v>17247033.74375429</v>
      </c>
      <c r="E99" s="335"/>
      <c r="F99" s="335" t="s">
        <v>375</v>
      </c>
      <c r="G99" s="1474">
        <f>+TP</f>
        <v>0.94499172336410309</v>
      </c>
      <c r="H99" s="340"/>
      <c r="I99" s="396">
        <f>+D99*G99</f>
        <v>16298304.140429204</v>
      </c>
      <c r="J99" s="335"/>
      <c r="K99" s="352"/>
      <c r="L99" s="1492"/>
      <c r="M99" s="1487">
        <f>+D99</f>
        <v>17247033.74375429</v>
      </c>
      <c r="N99" s="1487"/>
      <c r="O99" s="1487"/>
      <c r="P99" s="1487"/>
      <c r="Q99" s="311"/>
    </row>
    <row r="100" spans="1:17">
      <c r="A100" s="388">
        <f>+A99+1</f>
        <v>23</v>
      </c>
      <c r="B100" s="783" t="s">
        <v>866</v>
      </c>
      <c r="C100" s="335"/>
      <c r="D100" s="333"/>
      <c r="E100" s="395"/>
      <c r="F100" s="335"/>
      <c r="G100" s="400"/>
      <c r="H100" s="340"/>
      <c r="I100" s="396"/>
      <c r="J100" s="352"/>
      <c r="K100" s="352"/>
      <c r="L100" s="1492"/>
      <c r="M100" s="1487"/>
      <c r="N100" s="1487"/>
      <c r="O100" s="1487"/>
      <c r="P100" s="1487"/>
      <c r="Q100" s="311"/>
    </row>
    <row r="101" spans="1:17" s="399" customFormat="1" ht="13.8" thickBot="1">
      <c r="A101" s="388" t="str">
        <f>+A100&amp;"a"</f>
        <v>23a</v>
      </c>
      <c r="B101" s="1243" t="s">
        <v>866</v>
      </c>
      <c r="C101" s="335"/>
      <c r="D101" s="391"/>
      <c r="E101" s="395"/>
      <c r="F101" s="395"/>
      <c r="G101" s="1242"/>
      <c r="H101" s="395"/>
      <c r="I101" s="391"/>
      <c r="J101" s="398"/>
      <c r="K101" s="398"/>
      <c r="L101" s="1499"/>
      <c r="M101" s="1498"/>
      <c r="N101" s="1498"/>
      <c r="O101" s="1498"/>
      <c r="P101" s="1498"/>
    </row>
    <row r="102" spans="1:17">
      <c r="A102" s="388">
        <f>+A100+1</f>
        <v>24</v>
      </c>
      <c r="B102" s="334" t="s">
        <v>383</v>
      </c>
      <c r="C102" s="325" t="str">
        <f>+"(Sum of Line "&amp;A95&amp;" to Line "&amp;A101&amp;")"</f>
        <v>(Sum of Line 19 to Line 23a)</v>
      </c>
      <c r="D102" s="333">
        <f>SUM(D95:D101)</f>
        <v>-305521262.26454031</v>
      </c>
      <c r="E102" s="335"/>
      <c r="F102" s="335"/>
      <c r="G102" s="340"/>
      <c r="H102" s="340"/>
      <c r="I102" s="333">
        <f>SUM(I95:I101)</f>
        <v>-288715064.15174407</v>
      </c>
      <c r="J102" s="335"/>
      <c r="K102" s="352"/>
      <c r="L102" s="1491"/>
      <c r="M102" s="1487">
        <f>+D102</f>
        <v>-305521262.26454031</v>
      </c>
      <c r="N102" s="1487"/>
      <c r="O102" s="1487"/>
      <c r="P102" s="1487"/>
      <c r="Q102" s="311"/>
    </row>
    <row r="103" spans="1:17">
      <c r="A103" s="388"/>
      <c r="B103" s="346"/>
      <c r="C103" s="335"/>
      <c r="D103" s="333"/>
      <c r="E103" s="335"/>
      <c r="F103" s="335"/>
      <c r="G103" s="401"/>
      <c r="H103" s="335"/>
      <c r="I103" s="333"/>
      <c r="J103" s="335"/>
      <c r="K103" s="352"/>
      <c r="L103" s="1492"/>
      <c r="M103" s="1487"/>
      <c r="N103" s="1487"/>
      <c r="O103" s="1487"/>
      <c r="P103" s="1487"/>
      <c r="Q103" s="311"/>
    </row>
    <row r="104" spans="1:17">
      <c r="A104" s="388">
        <f>+A102+1</f>
        <v>25</v>
      </c>
      <c r="B104" s="318" t="s">
        <v>384</v>
      </c>
      <c r="C104" s="335" t="str">
        <f>+"Appendix A Line "&amp;+'Appendix A'!A106&amp;" "&amp;$L$6&amp;" Column"</f>
        <v>Appendix A Line 66 Projected Column</v>
      </c>
      <c r="D104" s="333">
        <f>IF($L$10=0,'Appendix A'!H106,'Appendix A'!G106)</f>
        <v>532590.64</v>
      </c>
      <c r="E104" s="335"/>
      <c r="F104" s="335" t="s">
        <v>375</v>
      </c>
      <c r="G104" s="339">
        <f>+TP</f>
        <v>0.94499172336410309</v>
      </c>
      <c r="H104" s="340"/>
      <c r="I104" s="333">
        <f>+G104*D104</f>
        <v>503293.74674119061</v>
      </c>
      <c r="J104" s="335"/>
      <c r="K104" s="352"/>
      <c r="L104" s="1491"/>
      <c r="M104" s="1487">
        <f>+D104</f>
        <v>532590.64</v>
      </c>
      <c r="N104" s="1487"/>
      <c r="O104" s="1487"/>
      <c r="P104" s="1487"/>
      <c r="Q104" s="311"/>
    </row>
    <row r="105" spans="1:17">
      <c r="A105" s="388"/>
      <c r="B105" s="334"/>
      <c r="C105" s="335"/>
      <c r="D105" s="333"/>
      <c r="E105" s="335"/>
      <c r="F105" s="335"/>
      <c r="G105" s="339"/>
      <c r="H105" s="340"/>
      <c r="I105" s="333"/>
      <c r="J105" s="335"/>
      <c r="K105" s="352"/>
      <c r="L105" s="1491"/>
      <c r="M105" s="1487"/>
      <c r="N105" s="1487"/>
      <c r="O105" s="1487"/>
      <c r="P105" s="1487"/>
      <c r="Q105" s="311"/>
    </row>
    <row r="106" spans="1:17">
      <c r="A106" s="388"/>
      <c r="B106" s="334" t="s">
        <v>385</v>
      </c>
      <c r="C106" s="335"/>
      <c r="D106" s="333"/>
      <c r="E106" s="335"/>
      <c r="F106" s="335"/>
      <c r="G106" s="339"/>
      <c r="H106" s="340"/>
      <c r="I106" s="333"/>
      <c r="J106" s="335"/>
      <c r="K106" s="352"/>
      <c r="L106" s="1491"/>
      <c r="M106" s="1487"/>
      <c r="N106" s="1487"/>
      <c r="O106" s="1487"/>
      <c r="P106" s="1487"/>
      <c r="Q106" s="311"/>
    </row>
    <row r="107" spans="1:17">
      <c r="A107" s="388">
        <f>+A104+1</f>
        <v>26</v>
      </c>
      <c r="B107" s="783" t="s">
        <v>866</v>
      </c>
      <c r="C107" s="346"/>
      <c r="D107" s="333"/>
      <c r="E107" s="335"/>
      <c r="F107" s="335"/>
      <c r="G107" s="402"/>
      <c r="H107" s="340"/>
      <c r="I107" s="333"/>
      <c r="J107" s="325"/>
      <c r="K107" s="352"/>
      <c r="L107" s="1492"/>
      <c r="M107" s="1487">
        <f>+I107</f>
        <v>0</v>
      </c>
      <c r="N107" s="1487"/>
      <c r="O107" s="1487"/>
      <c r="P107" s="1487"/>
      <c r="Q107" s="311"/>
    </row>
    <row r="108" spans="1:17">
      <c r="A108" s="388">
        <f>+A107+1</f>
        <v>27</v>
      </c>
      <c r="B108" s="783" t="s">
        <v>166</v>
      </c>
      <c r="C108" s="335" t="str">
        <f>+"Appendix A Line "&amp;+'Appendix A'!A94&amp;" "&amp;$L$6&amp;" Column"</f>
        <v>Appendix A Line 57 Projected Column</v>
      </c>
      <c r="D108" s="333">
        <f>IF($L$10=0,'Appendix A'!H94,'Appendix A'!G94)</f>
        <v>21758360.359243393</v>
      </c>
      <c r="E108" s="335"/>
      <c r="F108" s="335" t="s">
        <v>375</v>
      </c>
      <c r="G108" s="339">
        <f>+TP</f>
        <v>0.94499172336410309</v>
      </c>
      <c r="H108" s="340"/>
      <c r="I108" s="333">
        <f>+G108*D108</f>
        <v>20561470.4534586</v>
      </c>
      <c r="J108" s="335" t="s">
        <v>70</v>
      </c>
      <c r="K108" s="352"/>
      <c r="L108" s="1492"/>
      <c r="M108" s="1487">
        <f>+D108</f>
        <v>21758360.359243393</v>
      </c>
      <c r="N108" s="1487"/>
      <c r="O108" s="1487"/>
      <c r="P108" s="1487"/>
      <c r="Q108" s="311"/>
    </row>
    <row r="109" spans="1:17" ht="13.8" thickBot="1">
      <c r="A109" s="388">
        <f>+A108+1</f>
        <v>28</v>
      </c>
      <c r="B109" s="783" t="s">
        <v>637</v>
      </c>
      <c r="C109" s="335" t="str">
        <f>+"Appendix A Line "&amp;+'Appendix A'!A104&amp;" "&amp;$L$6&amp;" Column"</f>
        <v>Appendix A Line 65 Projected Column</v>
      </c>
      <c r="D109" s="391">
        <f>IF($L$10=0,'Appendix A'!H104,'Appendix A'!G104)</f>
        <v>1299106.8481989747</v>
      </c>
      <c r="E109" s="335"/>
      <c r="F109" s="335" t="s">
        <v>375</v>
      </c>
      <c r="G109" s="339">
        <f>+TP</f>
        <v>0.94499172336410309</v>
      </c>
      <c r="H109" s="340"/>
      <c r="I109" s="391">
        <f>+G109*D109</f>
        <v>1227645.2193136574</v>
      </c>
      <c r="J109" s="335"/>
      <c r="K109" s="352"/>
      <c r="L109" s="1492"/>
      <c r="M109" s="1500">
        <f>+D109</f>
        <v>1299106.8481989747</v>
      </c>
      <c r="N109" s="1487"/>
      <c r="O109" s="1487"/>
      <c r="P109" s="1487"/>
      <c r="Q109" s="311"/>
    </row>
    <row r="110" spans="1:17">
      <c r="A110" s="388">
        <f>+A109+1</f>
        <v>29</v>
      </c>
      <c r="B110" s="334" t="s">
        <v>386</v>
      </c>
      <c r="C110" s="325" t="str">
        <f>+"(Sum of Lines "&amp;A107&amp;" to "&amp;A109&amp;")"</f>
        <v>(Sum of Lines 26 to 28)</v>
      </c>
      <c r="D110" s="333">
        <f>SUM(D107:D109)</f>
        <v>23057467.207442369</v>
      </c>
      <c r="E110" s="325"/>
      <c r="F110" s="325"/>
      <c r="G110" s="403"/>
      <c r="H110" s="403"/>
      <c r="I110" s="333">
        <f>I107+I108+I109</f>
        <v>21789115.672772259</v>
      </c>
      <c r="J110" s="325"/>
      <c r="K110" s="352"/>
      <c r="L110" s="1501"/>
      <c r="M110" s="1487">
        <f>+M107+M108+M109</f>
        <v>23057467.207442369</v>
      </c>
      <c r="N110" s="1487"/>
      <c r="O110" s="1487"/>
      <c r="P110" s="1487"/>
      <c r="Q110" s="311"/>
    </row>
    <row r="111" spans="1:17" ht="13.8" thickBot="1">
      <c r="A111" s="388"/>
      <c r="B111" s="346"/>
      <c r="C111" s="335"/>
      <c r="D111" s="391"/>
      <c r="E111" s="335"/>
      <c r="F111" s="335"/>
      <c r="G111" s="335"/>
      <c r="H111" s="335"/>
      <c r="I111" s="391"/>
      <c r="J111" s="335"/>
      <c r="K111" s="352"/>
      <c r="L111" s="1491"/>
      <c r="M111" s="1487"/>
      <c r="N111" s="1487"/>
      <c r="O111" s="1487"/>
      <c r="P111" s="1487"/>
      <c r="Q111" s="311"/>
    </row>
    <row r="112" spans="1:17" ht="13.8" thickBot="1">
      <c r="A112" s="388">
        <f>+A110+1</f>
        <v>30</v>
      </c>
      <c r="B112" s="334" t="s">
        <v>387</v>
      </c>
      <c r="C112" s="335" t="str">
        <f>+"(Line "&amp;A90&amp;" + Line "&amp;A92&amp;" + Line "&amp;A102&amp;" + Line "&amp;A104&amp;" + Line "&amp;A110&amp;")"</f>
        <v>(Line 18 + Line 18a + Line 24 + Line 25 + Line 29)</v>
      </c>
      <c r="D112" s="404">
        <f>+D110+D104+D102+D90+D92</f>
        <v>5697890540.4526243</v>
      </c>
      <c r="E112" s="340"/>
      <c r="F112" s="340"/>
      <c r="G112" s="405"/>
      <c r="H112" s="340"/>
      <c r="I112" s="404">
        <f>+I110+I104+I102+I90+I92</f>
        <v>1260533366.9378586</v>
      </c>
      <c r="J112" s="335"/>
      <c r="K112" s="352"/>
      <c r="L112" s="1492"/>
      <c r="M112" s="1502">
        <f>+M90+M92+M102+M104+M110</f>
        <v>1333909425.6301525</v>
      </c>
      <c r="N112" s="1487">
        <f>IF($L$10=0,'Appendix A'!H120,'Appendix A'!G120)</f>
        <v>1333909425.6301525</v>
      </c>
      <c r="O112" s="1489"/>
      <c r="P112" s="1487"/>
      <c r="Q112" s="311"/>
    </row>
    <row r="113" spans="1:18" ht="13.8" thickTop="1">
      <c r="A113" s="388"/>
      <c r="B113" s="334"/>
      <c r="C113" s="335"/>
      <c r="D113" s="406"/>
      <c r="E113" s="340"/>
      <c r="F113" s="340"/>
      <c r="G113" s="405"/>
      <c r="H113" s="340"/>
      <c r="I113" s="406"/>
      <c r="J113" s="335"/>
      <c r="K113" s="401"/>
      <c r="L113" s="1487"/>
      <c r="M113" s="1487"/>
      <c r="N113" s="1487"/>
      <c r="O113" s="1488"/>
      <c r="P113" s="1488"/>
      <c r="Q113" s="311"/>
    </row>
    <row r="114" spans="1:18">
      <c r="A114" s="388"/>
      <c r="B114" s="334"/>
      <c r="C114" s="335"/>
      <c r="D114" s="406"/>
      <c r="E114" s="340"/>
      <c r="F114" s="340"/>
      <c r="G114" s="405"/>
      <c r="H114" s="340"/>
      <c r="I114" s="406"/>
      <c r="J114" s="335"/>
      <c r="K114" s="381" t="str">
        <f>+K1</f>
        <v>Attachment O-EAI</v>
      </c>
      <c r="L114" s="1487"/>
      <c r="M114" s="1487"/>
      <c r="N114" s="1487"/>
      <c r="O114" s="1488"/>
      <c r="P114" s="1488"/>
      <c r="Q114" s="311"/>
    </row>
    <row r="115" spans="1:18">
      <c r="A115" s="388"/>
      <c r="B115" s="334"/>
      <c r="C115" s="335"/>
      <c r="D115" s="335"/>
      <c r="E115" s="335"/>
      <c r="F115" s="335"/>
      <c r="G115" s="335"/>
      <c r="H115" s="335"/>
      <c r="I115" s="335"/>
      <c r="J115" s="335"/>
      <c r="K115" s="407" t="s">
        <v>388</v>
      </c>
      <c r="L115" s="1487"/>
      <c r="M115" s="1487"/>
      <c r="N115" s="1487"/>
      <c r="O115" s="1488"/>
      <c r="P115" s="1488"/>
      <c r="Q115" s="311"/>
    </row>
    <row r="116" spans="1:18">
      <c r="A116" s="388"/>
      <c r="B116" s="334"/>
      <c r="C116" s="410" t="str">
        <f>+C$3</f>
        <v>MISO Cover</v>
      </c>
      <c r="D116" s="335"/>
      <c r="E116" s="335"/>
      <c r="F116" s="335"/>
      <c r="G116" s="335"/>
      <c r="H116" s="335"/>
      <c r="I116" s="335"/>
      <c r="J116" s="335"/>
      <c r="K116" s="407"/>
      <c r="L116" s="1487"/>
      <c r="M116" s="1487"/>
      <c r="N116" s="1487"/>
      <c r="O116" s="1488"/>
      <c r="P116" s="1488"/>
      <c r="Q116" s="311"/>
    </row>
    <row r="117" spans="1:18">
      <c r="A117" s="388"/>
      <c r="B117" s="334" t="s">
        <v>334</v>
      </c>
      <c r="C117" s="408" t="s">
        <v>335</v>
      </c>
      <c r="D117" s="352"/>
      <c r="E117" s="335"/>
      <c r="F117" s="335"/>
      <c r="G117" s="335"/>
      <c r="H117" s="335"/>
      <c r="I117" s="409"/>
      <c r="J117" s="335"/>
      <c r="K117" s="407" t="str">
        <f>K4</f>
        <v>For  the 12 Months Ended 12/31/2016</v>
      </c>
      <c r="L117" s="1487"/>
      <c r="M117" s="1487"/>
      <c r="N117" s="1487"/>
      <c r="O117" s="1488"/>
      <c r="P117" s="1487"/>
    </row>
    <row r="118" spans="1:18">
      <c r="A118" s="388"/>
      <c r="B118" s="334"/>
      <c r="C118" s="408" t="s">
        <v>336</v>
      </c>
      <c r="D118" s="352"/>
      <c r="E118" s="335"/>
      <c r="F118" s="335"/>
      <c r="G118" s="335"/>
      <c r="H118" s="335"/>
      <c r="I118" s="335"/>
      <c r="J118" s="335"/>
      <c r="K118" s="335"/>
      <c r="L118" s="1487"/>
      <c r="M118" s="1487"/>
      <c r="N118" s="1487"/>
      <c r="O118" s="1488"/>
      <c r="P118" s="1487"/>
    </row>
    <row r="119" spans="1:18">
      <c r="A119" s="388"/>
      <c r="B119" s="346"/>
      <c r="C119" s="408" t="str">
        <f>+C59</f>
        <v>Entergy Arkansas, Inc.</v>
      </c>
      <c r="D119" s="352"/>
      <c r="E119" s="335"/>
      <c r="F119" s="335"/>
      <c r="G119" s="335"/>
      <c r="H119" s="335"/>
      <c r="I119" s="335"/>
      <c r="J119" s="335"/>
      <c r="K119" s="335"/>
      <c r="L119" s="1487"/>
      <c r="M119" s="1487"/>
      <c r="N119" s="1487"/>
      <c r="O119" s="1488"/>
      <c r="P119" s="1487"/>
    </row>
    <row r="120" spans="1:18">
      <c r="A120" s="1048"/>
      <c r="B120" s="1048"/>
      <c r="C120" s="408" t="str">
        <f>+C60</f>
        <v>Projected Rate</v>
      </c>
      <c r="D120" s="1048"/>
      <c r="E120" s="1048"/>
      <c r="F120" s="1048"/>
      <c r="G120" s="1048"/>
      <c r="H120" s="1048"/>
      <c r="I120" s="1048"/>
      <c r="J120" s="1048"/>
      <c r="K120" s="1048"/>
      <c r="L120" s="1487"/>
      <c r="M120" s="1487"/>
      <c r="N120" s="1487"/>
      <c r="O120" s="1488"/>
      <c r="P120" s="1487"/>
    </row>
    <row r="121" spans="1:18">
      <c r="A121" s="388"/>
      <c r="B121" s="410" t="s">
        <v>176</v>
      </c>
      <c r="C121" s="410" t="s">
        <v>338</v>
      </c>
      <c r="D121" s="410" t="s">
        <v>339</v>
      </c>
      <c r="E121" s="335" t="s">
        <v>70</v>
      </c>
      <c r="F121" s="335"/>
      <c r="G121" s="411" t="s">
        <v>340</v>
      </c>
      <c r="H121" s="335"/>
      <c r="I121" s="411" t="s">
        <v>341</v>
      </c>
      <c r="J121" s="335"/>
      <c r="K121" s="335"/>
      <c r="L121" s="1487"/>
      <c r="M121" s="1487"/>
      <c r="N121" s="1487"/>
      <c r="O121" s="1488"/>
      <c r="P121" s="1487"/>
    </row>
    <row r="122" spans="1:18">
      <c r="A122" s="388" t="s">
        <v>342</v>
      </c>
      <c r="B122" s="334"/>
      <c r="C122" s="412"/>
      <c r="D122" s="335"/>
      <c r="E122" s="335"/>
      <c r="F122" s="335"/>
      <c r="G122" s="388"/>
      <c r="H122" s="335"/>
      <c r="I122" s="413"/>
      <c r="J122" s="335"/>
      <c r="K122" s="413"/>
      <c r="L122" s="1487"/>
      <c r="M122" s="1487"/>
      <c r="N122" s="1487"/>
      <c r="O122" s="1488"/>
      <c r="P122" s="1487"/>
    </row>
    <row r="123" spans="1:18" ht="13.8" thickBot="1">
      <c r="A123" s="336" t="s">
        <v>344</v>
      </c>
      <c r="B123" s="334"/>
      <c r="C123" s="414" t="s">
        <v>163</v>
      </c>
      <c r="D123" s="413" t="s">
        <v>982</v>
      </c>
      <c r="E123" s="415"/>
      <c r="F123" s="413" t="s">
        <v>371</v>
      </c>
      <c r="G123" s="346"/>
      <c r="H123" s="415"/>
      <c r="I123" s="388" t="s">
        <v>372</v>
      </c>
      <c r="J123" s="335"/>
      <c r="K123" s="352"/>
      <c r="L123" s="1503"/>
      <c r="M123" s="1487"/>
      <c r="N123" s="1487"/>
      <c r="O123" s="1487"/>
      <c r="P123" s="1487"/>
    </row>
    <row r="124" spans="1:18">
      <c r="A124" s="388"/>
      <c r="B124" s="334" t="s">
        <v>131</v>
      </c>
      <c r="C124" s="335"/>
      <c r="D124" s="335"/>
      <c r="E124" s="335"/>
      <c r="F124" s="335"/>
      <c r="G124" s="335"/>
      <c r="H124" s="335"/>
      <c r="I124" s="335"/>
      <c r="J124" s="335"/>
      <c r="K124" s="352"/>
      <c r="L124" s="1491"/>
      <c r="M124" s="1487"/>
      <c r="N124" s="1487"/>
      <c r="O124" s="1487"/>
      <c r="P124" s="1487"/>
      <c r="Q124" s="390"/>
      <c r="R124" s="416"/>
    </row>
    <row r="125" spans="1:18">
      <c r="A125" s="388">
        <v>1</v>
      </c>
      <c r="B125" s="334" t="s">
        <v>389</v>
      </c>
      <c r="C125" s="335" t="str">
        <f>+"Appendix A Line "&amp;+'Appendix A'!A125&amp;" "&amp;$L$6&amp;" Column"</f>
        <v>Appendix A Line 75 Projected Column</v>
      </c>
      <c r="D125" s="333">
        <f>IF($L$10=0,'Appendix A'!H125,'Appendix A'!G125)</f>
        <v>40347980.519999914</v>
      </c>
      <c r="E125" s="335"/>
      <c r="F125" s="335" t="s">
        <v>375</v>
      </c>
      <c r="G125" s="339">
        <f>+TP</f>
        <v>0.94499172336410309</v>
      </c>
      <c r="H125" s="340"/>
      <c r="I125" s="333">
        <f t="shared" ref="I125:I132" si="1">+G125*D125</f>
        <v>38128507.645855978</v>
      </c>
      <c r="J125" s="417"/>
      <c r="K125" s="352"/>
      <c r="L125" s="1491"/>
      <c r="M125" s="1487">
        <f>+D125</f>
        <v>40347980.519999914</v>
      </c>
      <c r="N125" s="1487"/>
      <c r="O125" s="1487"/>
      <c r="P125" s="1487"/>
      <c r="Q125" s="390"/>
      <c r="R125" s="416"/>
    </row>
    <row r="126" spans="1:18">
      <c r="A126" s="418" t="s">
        <v>672</v>
      </c>
      <c r="B126" s="786" t="s">
        <v>633</v>
      </c>
      <c r="C126" s="448" t="str">
        <f>+"Appendix A Lines "&amp;+'Appendix A'!A126&amp;" - Line "&amp;'Appendix A'!A128&amp;" - Line "&amp;'Appendix A'!A129&amp;" "&amp;$L$6&amp;" Column"</f>
        <v>Appendix A Lines 76 - Line 78 - Line 79 Projected Column</v>
      </c>
      <c r="D126" s="1518">
        <f>IF($L$10=0,'Appendix A'!H126-'Appendix A'!H128-'Appendix A'!H129,'Appendix A'!G126-'Appendix A'!G128-'Appendix A'!G129)</f>
        <v>14612394.789999999</v>
      </c>
      <c r="E126" s="355"/>
      <c r="F126" s="355" t="str">
        <f>+F125</f>
        <v>TP</v>
      </c>
      <c r="G126" s="339">
        <f>+TP</f>
        <v>0.94499172336410309</v>
      </c>
      <c r="H126" s="355"/>
      <c r="I126" s="333">
        <f>+G126*D126</f>
        <v>13808592.135078741</v>
      </c>
      <c r="J126" s="419"/>
      <c r="K126" s="352"/>
      <c r="L126" s="1491"/>
      <c r="M126" s="1487">
        <f>+D126</f>
        <v>14612394.789999999</v>
      </c>
      <c r="N126" s="1487"/>
      <c r="O126" s="1487"/>
      <c r="P126" s="1487"/>
      <c r="Q126" s="390"/>
      <c r="R126" s="416"/>
    </row>
    <row r="127" spans="1:18">
      <c r="A127" s="418">
        <f>+A125+1</f>
        <v>2</v>
      </c>
      <c r="B127" s="783" t="s">
        <v>634</v>
      </c>
      <c r="C127" s="335" t="str">
        <f>+"Appendix A Line "&amp;+'Appendix A'!A127&amp;" "&amp;$L$6&amp;" Column"</f>
        <v>Appendix A Line 77 Projected Column</v>
      </c>
      <c r="D127" s="333">
        <f>IF($L$10=0,'Appendix A'!H127,'Appendix A'!G127)</f>
        <v>6553905.8099999996</v>
      </c>
      <c r="E127" s="335"/>
      <c r="F127" s="335" t="str">
        <f>+F126</f>
        <v>TP</v>
      </c>
      <c r="G127" s="339">
        <f>+TP</f>
        <v>0.94499172336410309</v>
      </c>
      <c r="H127" s="340"/>
      <c r="I127" s="333">
        <f t="shared" si="1"/>
        <v>6193386.7461579079</v>
      </c>
      <c r="J127" s="419"/>
      <c r="K127" s="352"/>
      <c r="L127" s="1491"/>
      <c r="M127" s="1487">
        <f>+D127</f>
        <v>6553905.8099999996</v>
      </c>
      <c r="N127" s="1487">
        <f>+M125-M126-M127</f>
        <v>19181679.919999916</v>
      </c>
      <c r="O127" s="1487">
        <f>+M125-M126-M127-N127</f>
        <v>0</v>
      </c>
      <c r="P127" s="1487"/>
      <c r="Q127" s="390"/>
      <c r="R127" s="416"/>
    </row>
    <row r="128" spans="1:18">
      <c r="A128" s="418">
        <f>+A127+1</f>
        <v>3</v>
      </c>
      <c r="B128" s="334" t="s">
        <v>390</v>
      </c>
      <c r="C128" s="335" t="str">
        <f>+"Appendix A Line "&amp;+'Appendix A'!A133&amp;" "&amp;$L$6&amp;" Column"</f>
        <v>Appendix A Line 81 Projected Column</v>
      </c>
      <c r="D128" s="333">
        <f>IF($L$10=0,+'Appendix A'!H133,'Appendix A'!G133)</f>
        <v>185466963</v>
      </c>
      <c r="E128" s="335"/>
      <c r="F128" s="335" t="s">
        <v>376</v>
      </c>
      <c r="G128" s="339">
        <f>+WS</f>
        <v>6.3463757619497907E-2</v>
      </c>
      <c r="H128" s="340"/>
      <c r="I128" s="333">
        <f t="shared" si="1"/>
        <v>11770430.386256386</v>
      </c>
      <c r="J128" s="417"/>
      <c r="K128" s="420"/>
      <c r="L128" s="1493">
        <f>+L79</f>
        <v>6.7158003663324653E-2</v>
      </c>
      <c r="M128" s="1487">
        <f>+L128*D128</f>
        <v>12455590.980579698</v>
      </c>
      <c r="N128" s="1487"/>
      <c r="O128" s="1487"/>
      <c r="P128" s="1487"/>
      <c r="Q128" s="390"/>
      <c r="R128" s="416"/>
    </row>
    <row r="129" spans="1:60">
      <c r="A129" s="418">
        <f>+A128+1</f>
        <v>4</v>
      </c>
      <c r="B129" s="783" t="s">
        <v>632</v>
      </c>
      <c r="C129" s="335" t="str">
        <f>+"Appendix A Line "&amp;+'Appendix A'!A154&amp;" "&amp;$L$6&amp;" Column"</f>
        <v>Appendix A Line 100 Projected Column</v>
      </c>
      <c r="D129" s="333">
        <f>IF($L$10=0,'Appendix A'!H154,'Appendix A'!G154)</f>
        <v>1918658.0463204528</v>
      </c>
      <c r="E129" s="335"/>
      <c r="F129" s="335" t="str">
        <f>+F127</f>
        <v>TP</v>
      </c>
      <c r="G129" s="339">
        <f>+TP</f>
        <v>0.94499172336410309</v>
      </c>
      <c r="H129" s="340"/>
      <c r="I129" s="333">
        <f>+D129*G129</f>
        <v>1813115.9737387679</v>
      </c>
      <c r="J129" s="417"/>
      <c r="K129" s="333"/>
      <c r="L129" s="1504"/>
      <c r="M129" s="1487">
        <f>+D129</f>
        <v>1918658.0463204528</v>
      </c>
      <c r="N129" s="1487"/>
      <c r="O129" s="1487"/>
      <c r="P129" s="1487"/>
      <c r="Q129" s="390"/>
      <c r="R129" s="416"/>
    </row>
    <row r="130" spans="1:60" s="781" customFormat="1" ht="25.95" customHeight="1">
      <c r="A130" s="922">
        <f>+A129+1</f>
        <v>5</v>
      </c>
      <c r="B130" s="1113" t="s">
        <v>839</v>
      </c>
      <c r="C130" s="1112" t="str">
        <f>+"Appendix A Sum of Lines "&amp;+'Appendix A'!A135&amp;" to Line "&amp;'Appendix A'!A139&amp;" - Line "&amp;'Appendix A'!A140&amp;" "&amp;$L$6&amp;" Column"</f>
        <v>Appendix A Sum of Lines 83 to Line 87 - Line 88 Projected Column</v>
      </c>
      <c r="D130" s="774">
        <f>IF($L$10=0,SUM('Appendix A'!H135:H139)-'Appendix A'!H140,SUM('Appendix A'!G135:G139)-'Appendix A'!G140)</f>
        <v>38063603.24000001</v>
      </c>
      <c r="E130" s="804"/>
      <c r="F130" s="804" t="s">
        <v>376</v>
      </c>
      <c r="G130" s="805">
        <f>+WS</f>
        <v>6.3463757619497907E-2</v>
      </c>
      <c r="H130" s="806"/>
      <c r="I130" s="774">
        <f t="shared" si="1"/>
        <v>2415659.2901480957</v>
      </c>
      <c r="J130" s="1114"/>
      <c r="K130" s="779"/>
      <c r="L130" s="1505">
        <f>+L128</f>
        <v>6.7158003663324653E-2</v>
      </c>
      <c r="M130" s="1506">
        <f>+L130*D130</f>
        <v>2556275.6058312566</v>
      </c>
      <c r="N130" s="1506"/>
      <c r="O130" s="1506"/>
      <c r="P130" s="1506"/>
      <c r="Q130" s="808"/>
      <c r="R130" s="809"/>
    </row>
    <row r="131" spans="1:60" s="781" customFormat="1">
      <c r="A131" s="922" t="s">
        <v>673</v>
      </c>
      <c r="B131" s="810" t="s">
        <v>681</v>
      </c>
      <c r="C131" s="804" t="str">
        <f>+"Appendix A Lines "&amp;+'Appendix A'!A146&amp;" to "&amp;'Appendix A'!A147&amp;" "&amp;$L$6&amp;" Column"</f>
        <v>Appendix A Lines 92 to 93 Projected Column</v>
      </c>
      <c r="D131" s="774">
        <f>IF($L$10=0,SUM('Appendix A'!H146:H147),SUM('Appendix A'!G146:G147))</f>
        <v>10238</v>
      </c>
      <c r="E131" s="804"/>
      <c r="F131" s="804" t="str">
        <f>+F127</f>
        <v>TP</v>
      </c>
      <c r="G131" s="805">
        <f>+TP</f>
        <v>0.94499172336410309</v>
      </c>
      <c r="H131" s="806"/>
      <c r="I131" s="774">
        <f>+D131*G131</f>
        <v>9674.8252638016875</v>
      </c>
      <c r="J131" s="807"/>
      <c r="K131" s="779"/>
      <c r="L131" s="1507"/>
      <c r="M131" s="1506">
        <f>+D131</f>
        <v>10238</v>
      </c>
      <c r="N131" s="1506"/>
      <c r="O131" s="1506"/>
      <c r="P131" s="1506"/>
      <c r="Q131" s="808"/>
      <c r="R131" s="809"/>
    </row>
    <row r="132" spans="1:60" s="424" customFormat="1">
      <c r="A132" s="418" t="s">
        <v>674</v>
      </c>
      <c r="B132" s="783" t="s">
        <v>808</v>
      </c>
      <c r="C132" s="335" t="str">
        <f>+"Appendix A Line "&amp;+'Appendix A'!A134&amp;" "&amp;$L$6&amp;" Column"</f>
        <v>Appendix A Line 82 Projected Column</v>
      </c>
      <c r="D132" s="333">
        <f>IF($L$10=0,'Appendix A'!H134,'Appendix A'!G134)</f>
        <v>0</v>
      </c>
      <c r="E132" s="335"/>
      <c r="F132" s="335" t="str">
        <f>+F130</f>
        <v>W/S</v>
      </c>
      <c r="G132" s="339">
        <f>+WS</f>
        <v>6.3463757619497907E-2</v>
      </c>
      <c r="H132" s="421"/>
      <c r="I132" s="333">
        <f t="shared" si="1"/>
        <v>0</v>
      </c>
      <c r="J132" s="422"/>
      <c r="K132" s="423"/>
      <c r="L132" s="1493">
        <f>+L130</f>
        <v>6.7158003663324653E-2</v>
      </c>
      <c r="M132" s="1487">
        <f>+L132*D132</f>
        <v>0</v>
      </c>
      <c r="N132" s="1487"/>
      <c r="O132" s="1487"/>
      <c r="P132" s="1487"/>
      <c r="Q132" s="390"/>
      <c r="R132" s="416"/>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1"/>
      <c r="AY132" s="311"/>
      <c r="AZ132" s="311"/>
      <c r="BA132" s="311"/>
      <c r="BB132" s="311"/>
      <c r="BC132" s="311"/>
      <c r="BD132" s="311"/>
      <c r="BE132" s="311"/>
      <c r="BF132" s="311"/>
      <c r="BG132" s="311"/>
      <c r="BH132" s="311"/>
    </row>
    <row r="133" spans="1:60">
      <c r="A133" s="418">
        <f>+A130+1</f>
        <v>6</v>
      </c>
      <c r="B133" s="783" t="s">
        <v>866</v>
      </c>
      <c r="C133" s="335"/>
      <c r="D133" s="335"/>
      <c r="E133" s="335"/>
      <c r="F133" s="335"/>
      <c r="G133" s="341"/>
      <c r="H133" s="340"/>
      <c r="I133" s="333"/>
      <c r="J133" s="321"/>
      <c r="L133" s="1491"/>
      <c r="M133" s="1487">
        <f>+D133</f>
        <v>0</v>
      </c>
      <c r="N133" s="1487"/>
      <c r="O133" s="1487"/>
      <c r="P133" s="1488"/>
      <c r="Q133" s="311"/>
    </row>
    <row r="134" spans="1:60">
      <c r="A134" s="418" t="s">
        <v>766</v>
      </c>
      <c r="B134" s="1244" t="s">
        <v>793</v>
      </c>
      <c r="C134" s="335" t="str">
        <f>+"Appendix A Line "&amp;'Appendix A'!A189&amp;" "&amp;$L$6&amp;" Column"</f>
        <v>Appendix A Line 125 Projected Column</v>
      </c>
      <c r="D134" s="333">
        <f>IF($L$10=0,'Appendix A'!H189,'Appendix A'!G189)</f>
        <v>0</v>
      </c>
      <c r="E134" s="333"/>
      <c r="F134" s="333" t="s">
        <v>375</v>
      </c>
      <c r="G134" s="339">
        <f>+TP</f>
        <v>0.94499172336410309</v>
      </c>
      <c r="H134" s="333"/>
      <c r="I134" s="333">
        <f>+D134*G134</f>
        <v>0</v>
      </c>
      <c r="J134" s="321"/>
      <c r="L134" s="1491"/>
      <c r="M134" s="1487">
        <f>+D134</f>
        <v>0</v>
      </c>
      <c r="N134" s="1487"/>
      <c r="O134" s="1487"/>
      <c r="P134" s="1488"/>
      <c r="Q134" s="311"/>
    </row>
    <row r="135" spans="1:60">
      <c r="A135" s="418" t="s">
        <v>767</v>
      </c>
      <c r="B135" s="1244" t="s">
        <v>794</v>
      </c>
      <c r="C135" s="335" t="str">
        <f>+"Appendix A Line "&amp;'Appendix A'!A192&amp;" "&amp;$L$6&amp;" Column"</f>
        <v>Appendix A Line 128 Projected Column</v>
      </c>
      <c r="D135" s="396">
        <f>IF($L$10=0,'Appendix A'!H192,'Appendix A'!G192)</f>
        <v>0</v>
      </c>
      <c r="E135" s="396"/>
      <c r="F135" s="396" t="s">
        <v>375</v>
      </c>
      <c r="G135" s="1012">
        <f>+TP</f>
        <v>0.94499172336410309</v>
      </c>
      <c r="H135" s="396"/>
      <c r="I135" s="396">
        <f>+D135*G135</f>
        <v>0</v>
      </c>
      <c r="J135" s="321"/>
      <c r="L135" s="1491"/>
      <c r="M135" s="1487"/>
      <c r="N135" s="1487"/>
      <c r="O135" s="1487"/>
      <c r="P135" s="1488"/>
      <c r="Q135" s="311"/>
    </row>
    <row r="136" spans="1:60" ht="13.8" thickBot="1">
      <c r="A136" s="418">
        <f>+A133+1</f>
        <v>7</v>
      </c>
      <c r="B136" s="783" t="s">
        <v>866</v>
      </c>
      <c r="C136" s="335"/>
      <c r="D136" s="391"/>
      <c r="E136" s="1245"/>
      <c r="F136" s="1245"/>
      <c r="G136" s="1012"/>
      <c r="H136" s="406"/>
      <c r="I136" s="391"/>
      <c r="J136" s="321"/>
      <c r="L136" s="1491"/>
      <c r="M136" s="1487">
        <f>+D136</f>
        <v>0</v>
      </c>
      <c r="N136" s="1487"/>
      <c r="O136" s="1487"/>
      <c r="P136" s="1488"/>
      <c r="Q136" s="311"/>
    </row>
    <row r="137" spans="1:60">
      <c r="A137" s="418">
        <f>+A136+1</f>
        <v>8</v>
      </c>
      <c r="B137" s="1049" t="s">
        <v>391</v>
      </c>
      <c r="C137" s="1834"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33">
        <f>+D125 - D126 - D127 + D128 + D129 - D130 + D131 - D132 + D133 + D134 + D135 + D136</f>
        <v>168513935.72632036</v>
      </c>
      <c r="E137" s="333"/>
      <c r="F137" s="333"/>
      <c r="G137" s="333"/>
      <c r="H137" s="333"/>
      <c r="I137" s="333">
        <f>+I125 - I126 - I127 + I128 + I129 - I130 + I131 - I132 + I133 + I134 + I135 + I136</f>
        <v>29304090.659730189</v>
      </c>
      <c r="J137" s="321"/>
      <c r="K137" s="312"/>
      <c r="L137" s="1494">
        <f>+I137/M137</f>
        <v>0.94499172336410286</v>
      </c>
      <c r="M137" s="1487">
        <f>+M125-M126-M127+M128+M129-M130+M131-M132+M133+M134+M136</f>
        <v>31009891.341068812</v>
      </c>
      <c r="N137" s="1487">
        <f>IF($L$10=0,'Appendix A'!H156,'Appendix A'!G156)</f>
        <v>31009891.341068812</v>
      </c>
      <c r="O137" s="1487">
        <f>+M137-N137</f>
        <v>0</v>
      </c>
      <c r="P137" s="1508" t="s">
        <v>797</v>
      </c>
      <c r="Q137" s="311"/>
    </row>
    <row r="138" spans="1:60">
      <c r="A138" s="418"/>
      <c r="B138" s="346"/>
      <c r="C138" s="1834"/>
      <c r="D138" s="333"/>
      <c r="E138" s="333"/>
      <c r="F138" s="333"/>
      <c r="G138" s="333"/>
      <c r="H138" s="333"/>
      <c r="I138" s="333"/>
      <c r="J138" s="321"/>
      <c r="L138" s="1491"/>
      <c r="M138" s="1488"/>
      <c r="N138" s="1487"/>
      <c r="O138" s="1487"/>
      <c r="P138" s="1488"/>
      <c r="Q138" s="311"/>
    </row>
    <row r="139" spans="1:60">
      <c r="A139" s="418"/>
      <c r="B139" s="334" t="s">
        <v>392</v>
      </c>
      <c r="C139" s="335"/>
      <c r="D139" s="333"/>
      <c r="E139" s="333"/>
      <c r="F139" s="333"/>
      <c r="G139" s="333"/>
      <c r="H139" s="333"/>
      <c r="I139" s="333"/>
      <c r="J139" s="335"/>
      <c r="K139" s="352"/>
      <c r="L139" s="1491"/>
      <c r="M139" s="1487"/>
      <c r="N139" s="1487"/>
      <c r="O139" s="1487"/>
      <c r="P139" s="1488"/>
      <c r="Q139" s="311"/>
    </row>
    <row r="140" spans="1:60">
      <c r="A140" s="418">
        <f>+A137+1</f>
        <v>9</v>
      </c>
      <c r="B140" s="783" t="s">
        <v>630</v>
      </c>
      <c r="C140" s="335" t="str">
        <f>+"Appendix A Line "&amp;'Appendix A'!A161&amp;" "&amp;$L$6&amp;" Column"</f>
        <v>Appendix A Line 103 Projected Column</v>
      </c>
      <c r="D140" s="333">
        <f>IF($L$10=0,'Appendix A'!H161,'Appendix A'!G161)</f>
        <v>38380240.350087039</v>
      </c>
      <c r="E140" s="333"/>
      <c r="F140" s="333" t="s">
        <v>375</v>
      </c>
      <c r="G140" s="339">
        <f>+TP</f>
        <v>0.94499172336410309</v>
      </c>
      <c r="H140" s="333"/>
      <c r="I140" s="333">
        <f>+G140*D140</f>
        <v>36269009.471557237</v>
      </c>
      <c r="J140" s="335"/>
      <c r="K140" s="352"/>
      <c r="L140" s="1492"/>
      <c r="M140" s="1487">
        <f>+D140</f>
        <v>38380240.350087039</v>
      </c>
      <c r="N140" s="1487"/>
      <c r="O140" s="1487"/>
      <c r="P140" s="1488"/>
      <c r="Q140" s="311"/>
    </row>
    <row r="141" spans="1:60">
      <c r="A141" s="418">
        <f t="shared" ref="A141:A153" si="2">+A140+1</f>
        <v>10</v>
      </c>
      <c r="B141" s="785" t="s">
        <v>631</v>
      </c>
      <c r="C141" s="335" t="str">
        <f>+"Appendix A Line "&amp;+'Appendix A'!A168&amp;" "&amp;$L$6&amp;" Column"</f>
        <v>Appendix A Line 110 Projected Column</v>
      </c>
      <c r="D141" s="333">
        <f>IF($L$10=0,'Appendix A'!H168,'Appendix A'!G168)</f>
        <v>1855073.3694184422</v>
      </c>
      <c r="E141" s="333"/>
      <c r="F141" s="333" t="str">
        <f>+F140</f>
        <v>TP</v>
      </c>
      <c r="G141" s="339">
        <f>+TP</f>
        <v>0.94499172336410309</v>
      </c>
      <c r="H141" s="333"/>
      <c r="I141" s="333">
        <f>+G141*D141</f>
        <v>1753028.9803335872</v>
      </c>
      <c r="J141" s="335"/>
      <c r="K141" s="352"/>
      <c r="L141" s="1492"/>
      <c r="M141" s="1487">
        <f>+D141</f>
        <v>1855073.3694184422</v>
      </c>
      <c r="N141" s="1487"/>
      <c r="O141" s="1487"/>
      <c r="P141" s="1488"/>
      <c r="Q141" s="311"/>
    </row>
    <row r="142" spans="1:60" ht="13.8" thickBot="1">
      <c r="A142" s="418">
        <f t="shared" si="2"/>
        <v>11</v>
      </c>
      <c r="B142" s="783" t="s">
        <v>866</v>
      </c>
      <c r="C142" s="335"/>
      <c r="D142" s="391"/>
      <c r="E142" s="396"/>
      <c r="F142" s="333"/>
      <c r="G142" s="339"/>
      <c r="H142" s="396"/>
      <c r="I142" s="391"/>
      <c r="J142" s="335"/>
      <c r="K142" s="352"/>
      <c r="L142" s="1492"/>
      <c r="M142" s="1487">
        <f>+D142</f>
        <v>0</v>
      </c>
      <c r="N142" s="1487"/>
      <c r="O142" s="1487"/>
      <c r="P142" s="1488"/>
      <c r="Q142" s="311"/>
    </row>
    <row r="143" spans="1:60">
      <c r="A143" s="418">
        <f>+A142+1</f>
        <v>12</v>
      </c>
      <c r="B143" s="334" t="s">
        <v>393</v>
      </c>
      <c r="C143" s="335" t="str">
        <f>+"(Sum of Lines "&amp;A140&amp;" to Line "&amp;A142&amp;")"</f>
        <v>(Sum of Lines 9 to Line 11)</v>
      </c>
      <c r="D143" s="333">
        <f>SUM(D140:D142)</f>
        <v>40235313.719505481</v>
      </c>
      <c r="E143" s="333"/>
      <c r="F143" s="333"/>
      <c r="G143" s="339"/>
      <c r="H143" s="333"/>
      <c r="I143" s="333">
        <f>SUM(I140:I142)</f>
        <v>38022038.451890826</v>
      </c>
      <c r="J143" s="335"/>
      <c r="K143" s="352"/>
      <c r="L143" s="1494">
        <f>+I143/M143</f>
        <v>0.94499172336410309</v>
      </c>
      <c r="M143" s="1487">
        <f>SUM(M140:M142)</f>
        <v>40235313.719505481</v>
      </c>
      <c r="N143" s="1487">
        <f>IF($L$10=0,'Appendix A'!H170,'Appendix A'!G170)</f>
        <v>40235313.719505481</v>
      </c>
      <c r="O143" s="1487">
        <f>+M143-N143</f>
        <v>0</v>
      </c>
      <c r="P143" s="1488"/>
      <c r="Q143" s="311"/>
    </row>
    <row r="144" spans="1:60">
      <c r="A144" s="418"/>
      <c r="B144" s="334"/>
      <c r="C144" s="335"/>
      <c r="D144" s="333"/>
      <c r="E144" s="333"/>
      <c r="F144" s="333"/>
      <c r="G144" s="339"/>
      <c r="H144" s="333"/>
      <c r="I144" s="333"/>
      <c r="J144" s="335"/>
      <c r="K144" s="352"/>
      <c r="L144" s="1491"/>
      <c r="M144" s="1487"/>
      <c r="N144" s="1487"/>
      <c r="O144" s="1487"/>
      <c r="P144" s="1488"/>
      <c r="Q144" s="311"/>
    </row>
    <row r="145" spans="1:17">
      <c r="A145" s="418"/>
      <c r="B145" s="334" t="s">
        <v>394</v>
      </c>
      <c r="C145" s="346"/>
      <c r="D145" s="333"/>
      <c r="E145" s="333"/>
      <c r="F145" s="333"/>
      <c r="G145" s="339"/>
      <c r="H145" s="333"/>
      <c r="I145" s="333"/>
      <c r="J145" s="335"/>
      <c r="K145" s="352"/>
      <c r="L145" s="1491"/>
      <c r="M145" s="1487"/>
      <c r="N145" s="1487"/>
      <c r="O145" s="1487"/>
      <c r="P145" s="1488"/>
      <c r="Q145" s="311"/>
    </row>
    <row r="146" spans="1:17">
      <c r="A146" s="418">
        <f>+A143+1</f>
        <v>13</v>
      </c>
      <c r="B146" s="783" t="s">
        <v>395</v>
      </c>
      <c r="C146" s="335" t="str">
        <f>+"Appendix A Line "&amp;+'Appendix A'!A185&amp;" "&amp;$L$6&amp;" Column"</f>
        <v>Appendix A Line 124 Projected Column</v>
      </c>
      <c r="D146" s="333">
        <f>IF($L$10=0,'Appendix A'!H185,'Appendix A'!G185)</f>
        <v>8212329.1440204568</v>
      </c>
      <c r="E146" s="333"/>
      <c r="F146" s="333" t="s">
        <v>375</v>
      </c>
      <c r="G146" s="392">
        <f>+TP</f>
        <v>0.94499172336410309</v>
      </c>
      <c r="H146" s="333"/>
      <c r="I146" s="333">
        <f>+G146*D146</f>
        <v>7760583.0706411414</v>
      </c>
      <c r="J146" s="335"/>
      <c r="K146" s="352"/>
      <c r="L146" s="1492"/>
      <c r="M146" s="1487">
        <f t="shared" ref="M146:M152" si="3">+D146</f>
        <v>8212329.1440204568</v>
      </c>
      <c r="N146" s="1487"/>
      <c r="O146" s="1487"/>
      <c r="P146" s="1488"/>
      <c r="Q146" s="311"/>
    </row>
    <row r="147" spans="1:17">
      <c r="A147" s="418">
        <f t="shared" si="2"/>
        <v>14</v>
      </c>
      <c r="B147" s="783" t="s">
        <v>866</v>
      </c>
      <c r="C147" s="335"/>
      <c r="D147" s="333"/>
      <c r="E147" s="333"/>
      <c r="F147" s="340"/>
      <c r="G147" s="402"/>
      <c r="H147" s="333"/>
      <c r="I147" s="1246"/>
      <c r="J147" s="335"/>
      <c r="K147" s="352"/>
      <c r="L147" s="1492"/>
      <c r="M147" s="1487">
        <f t="shared" si="3"/>
        <v>0</v>
      </c>
      <c r="N147" s="1487"/>
      <c r="O147" s="1487"/>
      <c r="P147" s="1488"/>
      <c r="Q147" s="311"/>
    </row>
    <row r="148" spans="1:17">
      <c r="A148" s="418">
        <f t="shared" si="2"/>
        <v>15</v>
      </c>
      <c r="B148" s="445" t="s">
        <v>675</v>
      </c>
      <c r="C148" s="335"/>
      <c r="D148" s="333"/>
      <c r="E148" s="333"/>
      <c r="F148" s="333"/>
      <c r="G148" s="339"/>
      <c r="H148" s="333"/>
      <c r="I148" s="333"/>
      <c r="J148" s="335"/>
      <c r="K148" s="352"/>
      <c r="L148" s="1492"/>
      <c r="M148" s="1487">
        <f t="shared" si="3"/>
        <v>0</v>
      </c>
      <c r="N148" s="1487"/>
      <c r="O148" s="1487"/>
      <c r="P148" s="1488"/>
      <c r="Q148" s="311"/>
    </row>
    <row r="149" spans="1:17">
      <c r="A149" s="418">
        <f t="shared" si="2"/>
        <v>16</v>
      </c>
      <c r="B149" s="783" t="s">
        <v>866</v>
      </c>
      <c r="C149" s="335"/>
      <c r="D149" s="333"/>
      <c r="E149" s="333"/>
      <c r="F149" s="340"/>
      <c r="G149" s="402"/>
      <c r="H149" s="333"/>
      <c r="I149" s="333"/>
      <c r="J149" s="335"/>
      <c r="K149" s="352"/>
      <c r="L149" s="1492"/>
      <c r="M149" s="1487">
        <f t="shared" si="3"/>
        <v>0</v>
      </c>
      <c r="N149" s="1487"/>
      <c r="O149" s="1487"/>
      <c r="P149" s="1488"/>
      <c r="Q149" s="311"/>
    </row>
    <row r="150" spans="1:17">
      <c r="A150" s="418">
        <f t="shared" si="2"/>
        <v>17</v>
      </c>
      <c r="B150" s="783" t="s">
        <v>866</v>
      </c>
      <c r="C150" s="335"/>
      <c r="D150" s="333"/>
      <c r="E150" s="333"/>
      <c r="F150" s="340"/>
      <c r="G150" s="402"/>
      <c r="H150" s="333"/>
      <c r="I150" s="333"/>
      <c r="J150" s="335"/>
      <c r="K150" s="352"/>
      <c r="L150" s="1492"/>
      <c r="M150" s="1487">
        <f>+D150</f>
        <v>0</v>
      </c>
      <c r="N150" s="1487"/>
      <c r="O150" s="1487"/>
      <c r="P150" s="1488"/>
      <c r="Q150" s="311"/>
    </row>
    <row r="151" spans="1:17">
      <c r="A151" s="418">
        <f t="shared" si="2"/>
        <v>18</v>
      </c>
      <c r="B151" s="783" t="s">
        <v>866</v>
      </c>
      <c r="C151" s="335"/>
      <c r="D151" s="333"/>
      <c r="E151" s="333"/>
      <c r="F151" s="340"/>
      <c r="G151" s="402"/>
      <c r="H151" s="333"/>
      <c r="I151" s="333"/>
      <c r="J151" s="335"/>
      <c r="K151" s="352"/>
      <c r="L151" s="1492"/>
      <c r="M151" s="1487">
        <f>+D151</f>
        <v>0</v>
      </c>
      <c r="N151" s="1487"/>
      <c r="O151" s="1487"/>
      <c r="P151" s="1488"/>
      <c r="Q151" s="311"/>
    </row>
    <row r="152" spans="1:17" ht="13.8" thickBot="1">
      <c r="A152" s="418">
        <f t="shared" si="2"/>
        <v>19</v>
      </c>
      <c r="B152" s="783" t="s">
        <v>866</v>
      </c>
      <c r="C152" s="335"/>
      <c r="D152" s="391"/>
      <c r="E152" s="333"/>
      <c r="F152" s="340"/>
      <c r="G152" s="402"/>
      <c r="H152" s="333"/>
      <c r="I152" s="391"/>
      <c r="J152" s="335"/>
      <c r="K152" s="352"/>
      <c r="L152" s="1492"/>
      <c r="M152" s="1487">
        <f t="shared" si="3"/>
        <v>0</v>
      </c>
      <c r="N152" s="1487"/>
      <c r="O152" s="1487"/>
      <c r="P152" s="1488"/>
      <c r="Q152" s="311"/>
    </row>
    <row r="153" spans="1:17">
      <c r="A153" s="418">
        <f t="shared" si="2"/>
        <v>20</v>
      </c>
      <c r="B153" s="334" t="s">
        <v>396</v>
      </c>
      <c r="C153" s="335" t="str">
        <f>+"(Sum of Line "&amp;A146&amp;" to Line "&amp;A152&amp;")"</f>
        <v>(Sum of Line 13 to Line 19)</v>
      </c>
      <c r="D153" s="333">
        <f>SUM(D146:D152)</f>
        <v>8212329.1440204568</v>
      </c>
      <c r="E153" s="333"/>
      <c r="F153" s="333"/>
      <c r="G153" s="333"/>
      <c r="H153" s="333"/>
      <c r="I153" s="333">
        <f>SUM(I146:I152)</f>
        <v>7760583.0706411414</v>
      </c>
      <c r="J153" s="335"/>
      <c r="K153" s="352"/>
      <c r="L153" s="1494">
        <f>+I153/M153</f>
        <v>0.94499172336410309</v>
      </c>
      <c r="M153" s="1487">
        <f>SUM(M146:M152)</f>
        <v>8212329.1440204568</v>
      </c>
      <c r="N153" s="1487">
        <f>IF($L$10=0,'Appendix A'!H185,'Appendix A'!G185)</f>
        <v>8212329.1440204568</v>
      </c>
      <c r="O153" s="1487">
        <f>+M153-N153</f>
        <v>0</v>
      </c>
      <c r="P153" s="1488"/>
      <c r="Q153" s="311"/>
    </row>
    <row r="154" spans="1:17">
      <c r="A154" s="418"/>
      <c r="B154" s="334"/>
      <c r="C154" s="335"/>
      <c r="D154" s="333"/>
      <c r="E154" s="333"/>
      <c r="F154" s="333"/>
      <c r="G154" s="333"/>
      <c r="H154" s="333"/>
      <c r="I154" s="333"/>
      <c r="J154" s="335"/>
      <c r="K154" s="352"/>
      <c r="L154" s="1494"/>
      <c r="M154" s="1487"/>
      <c r="N154" s="1487"/>
      <c r="O154" s="1487"/>
      <c r="P154" s="1488"/>
      <c r="Q154" s="311"/>
    </row>
    <row r="155" spans="1:17">
      <c r="A155" s="352"/>
      <c r="B155" s="334" t="s">
        <v>397</v>
      </c>
      <c r="C155" s="335" t="str">
        <f>""</f>
        <v/>
      </c>
      <c r="D155" s="335"/>
      <c r="E155" s="335"/>
      <c r="F155" s="346"/>
      <c r="G155" s="425"/>
      <c r="H155" s="335"/>
      <c r="I155" s="346"/>
      <c r="J155" s="335"/>
      <c r="K155" s="352"/>
      <c r="L155" s="1509"/>
      <c r="M155" s="1487"/>
      <c r="N155" s="1487"/>
      <c r="O155" s="1487"/>
      <c r="P155" s="1488"/>
      <c r="Q155" s="311"/>
    </row>
    <row r="156" spans="1:17">
      <c r="A156" s="418">
        <f>+A153+1</f>
        <v>21</v>
      </c>
      <c r="B156" s="783" t="s">
        <v>124</v>
      </c>
      <c r="C156" s="335" t="str">
        <f>+"Appendix A Line "&amp;+'Appendix A'!A239&amp;" "&amp;$L$6&amp;" Column"</f>
        <v>Appendix A Line 157 Projected Column</v>
      </c>
      <c r="D156" s="396">
        <f>IF($L$10=0,'Appendix A'!H239,'Appendix A'!G239)</f>
        <v>46514156.299029239</v>
      </c>
      <c r="E156" s="406"/>
      <c r="F156" s="396" t="s">
        <v>375</v>
      </c>
      <c r="G156" s="1012">
        <f>+TP</f>
        <v>0.94499172336410309</v>
      </c>
      <c r="H156" s="406"/>
      <c r="I156" s="1013">
        <f>+D156*G156</f>
        <v>43955492.721846893</v>
      </c>
      <c r="J156" s="335"/>
      <c r="K156" s="352"/>
      <c r="L156" s="1494">
        <f>+I156/M156</f>
        <v>0.94499172336410309</v>
      </c>
      <c r="M156" s="1487">
        <f>+D156</f>
        <v>46514156.299029239</v>
      </c>
      <c r="N156" s="1487">
        <f>IF($L$10=0,'Appendix A'!H239,'Appendix A'!G239)</f>
        <v>46514156.299029239</v>
      </c>
      <c r="O156" s="1487"/>
      <c r="P156" s="1488"/>
      <c r="Q156" s="311"/>
    </row>
    <row r="157" spans="1:17">
      <c r="A157" s="418">
        <f t="shared" ref="A157:A162" si="4">+A156+1</f>
        <v>22</v>
      </c>
      <c r="B157" s="783" t="s">
        <v>866</v>
      </c>
      <c r="C157" s="335"/>
      <c r="D157" s="333"/>
      <c r="E157" s="406"/>
      <c r="F157" s="340"/>
      <c r="G157" s="402"/>
      <c r="H157" s="333"/>
      <c r="I157" s="333"/>
      <c r="J157" s="335"/>
      <c r="K157" s="352"/>
      <c r="L157" s="1494"/>
      <c r="M157" s="1487"/>
      <c r="N157" s="1487"/>
      <c r="O157" s="1487"/>
      <c r="P157" s="1488"/>
      <c r="Q157" s="311"/>
    </row>
    <row r="158" spans="1:17">
      <c r="A158" s="418">
        <f t="shared" si="4"/>
        <v>23</v>
      </c>
      <c r="B158" s="783" t="s">
        <v>866</v>
      </c>
      <c r="C158" s="335"/>
      <c r="D158" s="333"/>
      <c r="E158" s="406"/>
      <c r="F158" s="340"/>
      <c r="G158" s="402"/>
      <c r="H158" s="333"/>
      <c r="I158" s="333"/>
      <c r="J158" s="335"/>
      <c r="K158" s="352"/>
      <c r="L158" s="1494"/>
      <c r="M158" s="1487"/>
      <c r="N158" s="1487"/>
      <c r="O158" s="1487"/>
      <c r="P158" s="1488"/>
      <c r="Q158" s="311"/>
    </row>
    <row r="159" spans="1:17">
      <c r="A159" s="418">
        <f t="shared" si="4"/>
        <v>24</v>
      </c>
      <c r="B159" s="783" t="s">
        <v>866</v>
      </c>
      <c r="C159" s="335"/>
      <c r="D159" s="333"/>
      <c r="E159" s="406"/>
      <c r="F159" s="340"/>
      <c r="G159" s="402"/>
      <c r="H159" s="333"/>
      <c r="I159" s="333"/>
      <c r="J159" s="335"/>
      <c r="K159" s="352"/>
      <c r="L159" s="1494"/>
      <c r="M159" s="1487"/>
      <c r="N159" s="1487"/>
      <c r="O159" s="1487"/>
      <c r="P159" s="1488"/>
      <c r="Q159" s="311"/>
    </row>
    <row r="160" spans="1:17">
      <c r="A160" s="418">
        <f t="shared" si="4"/>
        <v>25</v>
      </c>
      <c r="B160" s="783" t="s">
        <v>866</v>
      </c>
      <c r="C160" s="335"/>
      <c r="D160" s="333"/>
      <c r="E160" s="406"/>
      <c r="F160" s="340"/>
      <c r="G160" s="402"/>
      <c r="H160" s="333"/>
      <c r="I160" s="333"/>
      <c r="J160" s="335"/>
      <c r="K160" s="352"/>
      <c r="L160" s="1494"/>
      <c r="M160" s="1487"/>
      <c r="N160" s="1487"/>
      <c r="O160" s="1487"/>
      <c r="P160" s="1488"/>
      <c r="Q160" s="311"/>
    </row>
    <row r="161" spans="1:17" ht="13.8" thickBot="1">
      <c r="A161" s="418">
        <f t="shared" si="4"/>
        <v>26</v>
      </c>
      <c r="B161" s="783" t="s">
        <v>866</v>
      </c>
      <c r="C161" s="335"/>
      <c r="D161" s="391"/>
      <c r="E161" s="406"/>
      <c r="F161" s="340"/>
      <c r="G161" s="402"/>
      <c r="H161" s="333"/>
      <c r="I161" s="391"/>
      <c r="J161" s="335"/>
      <c r="K161" s="352"/>
      <c r="L161" s="1494"/>
      <c r="M161" s="1487"/>
      <c r="N161" s="1487"/>
      <c r="O161" s="1487"/>
      <c r="P161" s="1488"/>
      <c r="Q161" s="311"/>
    </row>
    <row r="162" spans="1:17">
      <c r="A162" s="418">
        <f t="shared" si="4"/>
        <v>27</v>
      </c>
      <c r="B162" s="783" t="s">
        <v>55</v>
      </c>
      <c r="C162" s="335" t="str">
        <f>+"(Sum of Line "&amp;A156&amp;" to Line "&amp;A161&amp;")"</f>
        <v>(Sum of Line 21 to Line 26)</v>
      </c>
      <c r="D162" s="333">
        <f>SUM(D156:D161)</f>
        <v>46514156.299029239</v>
      </c>
      <c r="E162" s="352"/>
      <c r="F162" s="352"/>
      <c r="G162" s="352"/>
      <c r="H162" s="352"/>
      <c r="I162" s="333">
        <f>SUM(I156:I161)</f>
        <v>43955492.721846893</v>
      </c>
      <c r="L162" s="1488"/>
      <c r="M162" s="1488"/>
      <c r="N162" s="1488"/>
      <c r="O162" s="1488"/>
      <c r="P162" s="1488"/>
      <c r="Q162" s="311"/>
    </row>
    <row r="163" spans="1:17">
      <c r="A163" s="418"/>
      <c r="B163" s="346"/>
      <c r="C163" s="426"/>
      <c r="D163" s="333"/>
      <c r="E163" s="335"/>
      <c r="F163" s="335"/>
      <c r="G163" s="347"/>
      <c r="H163" s="335"/>
      <c r="I163" s="333"/>
      <c r="J163" s="335"/>
      <c r="K163" s="352"/>
      <c r="L163" s="1491"/>
      <c r="M163" s="1487"/>
      <c r="N163" s="1487"/>
      <c r="O163" s="1487"/>
      <c r="P163" s="1488"/>
      <c r="Q163" s="311"/>
    </row>
    <row r="164" spans="1:17">
      <c r="A164" s="418"/>
      <c r="B164" s="334" t="s">
        <v>398</v>
      </c>
      <c r="C164" s="352"/>
      <c r="D164" s="352"/>
      <c r="E164" s="352"/>
      <c r="F164" s="352"/>
      <c r="G164" s="352"/>
      <c r="H164" s="352"/>
      <c r="I164" s="1373"/>
      <c r="J164" s="335"/>
      <c r="K164" s="352"/>
      <c r="L164" s="1509"/>
      <c r="M164" s="1487"/>
      <c r="N164" s="1487"/>
      <c r="O164" s="1487"/>
      <c r="P164" s="1488"/>
      <c r="Q164" s="311"/>
    </row>
    <row r="165" spans="1:17">
      <c r="A165" s="418">
        <v>28</v>
      </c>
      <c r="B165" s="784" t="s">
        <v>399</v>
      </c>
      <c r="C165" s="335" t="str">
        <f>+"Appendix A Line "&amp;+'Appendix A'!A217&amp;" "&amp;$L$6&amp;" Column"</f>
        <v>Appendix A Line 146 Projected Column</v>
      </c>
      <c r="D165" s="333">
        <f>IF($L$10=0,'Appendix A'!H217,'Appendix A'!G217)</f>
        <v>97574646.565618232</v>
      </c>
      <c r="E165" s="340"/>
      <c r="F165" s="333" t="s">
        <v>375</v>
      </c>
      <c r="G165" s="339">
        <f>+TP</f>
        <v>0.94499172336410309</v>
      </c>
      <c r="H165" s="340"/>
      <c r="I165" s="333">
        <f>+D165*G165</f>
        <v>92207233.414686829</v>
      </c>
      <c r="J165" s="352"/>
      <c r="K165" s="352"/>
      <c r="L165" s="1494">
        <f>+I165/M165</f>
        <v>0.94499172336410298</v>
      </c>
      <c r="M165" s="1487">
        <f>+D165</f>
        <v>97574646.565618232</v>
      </c>
      <c r="N165" s="1487">
        <f>IF($L$10=0,'Appendix A'!H217,'Appendix A'!G217)</f>
        <v>97574646.565618232</v>
      </c>
      <c r="O165" s="1487">
        <f>+M165-N165</f>
        <v>0</v>
      </c>
      <c r="P165" s="1488"/>
      <c r="Q165" s="311"/>
    </row>
    <row r="166" spans="1:17">
      <c r="A166" s="418"/>
      <c r="B166" s="334"/>
      <c r="C166" s="346"/>
      <c r="D166" s="396"/>
      <c r="E166" s="340"/>
      <c r="F166" s="340"/>
      <c r="G166" s="427"/>
      <c r="H166" s="340"/>
      <c r="I166" s="396"/>
      <c r="J166" s="335"/>
      <c r="K166" s="352"/>
      <c r="L166" s="1492"/>
      <c r="M166" s="1487"/>
      <c r="N166" s="1487"/>
      <c r="O166" s="1487"/>
      <c r="P166" s="1488"/>
      <c r="Q166" s="311"/>
    </row>
    <row r="167" spans="1:17" ht="13.8" thickBot="1">
      <c r="A167" s="418">
        <f>A165+1</f>
        <v>29</v>
      </c>
      <c r="B167" s="334" t="s">
        <v>400</v>
      </c>
      <c r="C167" s="335" t="str">
        <f>+"(Line "&amp;A137&amp;" + Line "&amp;A143&amp;" + Line "&amp;A153&amp;" + Line "&amp;A162&amp;" + Line "&amp;A165&amp;")"</f>
        <v>(Line 8 + Line 12 + Line 20 + Line 27 + Line 28)</v>
      </c>
      <c r="D167" s="428">
        <f>+D137+D143+D153+D162+D165</f>
        <v>361050381.45449376</v>
      </c>
      <c r="E167" s="340"/>
      <c r="F167" s="340"/>
      <c r="G167" s="406"/>
      <c r="H167" s="340"/>
      <c r="I167" s="428">
        <f>+I137+I143+I153+I162+I165</f>
        <v>211249438.31879589</v>
      </c>
      <c r="J167" s="325"/>
      <c r="K167" s="352"/>
      <c r="L167" s="1501"/>
      <c r="M167" s="1510">
        <f>+M137+M143+M153+M156+M165</f>
        <v>223546337.06924224</v>
      </c>
      <c r="N167" s="1487">
        <f>IF($L$10=0,'Appendix A'!H257,'Appendix A'!G257)</f>
        <v>223546337.06924221</v>
      </c>
      <c r="O167" s="1487">
        <f>+M167-N167</f>
        <v>0</v>
      </c>
      <c r="P167" s="1488"/>
      <c r="Q167" s="311"/>
    </row>
    <row r="168" spans="1:17" ht="13.8" thickTop="1">
      <c r="A168" s="418"/>
      <c r="B168" s="334"/>
      <c r="C168" s="335"/>
      <c r="D168" s="406"/>
      <c r="E168" s="340"/>
      <c r="F168" s="340"/>
      <c r="G168" s="406"/>
      <c r="H168" s="340"/>
      <c r="I168" s="396"/>
      <c r="J168" s="325"/>
      <c r="K168" s="352"/>
      <c r="L168" s="1501"/>
      <c r="M168" s="1487"/>
      <c r="N168" s="1487"/>
      <c r="O168" s="1487"/>
      <c r="P168" s="1488"/>
      <c r="Q168" s="311"/>
    </row>
    <row r="169" spans="1:17" s="781" customFormat="1">
      <c r="A169" s="923">
        <f>+A167+1</f>
        <v>30</v>
      </c>
      <c r="B169" s="775" t="s">
        <v>782</v>
      </c>
      <c r="C169" s="925"/>
      <c r="D169" s="773"/>
      <c r="E169" s="774"/>
      <c r="F169" s="774"/>
      <c r="G169" s="774"/>
      <c r="H169" s="774"/>
      <c r="I169" s="773"/>
      <c r="J169" s="779"/>
      <c r="K169" s="779"/>
      <c r="L169" s="1511"/>
      <c r="M169" s="1506"/>
      <c r="N169" s="1506"/>
      <c r="O169" s="1506"/>
      <c r="P169" s="1512"/>
    </row>
    <row r="170" spans="1:17" s="781" customFormat="1">
      <c r="A170" s="923"/>
      <c r="B170" s="775" t="s">
        <v>783</v>
      </c>
      <c r="C170" s="804" t="str">
        <f>+"Appendix A Line "&amp;+'Appendix A'!A254&amp;" "&amp;$L$6&amp;" Column"</f>
        <v>Appendix A Line 167 Projected Column</v>
      </c>
      <c r="D170" s="774">
        <f>IF($L$10=0,'Appendix A'!H254,'Appendix A'!G254)</f>
        <v>0</v>
      </c>
      <c r="E170" s="774"/>
      <c r="F170" s="774" t="s">
        <v>348</v>
      </c>
      <c r="G170" s="1075">
        <v>1</v>
      </c>
      <c r="H170" s="774"/>
      <c r="I170" s="773">
        <f>+D170</f>
        <v>0</v>
      </c>
      <c r="J170" s="779"/>
      <c r="K170" s="1076"/>
      <c r="L170" s="1506"/>
      <c r="M170" s="1506"/>
      <c r="N170" s="1506"/>
      <c r="O170" s="1512"/>
      <c r="P170" s="1512"/>
    </row>
    <row r="171" spans="1:17">
      <c r="A171" s="376"/>
      <c r="B171" s="361"/>
      <c r="C171" s="367"/>
      <c r="D171" s="396"/>
      <c r="E171" s="333"/>
      <c r="F171" s="333"/>
      <c r="G171" s="333"/>
      <c r="H171" s="333"/>
      <c r="I171" s="396"/>
      <c r="J171" s="352"/>
      <c r="K171" s="362"/>
      <c r="L171" s="1487"/>
      <c r="M171" s="1487"/>
      <c r="N171" s="1487"/>
      <c r="O171" s="1488"/>
      <c r="P171" s="1488"/>
      <c r="Q171" s="311"/>
    </row>
    <row r="172" spans="1:17">
      <c r="A172" s="924" t="s">
        <v>676</v>
      </c>
      <c r="B172" s="775" t="s">
        <v>781</v>
      </c>
      <c r="C172" s="776"/>
      <c r="D172" s="777"/>
      <c r="E172" s="778"/>
      <c r="F172" s="778"/>
      <c r="G172" s="778"/>
      <c r="H172" s="778"/>
      <c r="I172" s="777"/>
      <c r="J172" s="352"/>
      <c r="K172" s="362"/>
      <c r="L172" s="1487"/>
      <c r="M172" s="1487"/>
      <c r="N172" s="1487"/>
      <c r="O172" s="1488"/>
      <c r="P172" s="1488"/>
      <c r="Q172" s="311"/>
    </row>
    <row r="173" spans="1:17" s="781" customFormat="1" ht="27" thickBot="1">
      <c r="A173" s="923"/>
      <c r="B173" s="775" t="s">
        <v>784</v>
      </c>
      <c r="C173" s="804" t="str">
        <f>+"Appendix A Line "&amp;+'Appendix A'!A255&amp;" "&amp;$L$6&amp;" Column"</f>
        <v>Appendix A Line 168 Projected Column</v>
      </c>
      <c r="D173" s="1247">
        <f>IF($L$10=0,'Appendix A'!H255,'Appendix A'!G255)</f>
        <v>0</v>
      </c>
      <c r="E173" s="774"/>
      <c r="F173" s="774" t="s">
        <v>348</v>
      </c>
      <c r="G173" s="1075">
        <v>1</v>
      </c>
      <c r="H173" s="774"/>
      <c r="I173" s="773">
        <f>+D173</f>
        <v>0</v>
      </c>
      <c r="J173" s="779"/>
      <c r="K173" s="1076"/>
      <c r="L173" s="1506"/>
      <c r="M173" s="1506"/>
      <c r="N173" s="1506"/>
      <c r="O173" s="1512"/>
      <c r="P173" s="1506"/>
      <c r="Q173" s="780"/>
    </row>
    <row r="174" spans="1:17" ht="13.8" thickBot="1">
      <c r="A174" s="376">
        <f>+A169+1</f>
        <v>31</v>
      </c>
      <c r="B174" s="361" t="s">
        <v>401</v>
      </c>
      <c r="C174" s="361" t="str">
        <f>+"(Line "&amp;A167&amp;" - Line "&amp;A169&amp;" - Line "&amp;A172&amp;")"</f>
        <v>(Line 29 - Line 30 - Line 30a)</v>
      </c>
      <c r="D174" s="429">
        <f>+D167-D170-D173</f>
        <v>361050381.45449376</v>
      </c>
      <c r="E174" s="333"/>
      <c r="F174" s="333"/>
      <c r="G174" s="333"/>
      <c r="H174" s="333"/>
      <c r="I174" s="429">
        <f>+I167-I170-I173</f>
        <v>211249438.31879589</v>
      </c>
      <c r="J174" s="352"/>
      <c r="K174" s="362"/>
      <c r="L174" s="1487">
        <f>+'Appendix A'!H265</f>
        <v>211249438.31879589</v>
      </c>
      <c r="M174" s="1487">
        <f>+L174-I174</f>
        <v>0</v>
      </c>
      <c r="N174" s="1487"/>
      <c r="O174" s="1487"/>
      <c r="P174" s="1487"/>
    </row>
    <row r="175" spans="1:17" ht="13.8" thickTop="1">
      <c r="L175" s="1487"/>
      <c r="M175" s="1487"/>
      <c r="N175" s="1487"/>
      <c r="O175" s="1488"/>
      <c r="P175" s="1487"/>
    </row>
    <row r="176" spans="1:17">
      <c r="A176" s="418"/>
      <c r="B176" s="334"/>
      <c r="C176" s="335"/>
      <c r="D176" s="406"/>
      <c r="E176" s="340"/>
      <c r="F176" s="340"/>
      <c r="G176" s="406"/>
      <c r="H176" s="340"/>
      <c r="I176" s="396"/>
      <c r="J176" s="325"/>
      <c r="K176" s="325"/>
      <c r="L176" s="1487"/>
      <c r="M176" s="1487"/>
      <c r="N176" s="1487"/>
      <c r="O176" s="1488"/>
      <c r="P176" s="1487"/>
    </row>
    <row r="177" spans="1:60">
      <c r="A177" s="418"/>
      <c r="B177" s="430"/>
      <c r="C177" s="340"/>
      <c r="D177" s="406"/>
      <c r="E177" s="406"/>
      <c r="F177" s="406"/>
      <c r="G177" s="406"/>
      <c r="H177" s="406"/>
      <c r="I177" s="406"/>
      <c r="J177" s="325"/>
      <c r="K177" s="381" t="str">
        <f>+K1</f>
        <v>Attachment O-EAI</v>
      </c>
      <c r="L177" s="1487"/>
      <c r="M177" s="1487"/>
      <c r="N177" s="1487"/>
      <c r="O177" s="1488"/>
      <c r="P177" s="1487"/>
    </row>
    <row r="178" spans="1:60">
      <c r="A178" s="388"/>
      <c r="B178" s="346"/>
      <c r="C178" s="346"/>
      <c r="D178" s="346"/>
      <c r="E178" s="346"/>
      <c r="F178" s="346"/>
      <c r="G178" s="346"/>
      <c r="H178" s="346"/>
      <c r="I178" s="346"/>
      <c r="J178" s="335"/>
      <c r="K178" s="407" t="s">
        <v>402</v>
      </c>
    </row>
    <row r="179" spans="1:60">
      <c r="A179" s="388"/>
      <c r="B179" s="346"/>
      <c r="C179" s="410" t="str">
        <f>+C$3</f>
        <v>MISO Cover</v>
      </c>
      <c r="D179" s="346"/>
      <c r="E179" s="346"/>
      <c r="F179" s="346"/>
      <c r="G179" s="346"/>
      <c r="H179" s="346"/>
      <c r="I179" s="346"/>
      <c r="J179" s="335"/>
      <c r="K179" s="335"/>
    </row>
    <row r="180" spans="1:60">
      <c r="A180" s="388"/>
      <c r="B180" s="334" t="s">
        <v>334</v>
      </c>
      <c r="C180" s="431" t="s">
        <v>335</v>
      </c>
      <c r="D180" s="352"/>
      <c r="E180" s="346"/>
      <c r="F180" s="346"/>
      <c r="G180" s="346"/>
      <c r="H180" s="346"/>
      <c r="I180" s="409"/>
      <c r="J180" s="335"/>
      <c r="K180" s="432" t="str">
        <f>K4</f>
        <v>For  the 12 Months Ended 12/31/2016</v>
      </c>
    </row>
    <row r="181" spans="1:60">
      <c r="A181" s="388"/>
      <c r="B181" s="334"/>
      <c r="C181" s="431" t="s">
        <v>336</v>
      </c>
      <c r="D181" s="352"/>
      <c r="E181" s="346"/>
      <c r="F181" s="346"/>
      <c r="G181" s="346"/>
      <c r="H181" s="346"/>
      <c r="I181" s="346"/>
      <c r="J181" s="335"/>
      <c r="K181" s="335"/>
    </row>
    <row r="182" spans="1:60">
      <c r="A182" s="388"/>
      <c r="B182" s="346"/>
      <c r="C182" s="431" t="str">
        <f>+C119</f>
        <v>Entergy Arkansas, Inc.</v>
      </c>
      <c r="D182" s="352"/>
      <c r="E182" s="346"/>
      <c r="F182" s="346"/>
      <c r="G182" s="346"/>
      <c r="H182" s="346"/>
      <c r="I182" s="346"/>
      <c r="J182" s="335"/>
      <c r="K182" s="335"/>
    </row>
    <row r="183" spans="1:60">
      <c r="A183" s="1048"/>
      <c r="B183" s="1048"/>
      <c r="C183" s="431" t="str">
        <f>+C120</f>
        <v>Projected Rate</v>
      </c>
      <c r="D183" s="1048"/>
      <c r="E183" s="1048"/>
      <c r="F183" s="1048"/>
      <c r="G183" s="1048"/>
      <c r="H183" s="1048"/>
      <c r="I183" s="1048"/>
      <c r="J183" s="1048"/>
      <c r="K183" s="1048"/>
    </row>
    <row r="184" spans="1:60" s="424" customFormat="1">
      <c r="A184" s="433"/>
      <c r="B184" s="410" t="s">
        <v>176</v>
      </c>
      <c r="C184" s="410" t="s">
        <v>338</v>
      </c>
      <c r="D184" s="410" t="s">
        <v>339</v>
      </c>
      <c r="E184" s="335" t="s">
        <v>70</v>
      </c>
      <c r="F184" s="335"/>
      <c r="G184" s="411" t="s">
        <v>340</v>
      </c>
      <c r="H184" s="335"/>
      <c r="I184" s="411" t="s">
        <v>341</v>
      </c>
      <c r="J184" s="422"/>
      <c r="K184" s="422"/>
      <c r="L184" s="312"/>
      <c r="M184" s="312"/>
      <c r="N184" s="312"/>
      <c r="O184" s="311"/>
      <c r="P184" s="312"/>
      <c r="Q184" s="312"/>
      <c r="R184" s="311"/>
      <c r="S184" s="311"/>
      <c r="T184" s="311"/>
      <c r="U184" s="311"/>
      <c r="V184" s="311"/>
      <c r="W184" s="311"/>
      <c r="X184" s="311"/>
      <c r="Y184" s="31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c r="BE184" s="311"/>
      <c r="BF184" s="311"/>
      <c r="BG184" s="311"/>
      <c r="BH184" s="311"/>
    </row>
    <row r="185" spans="1:60">
      <c r="A185" s="388"/>
      <c r="B185" s="346"/>
      <c r="C185" s="334"/>
      <c r="D185" s="334"/>
      <c r="E185" s="334"/>
      <c r="F185" s="334"/>
      <c r="G185" s="334"/>
      <c r="H185" s="334"/>
      <c r="I185" s="334"/>
      <c r="J185" s="334"/>
      <c r="K185" s="334"/>
    </row>
    <row r="186" spans="1:60">
      <c r="A186" s="1833" t="s">
        <v>403</v>
      </c>
      <c r="B186" s="1833"/>
      <c r="C186" s="1833"/>
      <c r="D186" s="1833"/>
      <c r="E186" s="1833"/>
      <c r="F186" s="1833"/>
      <c r="G186" s="1833"/>
      <c r="H186" s="1833"/>
      <c r="I186" s="1833"/>
      <c r="J186" s="1833"/>
      <c r="K186" s="1833"/>
    </row>
    <row r="187" spans="1:60">
      <c r="A187" s="388" t="s">
        <v>342</v>
      </c>
      <c r="B187" s="434"/>
      <c r="C187" s="325"/>
      <c r="D187" s="325"/>
      <c r="E187" s="325"/>
      <c r="F187" s="325"/>
      <c r="G187" s="325"/>
      <c r="H187" s="325"/>
      <c r="I187" s="325"/>
      <c r="J187" s="335"/>
      <c r="K187" s="335"/>
    </row>
    <row r="188" spans="1:60" ht="13.8" thickBot="1">
      <c r="A188" s="336" t="s">
        <v>344</v>
      </c>
      <c r="B188" s="318" t="s">
        <v>404</v>
      </c>
      <c r="C188" s="325"/>
      <c r="D188" s="325"/>
      <c r="E188" s="325"/>
      <c r="F188" s="325"/>
      <c r="G188" s="325"/>
      <c r="H188" s="346"/>
      <c r="I188" s="346"/>
      <c r="J188" s="335"/>
      <c r="K188" s="335"/>
    </row>
    <row r="189" spans="1:60">
      <c r="A189" s="388">
        <v>1</v>
      </c>
      <c r="B189" s="782" t="s">
        <v>405</v>
      </c>
      <c r="C189" s="335" t="str">
        <f>+"Appendix A Line "&amp;+'Appendix A'!A260&amp;" "&amp;$L$6&amp;" Column"</f>
        <v>Appendix A Line 170 Projected Column</v>
      </c>
      <c r="D189" s="335"/>
      <c r="E189" s="335"/>
      <c r="F189" s="335"/>
      <c r="G189" s="335"/>
      <c r="H189" s="335"/>
      <c r="I189" s="333">
        <f>IF($L$10=0,'Appendix A'!H260,'Appendix A'!G260)</f>
        <v>2085003947.2997227</v>
      </c>
      <c r="J189" s="335"/>
      <c r="K189" s="335"/>
      <c r="N189" s="399"/>
      <c r="O189" s="399"/>
      <c r="P189" s="399"/>
      <c r="Q189" s="399"/>
      <c r="R189" s="399"/>
      <c r="S189" s="399"/>
    </row>
    <row r="190" spans="1:60">
      <c r="A190" s="388">
        <f>+A189+1</f>
        <v>2</v>
      </c>
      <c r="B190" s="782" t="s">
        <v>406</v>
      </c>
      <c r="C190" s="335" t="str">
        <f>+"Appendix A Line "&amp;+'Appendix A'!A261&amp;" "&amp;$L$6&amp;" Column"</f>
        <v>Appendix A Line 171 Projected Column</v>
      </c>
      <c r="D190" s="346"/>
      <c r="E190" s="346"/>
      <c r="F190" s="346"/>
      <c r="G190" s="346"/>
      <c r="H190" s="346"/>
      <c r="I190" s="333">
        <f>IF($L$10=0,'Appendix A'!H261,'Appendix A'!G261)</f>
        <v>114692473.91999999</v>
      </c>
      <c r="J190" s="335"/>
      <c r="K190" s="335"/>
      <c r="N190" s="399"/>
      <c r="O190" s="399"/>
      <c r="P190" s="399"/>
      <c r="Q190" s="399"/>
      <c r="R190" s="399"/>
      <c r="S190" s="399"/>
    </row>
    <row r="191" spans="1:60" ht="13.8" thickBot="1">
      <c r="A191" s="388">
        <f t="shared" ref="A191:A215" si="5">+A190+1</f>
        <v>3</v>
      </c>
      <c r="B191" s="783" t="s">
        <v>866</v>
      </c>
      <c r="C191" s="435"/>
      <c r="D191" s="409"/>
      <c r="E191" s="335"/>
      <c r="F191" s="335"/>
      <c r="G191" s="408"/>
      <c r="H191" s="335"/>
      <c r="I191" s="391"/>
      <c r="J191" s="335"/>
      <c r="K191" s="335"/>
      <c r="N191" s="399"/>
      <c r="O191" s="399"/>
      <c r="P191" s="399"/>
      <c r="Q191" s="399"/>
      <c r="R191" s="399"/>
      <c r="S191" s="399"/>
    </row>
    <row r="192" spans="1:60">
      <c r="A192" s="388">
        <f t="shared" si="5"/>
        <v>4</v>
      </c>
      <c r="B192" s="782" t="s">
        <v>407</v>
      </c>
      <c r="C192" s="325" t="str">
        <f>+"(Line "&amp;A189&amp;" - Line "&amp;A190&amp;" - Line "&amp;A191&amp;")"</f>
        <v>(Line 1 - Line 2 - Line 3)</v>
      </c>
      <c r="D192" s="335"/>
      <c r="E192" s="335"/>
      <c r="F192" s="335"/>
      <c r="G192" s="408"/>
      <c r="H192" s="335"/>
      <c r="I192" s="333">
        <f>I189-I190-I191</f>
        <v>1970311473.3797226</v>
      </c>
      <c r="J192" s="335"/>
      <c r="K192" s="335"/>
      <c r="N192" s="399"/>
      <c r="O192" s="399"/>
      <c r="P192" s="399"/>
      <c r="Q192" s="399"/>
      <c r="R192" s="399"/>
      <c r="S192" s="399"/>
    </row>
    <row r="193" spans="1:19">
      <c r="A193" s="388"/>
      <c r="B193" s="346"/>
      <c r="C193" s="325"/>
      <c r="D193" s="335"/>
      <c r="E193" s="335"/>
      <c r="F193" s="335"/>
      <c r="G193" s="408"/>
      <c r="H193" s="335"/>
      <c r="I193" s="333"/>
      <c r="J193" s="335"/>
      <c r="K193" s="335"/>
      <c r="N193" s="399"/>
      <c r="O193" s="399"/>
      <c r="P193" s="399"/>
      <c r="Q193" s="399"/>
      <c r="R193" s="399"/>
      <c r="S193" s="399"/>
    </row>
    <row r="194" spans="1:19">
      <c r="A194" s="388">
        <f>+A192+1</f>
        <v>5</v>
      </c>
      <c r="B194" s="782" t="s">
        <v>408</v>
      </c>
      <c r="C194" s="325" t="str">
        <f>+"(Line "&amp;A192&amp;" / Line "&amp;A189&amp;")"</f>
        <v>(Line 4 / Line 1)</v>
      </c>
      <c r="D194" s="436"/>
      <c r="E194" s="436"/>
      <c r="F194" s="436"/>
      <c r="G194" s="1248" t="s">
        <v>858</v>
      </c>
      <c r="H194" s="335" t="s">
        <v>409</v>
      </c>
      <c r="I194" s="402">
        <f>IF(I189&gt;0,I192/I189,0)</f>
        <v>0.94499172336410309</v>
      </c>
      <c r="J194" s="335"/>
      <c r="K194" s="335"/>
      <c r="N194" s="399"/>
      <c r="O194" s="399"/>
      <c r="P194" s="399"/>
      <c r="Q194" s="399"/>
      <c r="R194" s="399"/>
      <c r="S194" s="399"/>
    </row>
    <row r="195" spans="1:19">
      <c r="A195" s="388"/>
      <c r="B195" s="782"/>
      <c r="C195" s="325"/>
      <c r="D195" s="436"/>
      <c r="E195" s="436"/>
      <c r="F195" s="436"/>
      <c r="G195" s="411"/>
      <c r="H195" s="335"/>
      <c r="I195" s="402"/>
      <c r="J195" s="335"/>
      <c r="K195" s="335"/>
      <c r="N195" s="399"/>
      <c r="O195" s="399"/>
      <c r="P195" s="399"/>
      <c r="Q195" s="399"/>
      <c r="R195" s="399"/>
      <c r="S195" s="399"/>
    </row>
    <row r="196" spans="1:19">
      <c r="A196" s="918" t="s">
        <v>682</v>
      </c>
      <c r="B196" s="334" t="s">
        <v>410</v>
      </c>
      <c r="C196" s="346"/>
      <c r="D196" s="346"/>
      <c r="E196" s="346"/>
      <c r="F196" s="346"/>
      <c r="G196" s="346"/>
      <c r="H196" s="346"/>
      <c r="I196" s="346"/>
      <c r="J196" s="346"/>
      <c r="K196" s="346"/>
      <c r="N196" s="399"/>
      <c r="O196" s="399"/>
      <c r="P196" s="399"/>
      <c r="Q196" s="399"/>
      <c r="R196" s="399"/>
      <c r="S196" s="399"/>
    </row>
    <row r="197" spans="1:19" ht="13.8" thickBot="1">
      <c r="B197" s="352"/>
      <c r="C197" s="437" t="s">
        <v>411</v>
      </c>
      <c r="D197" s="438" t="s">
        <v>412</v>
      </c>
      <c r="E197" s="352"/>
      <c r="F197" s="438" t="s">
        <v>375</v>
      </c>
      <c r="G197" s="438" t="s">
        <v>125</v>
      </c>
      <c r="H197" s="335"/>
      <c r="I197" s="335"/>
      <c r="J197" s="335"/>
      <c r="K197" s="335"/>
      <c r="N197" s="399"/>
      <c r="O197" s="399"/>
      <c r="P197" s="399"/>
      <c r="Q197" s="399"/>
      <c r="R197" s="399"/>
      <c r="S197" s="399"/>
    </row>
    <row r="198" spans="1:19">
      <c r="A198" s="388">
        <v>12</v>
      </c>
      <c r="B198" s="783" t="s">
        <v>628</v>
      </c>
      <c r="C198" s="335" t="str">
        <f>+"Appendix A Line "&amp;+'Appendix A'!A11&amp;" "&amp;$L$6&amp;" Column"</f>
        <v>Appendix A Line 1 Projected Column</v>
      </c>
      <c r="D198" s="333">
        <f>IF($L$10=0,'Appendix A'!H11,'Appendix A'!G11)</f>
        <v>11674377.959999995</v>
      </c>
      <c r="E198" s="352"/>
      <c r="F198" s="339">
        <f>+TP</f>
        <v>0.94499172336410309</v>
      </c>
      <c r="G198" s="333">
        <f>+D198*F198</f>
        <v>11032190.547624297</v>
      </c>
      <c r="H198" s="340"/>
      <c r="I198" s="340"/>
      <c r="J198" s="335"/>
      <c r="K198" s="335"/>
      <c r="N198" s="399"/>
      <c r="O198" s="399"/>
      <c r="P198" s="399"/>
      <c r="Q198" s="399"/>
      <c r="R198" s="399"/>
      <c r="S198" s="399"/>
    </row>
    <row r="199" spans="1:19">
      <c r="A199" s="388">
        <f t="shared" si="5"/>
        <v>13</v>
      </c>
      <c r="B199" s="783" t="s">
        <v>629</v>
      </c>
      <c r="C199" s="335" t="str">
        <f>+"Appendix A Line "&amp;+'Appendix A'!A12&amp;" "&amp;$L$6&amp;" Column"</f>
        <v>Appendix A Line 2 Projected Column</v>
      </c>
      <c r="D199" s="333">
        <f>IF($L$10=0,'Appendix A'!H12,'Appendix A'!G12)</f>
        <v>40496.21</v>
      </c>
      <c r="E199" s="352"/>
      <c r="F199" s="339">
        <f>+TP</f>
        <v>0.94499172336410309</v>
      </c>
      <c r="G199" s="333">
        <f>+D199*F199</f>
        <v>38268.583277614627</v>
      </c>
      <c r="H199" s="340"/>
      <c r="I199" s="340"/>
      <c r="J199" s="335"/>
      <c r="K199" s="335"/>
      <c r="L199" s="312">
        <f>+D199/D202</f>
        <v>2.3215312260846632E-4</v>
      </c>
      <c r="N199" s="399"/>
      <c r="O199" s="399"/>
      <c r="P199" s="399"/>
      <c r="Q199" s="399"/>
      <c r="R199" s="399"/>
      <c r="S199" s="399"/>
    </row>
    <row r="200" spans="1:19">
      <c r="A200" s="388">
        <f t="shared" si="5"/>
        <v>14</v>
      </c>
      <c r="B200" s="783" t="s">
        <v>866</v>
      </c>
      <c r="C200" s="335"/>
      <c r="D200" s="333"/>
      <c r="E200" s="352"/>
      <c r="F200" s="439"/>
      <c r="G200" s="333"/>
      <c r="H200" s="340"/>
      <c r="I200" s="440" t="s">
        <v>413</v>
      </c>
      <c r="J200" s="335"/>
      <c r="K200" s="335"/>
      <c r="L200" s="312">
        <f>+I194</f>
        <v>0.94499172336410309</v>
      </c>
      <c r="N200" s="399"/>
      <c r="O200" s="399"/>
      <c r="P200" s="399"/>
      <c r="Q200" s="399"/>
      <c r="R200" s="399"/>
      <c r="S200" s="399"/>
    </row>
    <row r="201" spans="1:19" ht="13.8" thickBot="1">
      <c r="A201" s="388">
        <f t="shared" si="5"/>
        <v>15</v>
      </c>
      <c r="B201" s="783" t="s">
        <v>866</v>
      </c>
      <c r="C201" s="335"/>
      <c r="D201" s="391"/>
      <c r="E201" s="352"/>
      <c r="F201" s="439"/>
      <c r="G201" s="391"/>
      <c r="H201" s="340"/>
      <c r="I201" s="441" t="s">
        <v>414</v>
      </c>
      <c r="J201" s="335"/>
      <c r="K201" s="335"/>
      <c r="L201" s="312">
        <f>+L199*L200</f>
        <v>2.193827794181325E-4</v>
      </c>
      <c r="N201" s="399"/>
      <c r="O201" s="399"/>
      <c r="P201" s="399"/>
      <c r="Q201" s="399"/>
      <c r="R201" s="399"/>
      <c r="S201" s="399"/>
    </row>
    <row r="202" spans="1:19">
      <c r="A202" s="388">
        <f t="shared" si="5"/>
        <v>16</v>
      </c>
      <c r="B202" s="783" t="s">
        <v>532</v>
      </c>
      <c r="C202" s="335" t="str">
        <f>+"Appendix A Line "&amp;+'Appendix A'!A23&amp;" "&amp;$L$6&amp;" Column"</f>
        <v>Appendix A Line 10 Projected Column</v>
      </c>
      <c r="D202" s="333">
        <f>IF($L$10=0,'Appendix A'!H23,'Appendix A'!G23)</f>
        <v>174437498.60000011</v>
      </c>
      <c r="E202" s="335"/>
      <c r="F202" s="335"/>
      <c r="G202" s="333">
        <f>SUM(G198:G201)</f>
        <v>11070459.130901912</v>
      </c>
      <c r="H202" s="442" t="s">
        <v>415</v>
      </c>
      <c r="I202" s="443">
        <f>IF(G202&gt;0,G202/D202,0)</f>
        <v>6.3463757619497907E-2</v>
      </c>
      <c r="J202" s="408" t="s">
        <v>415</v>
      </c>
      <c r="K202" s="335" t="s">
        <v>416</v>
      </c>
      <c r="N202" s="399"/>
      <c r="O202" s="399"/>
      <c r="P202" s="399"/>
      <c r="Q202" s="399"/>
      <c r="R202" s="399"/>
      <c r="S202" s="399"/>
    </row>
    <row r="203" spans="1:19">
      <c r="A203" s="388"/>
      <c r="B203" s="334" t="s">
        <v>70</v>
      </c>
      <c r="C203" s="335" t="s">
        <v>70</v>
      </c>
      <c r="D203" s="346"/>
      <c r="E203" s="335"/>
      <c r="F203" s="335"/>
      <c r="G203" s="346"/>
      <c r="H203" s="346"/>
      <c r="I203" s="346"/>
      <c r="J203" s="346"/>
      <c r="K203" s="335"/>
      <c r="N203" s="399"/>
      <c r="O203" s="399"/>
      <c r="P203" s="399"/>
      <c r="Q203" s="399"/>
      <c r="R203" s="399"/>
      <c r="S203" s="399"/>
    </row>
    <row r="204" spans="1:19">
      <c r="A204" s="388"/>
      <c r="B204" s="334" t="s">
        <v>866</v>
      </c>
      <c r="C204" s="352"/>
      <c r="D204" s="412" t="s">
        <v>412</v>
      </c>
      <c r="E204" s="335"/>
      <c r="F204" s="335"/>
      <c r="G204" s="407"/>
      <c r="H204" s="425"/>
      <c r="I204" s="401"/>
      <c r="J204" s="335"/>
      <c r="K204" s="335"/>
      <c r="M204" s="311"/>
      <c r="N204" s="399"/>
      <c r="O204" s="399"/>
      <c r="P204" s="399"/>
      <c r="Q204" s="399"/>
      <c r="R204" s="399"/>
      <c r="S204" s="399"/>
    </row>
    <row r="205" spans="1:19">
      <c r="A205" s="388">
        <f>+A202+1</f>
        <v>17</v>
      </c>
      <c r="B205" s="783" t="s">
        <v>866</v>
      </c>
      <c r="C205" s="335"/>
      <c r="D205" s="333">
        <v>0</v>
      </c>
      <c r="E205" s="335"/>
      <c r="F205" s="346"/>
      <c r="G205" s="920"/>
      <c r="H205" s="444"/>
      <c r="I205" s="388"/>
      <c r="J205" s="335"/>
      <c r="K205" s="445"/>
      <c r="M205" s="311"/>
      <c r="N205" s="311"/>
      <c r="P205" s="311"/>
      <c r="Q205" s="311"/>
    </row>
    <row r="206" spans="1:19">
      <c r="A206" s="388">
        <f t="shared" si="5"/>
        <v>18</v>
      </c>
      <c r="B206" s="783" t="s">
        <v>866</v>
      </c>
      <c r="C206" s="335"/>
      <c r="D206" s="333">
        <v>0</v>
      </c>
      <c r="E206" s="335"/>
      <c r="F206" s="346"/>
      <c r="G206" s="443"/>
      <c r="H206" s="446" t="s">
        <v>276</v>
      </c>
      <c r="I206" s="443"/>
      <c r="J206" s="446"/>
      <c r="K206" s="443"/>
      <c r="L206" s="311"/>
      <c r="M206" s="311"/>
      <c r="N206" s="311"/>
      <c r="P206" s="311"/>
      <c r="Q206" s="311"/>
    </row>
    <row r="207" spans="1:19" ht="13.8" thickBot="1">
      <c r="A207" s="388">
        <f t="shared" si="5"/>
        <v>19</v>
      </c>
      <c r="B207" s="787" t="s">
        <v>866</v>
      </c>
      <c r="C207" s="437"/>
      <c r="D207" s="391">
        <v>0</v>
      </c>
      <c r="E207" s="335"/>
      <c r="F207" s="335"/>
      <c r="G207" s="335" t="s">
        <v>70</v>
      </c>
      <c r="H207" s="335"/>
      <c r="I207" s="335"/>
      <c r="J207" s="335"/>
      <c r="K207" s="335"/>
      <c r="L207" s="311"/>
      <c r="M207" s="311"/>
      <c r="N207" s="311"/>
      <c r="P207" s="311"/>
      <c r="Q207" s="311"/>
    </row>
    <row r="208" spans="1:19">
      <c r="A208" s="388">
        <f t="shared" si="5"/>
        <v>20</v>
      </c>
      <c r="B208" s="334" t="s">
        <v>118</v>
      </c>
      <c r="C208" s="346" t="str">
        <f>+"(Sum of Line "&amp;A205&amp;" to Line "&amp;A207&amp;")"</f>
        <v>(Sum of Line 17 to Line 19)</v>
      </c>
      <c r="D208" s="333">
        <f>D205+D206+D207</f>
        <v>0</v>
      </c>
      <c r="E208" s="335"/>
      <c r="F208" s="335"/>
      <c r="G208" s="335"/>
      <c r="H208" s="335"/>
      <c r="I208" s="335"/>
      <c r="J208" s="335"/>
      <c r="K208" s="335"/>
      <c r="L208" s="311"/>
      <c r="M208" s="311"/>
      <c r="N208" s="311"/>
      <c r="P208" s="311"/>
      <c r="Q208" s="311"/>
    </row>
    <row r="209" spans="1:17">
      <c r="A209" s="388"/>
      <c r="B209" s="334"/>
      <c r="C209" s="335"/>
      <c r="D209" s="346"/>
      <c r="E209" s="335"/>
      <c r="F209" s="335"/>
      <c r="G209" s="335"/>
      <c r="H209" s="335"/>
      <c r="I209" s="335"/>
      <c r="J209" s="335"/>
      <c r="K209" s="335"/>
      <c r="L209" s="311"/>
      <c r="M209" s="311"/>
      <c r="N209" s="311"/>
      <c r="P209" s="311"/>
      <c r="Q209" s="311"/>
    </row>
    <row r="210" spans="1:17">
      <c r="A210" s="919" t="s">
        <v>683</v>
      </c>
      <c r="B210" s="318" t="s">
        <v>417</v>
      </c>
      <c r="C210" s="335"/>
      <c r="D210" s="335"/>
      <c r="E210" s="335"/>
      <c r="F210" s="335"/>
      <c r="G210" s="408" t="s">
        <v>418</v>
      </c>
      <c r="H210" s="335"/>
      <c r="I210" s="335"/>
      <c r="J210" s="335"/>
      <c r="K210" s="335"/>
      <c r="L210" s="311"/>
      <c r="M210" s="311"/>
      <c r="N210" s="311"/>
      <c r="P210" s="311"/>
      <c r="Q210" s="311"/>
    </row>
    <row r="211" spans="1:17" ht="13.8" thickBot="1">
      <c r="A211" s="388"/>
      <c r="B211" s="334"/>
      <c r="C211" s="335"/>
      <c r="D211" s="336" t="s">
        <v>412</v>
      </c>
      <c r="E211" s="352"/>
      <c r="F211" s="336" t="s">
        <v>419</v>
      </c>
      <c r="G211" s="431"/>
      <c r="H211" s="335"/>
      <c r="I211" s="336" t="s">
        <v>420</v>
      </c>
      <c r="J211" s="335"/>
      <c r="K211" s="335"/>
      <c r="L211" s="311"/>
      <c r="M211" s="311"/>
      <c r="N211" s="311"/>
      <c r="P211" s="311"/>
      <c r="Q211" s="311"/>
    </row>
    <row r="212" spans="1:17">
      <c r="A212" s="388">
        <v>27</v>
      </c>
      <c r="B212" s="782" t="s">
        <v>635</v>
      </c>
      <c r="C212" s="335" t="str">
        <f>+"Appendix A Line "&amp;+'Appendix A'!A197&amp;" "&amp;$L$6&amp;" Column"</f>
        <v>Appendix A Line 130 Projected Column</v>
      </c>
      <c r="D212" s="333">
        <f>IF($L$10=0,'Appendix A'!H197,'Appendix A'!G197)</f>
        <v>2623610447.54</v>
      </c>
      <c r="E212" s="352"/>
      <c r="F212" s="1475">
        <f>IF(D$215=0,0,+D212/D$215)</f>
        <v>0.53385358140485983</v>
      </c>
      <c r="G212" s="420">
        <f>IF($L$10=0,'Appendix A'!H208,'Appendix A'!G208)</f>
        <v>4.1833921080581662E-2</v>
      </c>
      <c r="H212" s="341"/>
      <c r="I212" s="447">
        <f>F212*G212</f>
        <v>2.2333188593076786E-2</v>
      </c>
      <c r="J212" s="446" t="s">
        <v>415</v>
      </c>
      <c r="K212" s="448" t="s">
        <v>421</v>
      </c>
      <c r="L212" s="311"/>
      <c r="M212" s="311"/>
      <c r="N212" s="311"/>
      <c r="P212" s="311"/>
      <c r="Q212" s="311"/>
    </row>
    <row r="213" spans="1:17">
      <c r="A213" s="388">
        <f t="shared" si="5"/>
        <v>28</v>
      </c>
      <c r="B213" s="782" t="s">
        <v>636</v>
      </c>
      <c r="C213" s="335" t="str">
        <f>+"Appendix A Line "&amp;+'Appendix A'!A200&amp;" "&amp;$L$6&amp;" Column"</f>
        <v>Appendix A Line 133 Projected Column</v>
      </c>
      <c r="D213" s="333">
        <f>IF($L$10=0,'Appendix A'!H200,'Appendix A'!G200)</f>
        <v>31483437.649999999</v>
      </c>
      <c r="E213" s="352"/>
      <c r="F213" s="1475">
        <f>IF(D$215=0,0,+D213/D$215)</f>
        <v>6.4062658235518599E-3</v>
      </c>
      <c r="G213" s="420">
        <f>IF($L$10=0,'Appendix A'!H209,'Appendix A'!G209)</f>
        <v>0.16738396990139356</v>
      </c>
      <c r="H213" s="341"/>
      <c r="I213" s="447">
        <f>F213*G213</f>
        <v>1.0723062057897308E-3</v>
      </c>
      <c r="J213" s="335"/>
      <c r="K213" s="346"/>
      <c r="L213" s="311"/>
      <c r="M213" s="311"/>
      <c r="N213" s="311"/>
      <c r="P213" s="311"/>
      <c r="Q213" s="311"/>
    </row>
    <row r="214" spans="1:17" ht="13.8" thickBot="1">
      <c r="A214" s="388">
        <f t="shared" si="5"/>
        <v>29</v>
      </c>
      <c r="B214" s="782" t="s">
        <v>58</v>
      </c>
      <c r="C214" s="335" t="str">
        <f>+"Appendix A Line "&amp;+'Appendix A'!A202&amp;" "&amp;$L$6&amp;" Column"</f>
        <v>Appendix A Line 135 Projected Column</v>
      </c>
      <c r="D214" s="391">
        <f>IF($L$10=0,'Appendix A'!H202,'Appendix A'!G202)</f>
        <v>2259381804.2599998</v>
      </c>
      <c r="E214" s="352"/>
      <c r="F214" s="1475">
        <f>IF(D$215=0,0,+D214/D$215)</f>
        <v>0.45974015277158831</v>
      </c>
      <c r="G214" s="420">
        <f>IF($L$10=0,'Appendix A'!H210,'Appendix A'!G210)</f>
        <v>0.1082</v>
      </c>
      <c r="H214" s="346"/>
      <c r="I214" s="449">
        <f>F214*G214</f>
        <v>4.974388452988586E-2</v>
      </c>
      <c r="J214" s="335"/>
      <c r="K214" s="346"/>
      <c r="L214" s="1977" t="s">
        <v>1520</v>
      </c>
      <c r="M214" s="311"/>
      <c r="N214" s="311"/>
      <c r="P214" s="311"/>
      <c r="Q214" s="311"/>
    </row>
    <row r="215" spans="1:17">
      <c r="A215" s="388">
        <f t="shared" si="5"/>
        <v>30</v>
      </c>
      <c r="B215" s="334" t="s">
        <v>11</v>
      </c>
      <c r="C215" s="346" t="str">
        <f>+"(Sum of Lines "&amp;A212&amp;" to "&amp;A214&amp;")"</f>
        <v>(Sum of Lines 27 to 29)</v>
      </c>
      <c r="D215" s="450">
        <f>SUM(D212:D214)</f>
        <v>4914475689.4499998</v>
      </c>
      <c r="E215" s="341" t="s">
        <v>70</v>
      </c>
      <c r="F215" s="341"/>
      <c r="G215" s="335"/>
      <c r="H215" s="335"/>
      <c r="I215" s="447">
        <f>SUM(I212:I214)</f>
        <v>7.3149379328752373E-2</v>
      </c>
      <c r="J215" s="446" t="s">
        <v>415</v>
      </c>
      <c r="K215" s="346" t="s">
        <v>235</v>
      </c>
      <c r="L215" s="311"/>
      <c r="M215" s="311"/>
      <c r="N215" s="311"/>
      <c r="P215" s="311"/>
      <c r="Q215" s="311"/>
    </row>
    <row r="216" spans="1:17">
      <c r="A216" s="388"/>
      <c r="B216" s="346"/>
      <c r="C216" s="346"/>
      <c r="D216" s="346"/>
      <c r="E216" s="335"/>
      <c r="F216" s="335"/>
      <c r="G216" s="335"/>
      <c r="H216" s="335"/>
      <c r="I216" s="346"/>
      <c r="J216" s="346"/>
      <c r="K216" s="346"/>
      <c r="L216" s="311"/>
      <c r="M216" s="311"/>
      <c r="N216" s="311"/>
      <c r="P216" s="311"/>
      <c r="Q216" s="311"/>
    </row>
    <row r="217" spans="1:17">
      <c r="A217" s="388"/>
      <c r="B217" s="318" t="s">
        <v>422</v>
      </c>
      <c r="C217" s="319"/>
      <c r="D217" s="319"/>
      <c r="E217" s="319"/>
      <c r="F217" s="319"/>
      <c r="G217" s="319"/>
      <c r="H217" s="319"/>
      <c r="I217" s="319"/>
      <c r="J217" s="319"/>
      <c r="K217" s="319"/>
      <c r="L217" s="311"/>
      <c r="M217" s="311"/>
      <c r="N217" s="311"/>
      <c r="P217" s="311"/>
      <c r="Q217" s="311"/>
    </row>
    <row r="218" spans="1:17">
      <c r="A218" s="388"/>
      <c r="B218" s="318"/>
      <c r="C218" s="318"/>
      <c r="D218" s="318"/>
      <c r="E218" s="318"/>
      <c r="F218" s="318"/>
      <c r="G218" s="318"/>
      <c r="H218" s="318"/>
      <c r="I218" s="453"/>
      <c r="J218" s="356"/>
      <c r="K218" s="346"/>
      <c r="L218" s="311"/>
      <c r="M218" s="311"/>
      <c r="N218" s="311"/>
      <c r="P218" s="311"/>
      <c r="Q218" s="311"/>
    </row>
    <row r="219" spans="1:17">
      <c r="A219" s="388"/>
      <c r="B219" s="318" t="s">
        <v>423</v>
      </c>
      <c r="C219" s="319"/>
      <c r="D219" s="319"/>
      <c r="E219" s="319"/>
      <c r="F219" s="319"/>
      <c r="G219" s="451" t="s">
        <v>70</v>
      </c>
      <c r="H219" s="452"/>
      <c r="I219" s="453"/>
      <c r="J219" s="453"/>
      <c r="K219" s="346"/>
      <c r="L219" s="311"/>
      <c r="M219" s="311"/>
      <c r="N219" s="311"/>
      <c r="P219" s="311"/>
      <c r="Q219" s="311"/>
    </row>
    <row r="220" spans="1:17">
      <c r="A220" s="388">
        <f>+A215+1</f>
        <v>31</v>
      </c>
      <c r="B220" s="783" t="s">
        <v>866</v>
      </c>
      <c r="C220" s="319"/>
      <c r="D220" s="319"/>
      <c r="E220" s="346"/>
      <c r="F220" s="319"/>
      <c r="G220" s="346"/>
      <c r="H220" s="452"/>
      <c r="I220" s="454"/>
      <c r="J220" s="455"/>
      <c r="K220" s="346"/>
      <c r="L220" s="311"/>
      <c r="M220" s="311"/>
      <c r="N220" s="311"/>
      <c r="P220" s="311"/>
      <c r="Q220" s="311"/>
    </row>
    <row r="221" spans="1:17" ht="13.8" thickBot="1">
      <c r="A221" s="388">
        <f>+A220+1</f>
        <v>32</v>
      </c>
      <c r="B221" s="787" t="s">
        <v>866</v>
      </c>
      <c r="C221" s="437"/>
      <c r="D221" s="1068"/>
      <c r="E221" s="1069"/>
      <c r="F221" s="1069"/>
      <c r="G221" s="1069"/>
      <c r="H221" s="319"/>
      <c r="I221" s="456"/>
      <c r="J221" s="457"/>
      <c r="K221" s="346"/>
      <c r="N221" s="311"/>
      <c r="P221" s="311"/>
      <c r="Q221" s="311"/>
    </row>
    <row r="222" spans="1:17">
      <c r="A222" s="388">
        <f>+A221+1</f>
        <v>33</v>
      </c>
      <c r="B222" s="358" t="s">
        <v>118</v>
      </c>
      <c r="C222" s="346" t="str">
        <f>+"(Sum of Line "&amp;A220&amp;" + Line "&amp;A221&amp;")"</f>
        <v>(Sum of Line 31 + Line 32)</v>
      </c>
      <c r="D222" s="346"/>
      <c r="E222" s="319"/>
      <c r="F222" s="319"/>
      <c r="G222" s="319"/>
      <c r="H222" s="319"/>
      <c r="I222" s="1249">
        <f>I220+I221</f>
        <v>0</v>
      </c>
      <c r="J222" s="455"/>
      <c r="K222" s="346"/>
      <c r="N222" s="311"/>
      <c r="P222" s="311"/>
      <c r="Q222" s="311"/>
    </row>
    <row r="223" spans="1:17">
      <c r="A223" s="388"/>
      <c r="B223" s="358"/>
      <c r="C223" s="325"/>
      <c r="D223" s="346"/>
      <c r="E223" s="319"/>
      <c r="F223" s="319"/>
      <c r="G223" s="319"/>
      <c r="H223" s="319"/>
      <c r="I223" s="458"/>
      <c r="J223" s="453"/>
      <c r="K223" s="346"/>
      <c r="N223" s="311"/>
      <c r="P223" s="311"/>
      <c r="Q223" s="311"/>
    </row>
    <row r="224" spans="1:17">
      <c r="A224" s="388">
        <f>+A222+1</f>
        <v>34</v>
      </c>
      <c r="B224" s="1050" t="s">
        <v>768</v>
      </c>
      <c r="C224" s="325" t="str">
        <f>+"Appendix A Line "&amp;+'Appendix A'!A273&amp;" "&amp;$L$6&amp;" Column"</f>
        <v>Appendix A Line 180 Projected Column</v>
      </c>
      <c r="D224" s="352"/>
      <c r="E224" s="319"/>
      <c r="F224" s="319"/>
      <c r="G224" s="459"/>
      <c r="H224" s="319"/>
      <c r="I224" s="333">
        <f>IF($L$10=0,'Appendix A'!H273,'Appendix A'!G273)</f>
        <v>52133.982604891069</v>
      </c>
      <c r="J224" s="453"/>
      <c r="K224" s="460"/>
      <c r="N224" s="311"/>
      <c r="P224" s="311"/>
      <c r="Q224" s="311"/>
    </row>
    <row r="225" spans="1:17">
      <c r="A225" s="388"/>
      <c r="B225" s="1050"/>
      <c r="C225" s="325"/>
      <c r="D225" s="352"/>
      <c r="E225" s="319"/>
      <c r="F225" s="319"/>
      <c r="G225" s="459"/>
      <c r="H225" s="319"/>
      <c r="I225" s="333"/>
      <c r="J225" s="453"/>
      <c r="K225" s="460"/>
      <c r="N225" s="311"/>
      <c r="P225" s="311"/>
      <c r="Q225" s="311"/>
    </row>
    <row r="226" spans="1:17">
      <c r="A226" s="388"/>
      <c r="B226" s="1050" t="s">
        <v>803</v>
      </c>
      <c r="C226" s="319"/>
      <c r="D226" s="319"/>
      <c r="E226" s="319"/>
      <c r="F226" s="319"/>
      <c r="G226" s="319"/>
      <c r="H226" s="319"/>
      <c r="I226" s="458"/>
      <c r="J226" s="453"/>
      <c r="K226" s="460"/>
      <c r="N226" s="311"/>
      <c r="P226" s="311"/>
      <c r="Q226" s="311"/>
    </row>
    <row r="227" spans="1:17">
      <c r="A227" s="388">
        <f>+A224+1</f>
        <v>35</v>
      </c>
      <c r="B227" s="782" t="s">
        <v>824</v>
      </c>
      <c r="C227" s="335" t="str">
        <f>+"Appendix A Line "&amp;+'Appendix A'!A282&amp;" "&amp;$L$6&amp;" Column"</f>
        <v>Appendix A Line 187 Projected Column</v>
      </c>
      <c r="D227" s="352"/>
      <c r="E227" s="335"/>
      <c r="F227" s="335"/>
      <c r="G227" s="335"/>
      <c r="H227" s="335"/>
      <c r="I227" s="333">
        <f>IF($L$10=0,'Appendix A'!H282,'Appendix A'!G282)</f>
        <v>94324217.693687141</v>
      </c>
      <c r="J227" s="462"/>
      <c r="K227" s="461"/>
      <c r="N227" s="311"/>
      <c r="P227" s="311"/>
      <c r="Q227" s="311"/>
    </row>
    <row r="228" spans="1:17">
      <c r="A228" s="388">
        <f>+A227+1</f>
        <v>36</v>
      </c>
      <c r="B228" s="783" t="s">
        <v>828</v>
      </c>
      <c r="C228" s="335" t="str">
        <f>+"Appendix A Line "&amp;+'Appendix A'!A283&amp;" "&amp;$L$6&amp;" Column"</f>
        <v>Appendix A Line 188 Projected Column</v>
      </c>
      <c r="D228" s="335"/>
      <c r="E228" s="335"/>
      <c r="F228" s="335"/>
      <c r="G228" s="335"/>
      <c r="H228" s="335"/>
      <c r="I228" s="333">
        <f>IF($L$10=0,'Appendix A'!H283,'Appendix A'!G283)</f>
        <v>93630936.979606971</v>
      </c>
      <c r="J228" s="462"/>
      <c r="K228" s="461"/>
      <c r="N228" s="311"/>
      <c r="P228" s="311"/>
      <c r="Q228" s="311"/>
    </row>
    <row r="229" spans="1:17">
      <c r="A229" s="388" t="s">
        <v>684</v>
      </c>
      <c r="B229" s="783" t="s">
        <v>769</v>
      </c>
      <c r="C229" s="335" t="str">
        <f>+"Appendix A Line "&amp;+'Appendix A'!A284&amp;" "&amp;$L$6&amp;" Column"</f>
        <v>Appendix A Line 189 Projected Column</v>
      </c>
      <c r="D229" s="335"/>
      <c r="E229" s="335"/>
      <c r="F229" s="335"/>
      <c r="G229" s="335"/>
      <c r="H229" s="335"/>
      <c r="I229" s="333">
        <f>IF($L$10=0,'Appendix A'!H284,'Appendix A'!G284)</f>
        <v>0</v>
      </c>
      <c r="J229" s="462"/>
      <c r="K229" s="461"/>
      <c r="N229" s="311"/>
      <c r="P229" s="311"/>
      <c r="Q229" s="311"/>
    </row>
    <row r="230" spans="1:17" ht="13.8" thickBot="1">
      <c r="A230" s="388" t="s">
        <v>685</v>
      </c>
      <c r="B230" s="787" t="s">
        <v>770</v>
      </c>
      <c r="C230" s="437" t="str">
        <f>+"Appendix A Line "&amp;+'Appendix A'!A285&amp;" "&amp;$L$6&amp;" Column"</f>
        <v>Appendix A Line 190 Projected Column</v>
      </c>
      <c r="D230" s="437"/>
      <c r="E230" s="437"/>
      <c r="F230" s="437"/>
      <c r="G230" s="437"/>
      <c r="H230" s="335"/>
      <c r="I230" s="456">
        <f>IF($L$10=0,'Appendix A'!H285,'Appendix A'!G285)</f>
        <v>0</v>
      </c>
      <c r="J230" s="462"/>
      <c r="K230" s="461"/>
      <c r="N230" s="311"/>
      <c r="P230" s="311"/>
      <c r="Q230" s="311"/>
    </row>
    <row r="231" spans="1:17">
      <c r="A231" s="388">
        <f>+A228+1</f>
        <v>37</v>
      </c>
      <c r="B231" s="921" t="s">
        <v>118</v>
      </c>
      <c r="C231" s="335" t="str">
        <f>+"(Line "&amp;A227&amp;" - Line "&amp;A228&amp;" - Line "&amp;A229&amp;" - Line "&amp;A230&amp;")"</f>
        <v>(Line 35 - Line 36 - Line 36a - Line 36b)</v>
      </c>
      <c r="D231" s="335"/>
      <c r="E231" s="335"/>
      <c r="F231" s="335"/>
      <c r="G231" s="335"/>
      <c r="H231" s="319"/>
      <c r="I231" s="463">
        <f>+I227-I228-I229-I230</f>
        <v>693280.7140801698</v>
      </c>
      <c r="J231" s="462"/>
      <c r="K231" s="462"/>
      <c r="N231" s="311"/>
      <c r="P231" s="311"/>
      <c r="Q231" s="311"/>
    </row>
    <row r="232" spans="1:17">
      <c r="A232" s="388"/>
      <c r="B232" s="352"/>
      <c r="C232" s="388"/>
      <c r="D232" s="335"/>
      <c r="E232" s="335"/>
      <c r="F232" s="335"/>
      <c r="G232" s="335"/>
      <c r="H232" s="319"/>
      <c r="I232" s="464"/>
      <c r="J232" s="462"/>
      <c r="K232" s="462"/>
      <c r="N232" s="311"/>
      <c r="P232" s="311"/>
      <c r="Q232" s="311"/>
    </row>
    <row r="233" spans="1:17">
      <c r="A233" s="352"/>
      <c r="B233" s="352" t="s">
        <v>424</v>
      </c>
      <c r="C233" s="352"/>
      <c r="D233" s="352"/>
      <c r="E233" s="352"/>
      <c r="F233" s="352"/>
      <c r="G233" s="352"/>
      <c r="H233" s="352"/>
      <c r="I233" s="352"/>
      <c r="J233" s="352"/>
      <c r="K233" s="352"/>
      <c r="N233" s="311"/>
      <c r="P233" s="311"/>
      <c r="Q233" s="311"/>
    </row>
    <row r="234" spans="1:17" ht="15.6">
      <c r="A234" s="388">
        <f>+A231+1</f>
        <v>38</v>
      </c>
      <c r="B234" s="788" t="s">
        <v>425</v>
      </c>
      <c r="C234" s="335" t="str">
        <f>+"Appendix A Line "&amp;+'Appendix A'!A222&amp;" "&amp;$L$6&amp;" Column"</f>
        <v>Appendix A Line 147 Projected Column</v>
      </c>
      <c r="D234" s="420">
        <f>IF($L$10=0,'Appendix A'!H222,'Appendix A'!G222)</f>
        <v>0.35</v>
      </c>
      <c r="E234" s="465"/>
      <c r="F234" s="352"/>
      <c r="G234" s="465"/>
      <c r="H234" s="466"/>
      <c r="I234" s="466"/>
      <c r="J234" s="466"/>
      <c r="K234" s="466"/>
      <c r="N234" s="311"/>
      <c r="P234" s="311"/>
      <c r="Q234" s="311"/>
    </row>
    <row r="235" spans="1:17" ht="15.6">
      <c r="A235" s="388">
        <f>+A234+1</f>
        <v>39</v>
      </c>
      <c r="B235" s="788" t="s">
        <v>426</v>
      </c>
      <c r="C235" s="335" t="str">
        <f>+"Appendix A Line "&amp;+'Appendix A'!A223&amp;" "&amp;$L$6&amp;" Column"</f>
        <v>Appendix A Line 148 Projected Column</v>
      </c>
      <c r="D235" s="420">
        <f>IF($L$10=0,'Appendix A'!H223,'Appendix A'!G223)</f>
        <v>6.5000000000000002E-2</v>
      </c>
      <c r="E235" s="352"/>
      <c r="F235" s="895" t="s">
        <v>427</v>
      </c>
      <c r="G235" s="465"/>
      <c r="H235" s="465"/>
      <c r="I235" s="465"/>
      <c r="J235" s="465"/>
      <c r="K235" s="465"/>
      <c r="L235" s="467"/>
      <c r="M235" s="467"/>
      <c r="N235" s="311"/>
      <c r="P235" s="311"/>
      <c r="Q235" s="311"/>
    </row>
    <row r="236" spans="1:17" ht="15.6">
      <c r="A236" s="388">
        <f>+A235+1</f>
        <v>40</v>
      </c>
      <c r="B236" s="788" t="s">
        <v>428</v>
      </c>
      <c r="C236" s="335" t="str">
        <f>+"Appendix A Line "&amp;+'Appendix A'!A224&amp;" "&amp;$L$6&amp;" Column"</f>
        <v>Appendix A Line 149 Projected Column</v>
      </c>
      <c r="D236" s="420">
        <f>IF($L$10=0,'Appendix A'!H224,'Appendix A'!G224)</f>
        <v>0</v>
      </c>
      <c r="E236" s="352"/>
      <c r="F236" s="895" t="s">
        <v>640</v>
      </c>
      <c r="G236" s="465"/>
      <c r="H236" s="465"/>
      <c r="I236" s="465"/>
      <c r="J236" s="465"/>
      <c r="K236" s="465"/>
      <c r="L236" s="468"/>
      <c r="M236" s="468"/>
      <c r="N236" s="311"/>
      <c r="P236" s="311"/>
      <c r="Q236" s="311"/>
    </row>
    <row r="237" spans="1:17" ht="8.25" customHeight="1">
      <c r="A237" s="352"/>
      <c r="B237" s="352"/>
      <c r="C237" s="352"/>
      <c r="D237" s="352"/>
      <c r="E237" s="352"/>
      <c r="F237" s="352"/>
      <c r="G237" s="352"/>
      <c r="H237" s="352"/>
      <c r="I237" s="352"/>
      <c r="J237" s="352"/>
      <c r="L237" s="468"/>
      <c r="M237" s="468"/>
    </row>
    <row r="238" spans="1:17">
      <c r="A238" s="352" t="s">
        <v>316</v>
      </c>
      <c r="B238" s="352"/>
      <c r="C238" s="352"/>
      <c r="D238" s="352"/>
      <c r="E238" s="352"/>
      <c r="F238" s="352"/>
      <c r="G238" s="352"/>
      <c r="H238" s="352"/>
      <c r="I238" s="352"/>
      <c r="J238" s="352"/>
    </row>
    <row r="239" spans="1:17">
      <c r="A239" s="1250" t="s">
        <v>176</v>
      </c>
      <c r="B239" s="352" t="s">
        <v>867</v>
      </c>
      <c r="C239" s="352"/>
      <c r="D239" s="352"/>
      <c r="E239" s="352"/>
      <c r="F239" s="352"/>
      <c r="G239" s="352"/>
      <c r="H239" s="352"/>
      <c r="I239" s="352"/>
      <c r="J239" s="352"/>
    </row>
    <row r="240" spans="1:17">
      <c r="A240" s="352"/>
      <c r="B240" s="352"/>
      <c r="C240" s="352"/>
      <c r="D240" s="352"/>
      <c r="E240" s="352"/>
      <c r="F240" s="352"/>
      <c r="G240" s="352"/>
      <c r="H240" s="352"/>
      <c r="I240" s="352"/>
      <c r="J240" s="352"/>
    </row>
  </sheetData>
  <mergeCells count="4">
    <mergeCell ref="A186:K186"/>
    <mergeCell ref="C137:C138"/>
    <mergeCell ref="L4:O5"/>
    <mergeCell ref="F63:G63"/>
  </mergeCells>
  <dataValidations count="1">
    <dataValidation type="list" allowBlank="1" showInputMessage="1" showErrorMessage="1" sqref="L6">
      <formula1>$L$8:$L$9</formula1>
    </dataValidation>
  </dataValidations>
  <pageMargins left="0.5" right="0.5" top="0.7" bottom="0.7" header="0.5" footer="0.5"/>
  <pageSetup scale="60" fitToHeight="6" orientation="landscape" r:id="rId1"/>
  <rowBreaks count="3" manualBreakCount="3">
    <brk id="53" max="10" man="1"/>
    <brk id="113" max="10" man="1"/>
    <brk id="175" max="10" man="1"/>
  </rowBreaks>
  <ignoredErrors>
    <ignoredError sqref="B9:I9 B61:I61 B184:I184 B121:I121" numberStoredAsText="1"/>
    <ignoredError sqref="A190:A238 A240:A248 A15:A37 B39 A46:A52 A67:A88 A89:A98 A99:A112 A127:A158 A159:A162 A167:A174 I230 I51:I52 A38:A42 I28" unlockedFormula="1"/>
    <ignoredError sqref="A239" numberStoredAsText="1" unlockedFormula="1"/>
    <ignoredError sqref="G128:I129 G130:I130"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16"/>
  <sheetViews>
    <sheetView zoomScaleNormal="100" workbookViewId="0">
      <selection sqref="A1:B1"/>
    </sheetView>
  </sheetViews>
  <sheetFormatPr defaultColWidth="9.109375" defaultRowHeight="13.2"/>
  <cols>
    <col min="1" max="1" width="4.33203125" style="836" bestFit="1" customWidth="1"/>
    <col min="2" max="2" width="66.88671875" style="836" customWidth="1"/>
    <col min="3" max="3" width="17.88671875" style="836" customWidth="1"/>
    <col min="4" max="4" width="11.5546875" style="836" bestFit="1" customWidth="1"/>
    <col min="5" max="16384" width="9.109375" style="836"/>
  </cols>
  <sheetData>
    <row r="1" spans="1:11">
      <c r="A1" s="1918" t="str">
        <f>+'MISO Cover'!C6</f>
        <v>Entergy Arkansas, Inc.</v>
      </c>
      <c r="B1" s="1918"/>
      <c r="C1" s="1918"/>
      <c r="D1" s="838"/>
    </row>
    <row r="2" spans="1:11">
      <c r="A2" s="1920" t="s">
        <v>779</v>
      </c>
      <c r="B2" s="1920"/>
      <c r="C2" s="1920"/>
      <c r="D2" s="838"/>
    </row>
    <row r="3" spans="1:11">
      <c r="A3" s="1921" t="str">
        <f>+'MISO Cover'!K4</f>
        <v>For  the 12 Months Ended 12/31/2016</v>
      </c>
      <c r="B3" s="1921"/>
      <c r="C3" s="1921"/>
      <c r="D3" s="839"/>
    </row>
    <row r="4" spans="1:11">
      <c r="B4" s="840"/>
      <c r="C4" s="840"/>
      <c r="D4" s="840"/>
    </row>
    <row r="5" spans="1:11">
      <c r="B5" s="801"/>
      <c r="C5" s="801"/>
      <c r="D5" s="801"/>
    </row>
    <row r="6" spans="1:11" s="837" customFormat="1" ht="15">
      <c r="A6" s="548" t="s">
        <v>290</v>
      </c>
      <c r="B6" s="568" t="s">
        <v>72</v>
      </c>
      <c r="C6" s="568" t="s">
        <v>119</v>
      </c>
      <c r="D6" s="568"/>
    </row>
    <row r="7" spans="1:11" ht="15">
      <c r="A7" s="548"/>
      <c r="B7" s="1919"/>
      <c r="C7" s="1919"/>
    </row>
    <row r="8" spans="1:11" s="548" customFormat="1" ht="15">
      <c r="A8" s="953"/>
      <c r="B8" s="1478" t="s">
        <v>117</v>
      </c>
      <c r="C8" s="1479" t="s">
        <v>153</v>
      </c>
    </row>
    <row r="9" spans="1:11" ht="15">
      <c r="A9" s="953">
        <v>1</v>
      </c>
      <c r="B9" s="954" t="s">
        <v>821</v>
      </c>
      <c r="C9" s="208">
        <v>-788521</v>
      </c>
      <c r="D9" s="548"/>
      <c r="E9" s="836" t="s">
        <v>1822</v>
      </c>
    </row>
    <row r="10" spans="1:11" ht="15">
      <c r="A10" s="953">
        <f>+A9+1</f>
        <v>2</v>
      </c>
      <c r="B10" s="954" t="s">
        <v>869</v>
      </c>
      <c r="C10" s="277">
        <v>-788521</v>
      </c>
      <c r="D10" s="548"/>
    </row>
    <row r="11" spans="1:11">
      <c r="A11" s="953">
        <f>+A10+1</f>
        <v>3</v>
      </c>
      <c r="B11" s="954" t="s">
        <v>870</v>
      </c>
      <c r="C11" s="1219">
        <f>+C9-C10</f>
        <v>0</v>
      </c>
      <c r="E11" s="1115" t="s">
        <v>910</v>
      </c>
    </row>
    <row r="12" spans="1:11">
      <c r="A12" s="953"/>
      <c r="B12" s="954"/>
      <c r="C12" s="772"/>
    </row>
    <row r="13" spans="1:11">
      <c r="A13" s="953"/>
      <c r="B13" s="954"/>
      <c r="C13" s="772"/>
    </row>
    <row r="14" spans="1:11" s="955" customFormat="1">
      <c r="A14" s="955" t="s">
        <v>316</v>
      </c>
    </row>
    <row r="15" spans="1:11" s="955" customFormat="1" ht="44.4" customHeight="1">
      <c r="A15" s="956" t="s">
        <v>176</v>
      </c>
      <c r="B15" s="1917" t="s">
        <v>1178</v>
      </c>
      <c r="C15" s="1916"/>
    </row>
    <row r="16" spans="1:11" s="955" customFormat="1" ht="27" customHeight="1">
      <c r="A16" s="956" t="s">
        <v>338</v>
      </c>
      <c r="B16" s="1916" t="str">
        <f>+"See Appendix A Note "&amp;'Appendix A'!A309&amp;".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1916"/>
      <c r="D16" s="1201"/>
      <c r="E16" s="1201"/>
      <c r="F16" s="1201"/>
      <c r="G16" s="1201"/>
      <c r="H16" s="1201"/>
      <c r="I16" s="1201"/>
      <c r="J16" s="1201"/>
      <c r="K16" s="1201"/>
    </row>
  </sheetData>
  <mergeCells count="6">
    <mergeCell ref="B16:C16"/>
    <mergeCell ref="B15:C15"/>
    <mergeCell ref="A1:C1"/>
    <mergeCell ref="B7:C7"/>
    <mergeCell ref="A2:C2"/>
    <mergeCell ref="A3:C3"/>
  </mergeCells>
  <phoneticPr fontId="104" type="noConversion"/>
  <printOptions horizontalCentered="1"/>
  <pageMargins left="0.7" right="0.7" top="0.7" bottom="0.7" header="0.3" footer="0.5"/>
  <pageSetup orientation="portrait" r:id="rId1"/>
  <headerFooter>
    <oddFooter>&amp;R&amp;A</oddFooter>
  </headerFooter>
  <ignoredErrors>
    <ignoredError sqref="A15:A1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1"/>
  <sheetViews>
    <sheetView zoomScale="90" zoomScaleNormal="90" workbookViewId="0">
      <selection sqref="A1:B1"/>
    </sheetView>
  </sheetViews>
  <sheetFormatPr defaultColWidth="8.88671875" defaultRowHeight="13.8"/>
  <cols>
    <col min="1" max="1" width="4.88671875" style="228" customWidth="1"/>
    <col min="2" max="2" width="51.109375" style="228" customWidth="1"/>
    <col min="3" max="3" width="13.33203125" style="228" customWidth="1"/>
    <col min="4" max="4" width="13.33203125" style="540" customWidth="1"/>
    <col min="5" max="5" width="17.6640625" style="540" customWidth="1"/>
    <col min="6" max="7" width="13.33203125" style="540" customWidth="1"/>
    <col min="8" max="8" width="12.44140625" style="232" customWidth="1"/>
    <col min="9" max="16384" width="8.88671875" style="228"/>
  </cols>
  <sheetData>
    <row r="1" spans="1:9">
      <c r="A1" s="1890" t="str">
        <f>+'MISO Cover'!C6</f>
        <v>Entergy Arkansas, Inc.</v>
      </c>
      <c r="B1" s="1890"/>
      <c r="C1" s="1890"/>
      <c r="D1" s="1890"/>
      <c r="E1" s="1890"/>
      <c r="F1" s="1890"/>
      <c r="G1" s="1890"/>
      <c r="H1" s="1890"/>
      <c r="I1" s="842"/>
    </row>
    <row r="2" spans="1:9" s="229" customFormat="1">
      <c r="A2" s="1891" t="s">
        <v>687</v>
      </c>
      <c r="B2" s="1891"/>
      <c r="C2" s="1891"/>
      <c r="D2" s="1891"/>
      <c r="E2" s="1891"/>
      <c r="F2" s="1891"/>
      <c r="G2" s="1891"/>
      <c r="H2" s="1891"/>
      <c r="I2" s="179"/>
    </row>
    <row r="3" spans="1:9" s="229" customFormat="1">
      <c r="A3" s="1891" t="str">
        <f>+'MISO Cover'!K4</f>
        <v>For  the 12 Months Ended 12/31/2016</v>
      </c>
      <c r="B3" s="1891"/>
      <c r="C3" s="1891"/>
      <c r="D3" s="1891"/>
      <c r="E3" s="1891"/>
      <c r="F3" s="1891"/>
      <c r="G3" s="1891"/>
      <c r="H3" s="1891"/>
      <c r="I3" s="179"/>
    </row>
    <row r="4" spans="1:9" s="229" customFormat="1">
      <c r="A4" s="718"/>
      <c r="B4" s="718"/>
      <c r="C4" s="718"/>
      <c r="D4" s="718"/>
      <c r="E4" s="718"/>
      <c r="F4" s="718"/>
      <c r="G4" s="718"/>
      <c r="H4" s="718"/>
      <c r="I4" s="179"/>
    </row>
    <row r="5" spans="1:9" s="229" customFormat="1">
      <c r="A5" s="538" t="s">
        <v>290</v>
      </c>
      <c r="B5" s="538" t="s">
        <v>72</v>
      </c>
      <c r="C5" s="538" t="s">
        <v>119</v>
      </c>
      <c r="D5" s="617" t="s">
        <v>60</v>
      </c>
      <c r="E5" s="617" t="s">
        <v>73</v>
      </c>
      <c r="F5" s="524" t="s">
        <v>71</v>
      </c>
      <c r="G5" s="524" t="s">
        <v>161</v>
      </c>
      <c r="H5" s="542" t="s">
        <v>74</v>
      </c>
      <c r="I5" s="179"/>
    </row>
    <row r="6" spans="1:9">
      <c r="A6" s="601"/>
      <c r="B6" s="570"/>
      <c r="C6" s="570"/>
      <c r="D6" s="618"/>
      <c r="E6" s="615"/>
      <c r="F6" s="615"/>
      <c r="G6" s="615"/>
      <c r="H6" s="570"/>
      <c r="I6" s="596"/>
    </row>
    <row r="7" spans="1:9" ht="21.6" customHeight="1">
      <c r="A7" s="896">
        <v>1</v>
      </c>
      <c r="B7" s="1547" t="s">
        <v>12</v>
      </c>
      <c r="C7" s="1225" t="s">
        <v>153</v>
      </c>
      <c r="D7" s="1548" t="s">
        <v>750</v>
      </c>
      <c r="E7" s="1548" t="s">
        <v>752</v>
      </c>
      <c r="F7" s="1544" t="s">
        <v>751</v>
      </c>
      <c r="G7" s="1544" t="s">
        <v>753</v>
      </c>
      <c r="H7" s="1225" t="s">
        <v>145</v>
      </c>
      <c r="I7" s="596"/>
    </row>
    <row r="8" spans="1:9">
      <c r="A8" s="897">
        <f>+A7+0.01</f>
        <v>1.01</v>
      </c>
      <c r="B8" s="726" t="s">
        <v>268</v>
      </c>
      <c r="C8" s="199">
        <v>-32347202.590000007</v>
      </c>
      <c r="D8" s="1283">
        <f>+C8</f>
        <v>-32347202.590000007</v>
      </c>
      <c r="E8" s="1284"/>
      <c r="F8" s="1284"/>
      <c r="G8" s="1284"/>
      <c r="H8" s="1418" t="s">
        <v>1183</v>
      </c>
      <c r="I8" s="1285"/>
    </row>
    <row r="9" spans="1:9">
      <c r="A9" s="897">
        <f t="shared" ref="A9:A33" si="0">+A8+0.01</f>
        <v>1.02</v>
      </c>
      <c r="B9" s="1366" t="s">
        <v>13</v>
      </c>
      <c r="C9" s="199">
        <v>3584826</v>
      </c>
      <c r="D9" s="1286"/>
      <c r="E9" s="1284"/>
      <c r="F9" s="1284"/>
      <c r="G9" s="1284">
        <f>+C9</f>
        <v>3584826</v>
      </c>
      <c r="H9" s="1415" t="s">
        <v>1184</v>
      </c>
      <c r="I9" s="1285"/>
    </row>
    <row r="10" spans="1:9">
      <c r="A10" s="897">
        <f t="shared" si="0"/>
        <v>1.03</v>
      </c>
      <c r="B10" s="1366" t="s">
        <v>14</v>
      </c>
      <c r="C10" s="199">
        <v>22887</v>
      </c>
      <c r="D10" s="1286"/>
      <c r="E10" s="1284"/>
      <c r="F10" s="1284"/>
      <c r="G10" s="1284">
        <f>+C10</f>
        <v>22887</v>
      </c>
      <c r="H10" s="1415" t="s">
        <v>1185</v>
      </c>
      <c r="I10" s="1285"/>
    </row>
    <row r="11" spans="1:9">
      <c r="A11" s="897">
        <f t="shared" si="0"/>
        <v>1.04</v>
      </c>
      <c r="B11" s="1366" t="s">
        <v>20</v>
      </c>
      <c r="C11" s="199">
        <v>8520</v>
      </c>
      <c r="D11" s="1286"/>
      <c r="E11" s="1284"/>
      <c r="F11" s="1284">
        <f>+C11</f>
        <v>8520</v>
      </c>
      <c r="G11" s="1284"/>
      <c r="H11" s="1415" t="s">
        <v>1186</v>
      </c>
      <c r="I11" s="1285"/>
    </row>
    <row r="12" spans="1:9">
      <c r="A12" s="897">
        <f t="shared" si="0"/>
        <v>1.05</v>
      </c>
      <c r="B12" s="1365" t="s">
        <v>269</v>
      </c>
      <c r="C12" s="199">
        <v>-432034.33999999915</v>
      </c>
      <c r="D12" s="1283">
        <f>+C12</f>
        <v>-432034.33999999915</v>
      </c>
      <c r="E12" s="1284"/>
      <c r="F12" s="1284"/>
      <c r="G12" s="1284"/>
      <c r="H12" s="1418" t="s">
        <v>1187</v>
      </c>
      <c r="I12" s="1285"/>
    </row>
    <row r="13" spans="1:9" s="230" customFormat="1">
      <c r="A13" s="897">
        <f t="shared" si="0"/>
        <v>1.06</v>
      </c>
      <c r="B13" s="1366" t="s">
        <v>15</v>
      </c>
      <c r="C13" s="199">
        <v>130901</v>
      </c>
      <c r="D13" s="1286"/>
      <c r="E13" s="1284"/>
      <c r="F13" s="1284"/>
      <c r="G13" s="1284">
        <f>+C13</f>
        <v>130901</v>
      </c>
      <c r="H13" s="1415" t="s">
        <v>1188</v>
      </c>
      <c r="I13" s="1287"/>
    </row>
    <row r="14" spans="1:9" s="230" customFormat="1">
      <c r="A14" s="897">
        <f t="shared" si="0"/>
        <v>1.07</v>
      </c>
      <c r="B14" s="1366" t="s">
        <v>21</v>
      </c>
      <c r="C14" s="199">
        <v>641412.29</v>
      </c>
      <c r="D14" s="1286"/>
      <c r="E14" s="1284"/>
      <c r="F14" s="1284">
        <f>+C14</f>
        <v>641412.29</v>
      </c>
      <c r="G14" s="1284"/>
      <c r="H14" s="1415" t="s">
        <v>1189</v>
      </c>
      <c r="I14" s="1287"/>
    </row>
    <row r="15" spans="1:9">
      <c r="A15" s="897">
        <f t="shared" si="0"/>
        <v>1.08</v>
      </c>
      <c r="B15" s="1366" t="s">
        <v>22</v>
      </c>
      <c r="C15" s="199">
        <v>3386669.54</v>
      </c>
      <c r="D15" s="1283">
        <f>+C15</f>
        <v>3386669.54</v>
      </c>
      <c r="E15" s="1284"/>
      <c r="F15" s="1284"/>
      <c r="G15" s="1284"/>
      <c r="H15" s="1415" t="s">
        <v>1190</v>
      </c>
      <c r="I15" s="1285"/>
    </row>
    <row r="16" spans="1:9">
      <c r="A16" s="897">
        <f t="shared" si="0"/>
        <v>1.0900000000000001</v>
      </c>
      <c r="B16" s="1366" t="s">
        <v>17</v>
      </c>
      <c r="C16" s="199">
        <v>0</v>
      </c>
      <c r="D16" s="1283">
        <f>+C16</f>
        <v>0</v>
      </c>
      <c r="E16" s="1284"/>
      <c r="F16" s="1284"/>
      <c r="G16" s="1284"/>
      <c r="H16" s="1415" t="s">
        <v>1191</v>
      </c>
      <c r="I16" s="1285"/>
    </row>
    <row r="17" spans="1:15">
      <c r="A17" s="897">
        <f t="shared" si="0"/>
        <v>1.1000000000000001</v>
      </c>
      <c r="B17" s="1366" t="s">
        <v>16</v>
      </c>
      <c r="C17" s="199">
        <v>76138</v>
      </c>
      <c r="D17" s="1283">
        <f>+C17</f>
        <v>76138</v>
      </c>
      <c r="E17" s="1284"/>
      <c r="F17" s="1284"/>
      <c r="G17" s="1284"/>
      <c r="H17" s="1415" t="s">
        <v>1192</v>
      </c>
      <c r="I17" s="1285"/>
    </row>
    <row r="18" spans="1:15">
      <c r="A18" s="897">
        <f t="shared" si="0"/>
        <v>1.1100000000000001</v>
      </c>
      <c r="B18" s="1366" t="s">
        <v>23</v>
      </c>
      <c r="C18" s="199">
        <v>0</v>
      </c>
      <c r="D18" s="1258">
        <f>+C18</f>
        <v>0</v>
      </c>
      <c r="E18" s="1288"/>
      <c r="F18" s="1288"/>
      <c r="G18" s="1284"/>
      <c r="H18" s="1415" t="s">
        <v>1193</v>
      </c>
      <c r="I18" s="1285"/>
    </row>
    <row r="19" spans="1:15">
      <c r="A19" s="897">
        <f t="shared" si="0"/>
        <v>1.1200000000000001</v>
      </c>
      <c r="B19" s="1366" t="s">
        <v>18</v>
      </c>
      <c r="C19" s="199">
        <v>119</v>
      </c>
      <c r="D19" s="1283">
        <f>+C19</f>
        <v>119</v>
      </c>
      <c r="E19" s="1284"/>
      <c r="F19" s="1284"/>
      <c r="G19" s="1284"/>
      <c r="H19" s="1415" t="s">
        <v>1194</v>
      </c>
      <c r="I19" s="1285"/>
    </row>
    <row r="20" spans="1:15">
      <c r="A20" s="897">
        <f t="shared" si="0"/>
        <v>1.1300000000000001</v>
      </c>
      <c r="B20" s="1366" t="s">
        <v>275</v>
      </c>
      <c r="C20" s="199">
        <v>34151446.290000007</v>
      </c>
      <c r="D20" s="1286"/>
      <c r="E20" s="1284"/>
      <c r="F20" s="1284">
        <f>+C20</f>
        <v>34151446.290000007</v>
      </c>
      <c r="G20" s="1284"/>
      <c r="H20" s="1415" t="s">
        <v>1195</v>
      </c>
      <c r="I20" s="1285"/>
    </row>
    <row r="21" spans="1:15">
      <c r="A21" s="897">
        <f t="shared" si="0"/>
        <v>1.1400000000000001</v>
      </c>
      <c r="B21" s="1366" t="s">
        <v>1394</v>
      </c>
      <c r="C21" s="199">
        <v>39888534.579999998</v>
      </c>
      <c r="D21" s="1283">
        <f>+C21</f>
        <v>39888534.579999998</v>
      </c>
      <c r="E21" s="1284"/>
      <c r="F21" s="1284"/>
      <c r="G21" s="1284"/>
      <c r="H21" s="1415" t="s">
        <v>1196</v>
      </c>
      <c r="I21" s="1285"/>
    </row>
    <row r="22" spans="1:15">
      <c r="A22" s="897">
        <f t="shared" si="0"/>
        <v>1.1500000000000001</v>
      </c>
      <c r="B22" s="1366" t="s">
        <v>19</v>
      </c>
      <c r="C22" s="199">
        <v>94143.180000000008</v>
      </c>
      <c r="D22" s="1286"/>
      <c r="E22" s="1284"/>
      <c r="F22" s="1284">
        <f>+C22</f>
        <v>94143.180000000008</v>
      </c>
      <c r="G22" s="1284"/>
      <c r="H22" s="1415" t="s">
        <v>1197</v>
      </c>
      <c r="I22" s="1285"/>
    </row>
    <row r="23" spans="1:15">
      <c r="A23" s="897">
        <f t="shared" si="0"/>
        <v>1.1600000000000001</v>
      </c>
      <c r="B23" s="1366" t="s">
        <v>24</v>
      </c>
      <c r="C23" s="199">
        <v>0</v>
      </c>
      <c r="D23" s="1286">
        <f>+C23</f>
        <v>0</v>
      </c>
      <c r="E23" s="1284"/>
      <c r="F23" s="1284"/>
      <c r="G23" s="1284"/>
      <c r="H23" s="1415" t="s">
        <v>1198</v>
      </c>
      <c r="I23" s="1285"/>
    </row>
    <row r="24" spans="1:15">
      <c r="A24" s="897">
        <f t="shared" si="0"/>
        <v>1.1700000000000002</v>
      </c>
      <c r="B24" s="1366" t="s">
        <v>908</v>
      </c>
      <c r="C24" s="199">
        <v>0</v>
      </c>
      <c r="D24" s="1286">
        <f>+C24</f>
        <v>0</v>
      </c>
      <c r="E24" s="1284"/>
      <c r="F24" s="1284"/>
      <c r="G24" s="1284"/>
      <c r="H24" s="1415" t="s">
        <v>1199</v>
      </c>
      <c r="I24" s="1285"/>
    </row>
    <row r="25" spans="1:15">
      <c r="A25" s="897">
        <f t="shared" si="0"/>
        <v>1.1800000000000002</v>
      </c>
      <c r="B25" s="1367" t="str">
        <f>+"Entergy Services, Inc. 408110 Employment Taxes  (Ln "&amp;A$38&amp;")"</f>
        <v>Entergy Services, Inc. 408110 Employment Taxes  (Ln 4)</v>
      </c>
      <c r="C25" s="199">
        <v>9886417.6000000089</v>
      </c>
      <c r="D25" s="1286"/>
      <c r="E25" s="1284"/>
      <c r="F25" s="1284"/>
      <c r="G25" s="1284">
        <f>+C25</f>
        <v>9886417.6000000089</v>
      </c>
      <c r="H25" s="1415" t="s">
        <v>1200</v>
      </c>
      <c r="I25" s="1285"/>
      <c r="J25" s="752"/>
      <c r="K25" s="752"/>
      <c r="L25" s="752"/>
      <c r="M25" s="752"/>
      <c r="N25" s="752"/>
      <c r="O25" s="753"/>
    </row>
    <row r="26" spans="1:15">
      <c r="A26" s="897">
        <f t="shared" si="0"/>
        <v>1.1900000000000002</v>
      </c>
      <c r="B26" s="1366" t="str">
        <f>+"Entergy Services, Inc. 408122 Excise Tax- State  (Ln "&amp;A$38&amp;")"</f>
        <v>Entergy Services, Inc. 408122 Excise Tax- State  (Ln 4)</v>
      </c>
      <c r="C26" s="199">
        <v>166.64</v>
      </c>
      <c r="D26" s="1286"/>
      <c r="E26" s="1284"/>
      <c r="F26" s="1284">
        <f>+C26</f>
        <v>166.64</v>
      </c>
      <c r="G26" s="1284"/>
      <c r="H26" s="1415" t="s">
        <v>1200</v>
      </c>
      <c r="I26" s="1285"/>
    </row>
    <row r="27" spans="1:15">
      <c r="A27" s="897">
        <f t="shared" si="0"/>
        <v>1.2000000000000002</v>
      </c>
      <c r="B27" s="1366" t="str">
        <f>+"Entergy Services, Inc. 408123 Excise Tax Federal  (Ln "&amp;A$38&amp;")"</f>
        <v>Entergy Services, Inc. 408123 Excise Tax Federal  (Ln 4)</v>
      </c>
      <c r="C27" s="199">
        <v>138.48000000000002</v>
      </c>
      <c r="D27" s="1286"/>
      <c r="E27" s="1284"/>
      <c r="F27" s="1284">
        <f>+C27</f>
        <v>138.48000000000002</v>
      </c>
      <c r="G27" s="1284"/>
      <c r="H27" s="1415" t="s">
        <v>1200</v>
      </c>
      <c r="I27" s="1285"/>
    </row>
    <row r="28" spans="1:15">
      <c r="A28" s="897">
        <f t="shared" si="0"/>
        <v>1.2100000000000002</v>
      </c>
      <c r="B28" s="1366" t="str">
        <f>+"Entergy Services, Inc. 408142 Ad Valorem  (Ln "&amp;A$38&amp;")"</f>
        <v>Entergy Services, Inc. 408142 Ad Valorem  (Ln 4)</v>
      </c>
      <c r="C28" s="199">
        <v>922572.71</v>
      </c>
      <c r="D28" s="1286"/>
      <c r="E28" s="1284"/>
      <c r="F28" s="1284">
        <f>+C28</f>
        <v>922572.71</v>
      </c>
      <c r="G28" s="1284"/>
      <c r="H28" s="1415" t="s">
        <v>1200</v>
      </c>
      <c r="I28" s="1285"/>
    </row>
    <row r="29" spans="1:15">
      <c r="A29" s="897">
        <f t="shared" si="0"/>
        <v>1.2200000000000002</v>
      </c>
      <c r="B29" s="1366" t="str">
        <f>+"Entergy Services, Inc. 408152 Franchise Tax State  (Ln "&amp;A$38&amp;")"</f>
        <v>Entergy Services, Inc. 408152 Franchise Tax State  (Ln 4)</v>
      </c>
      <c r="C29" s="199">
        <v>168362.35000000003</v>
      </c>
      <c r="D29" s="1286"/>
      <c r="E29" s="1284"/>
      <c r="F29" s="1284">
        <f>+C29</f>
        <v>168362.35000000003</v>
      </c>
      <c r="G29" s="1284"/>
      <c r="H29" s="1415" t="s">
        <v>1200</v>
      </c>
      <c r="I29" s="1289"/>
    </row>
    <row r="30" spans="1:15">
      <c r="A30" s="897">
        <f t="shared" si="0"/>
        <v>1.2300000000000002</v>
      </c>
      <c r="B30" s="1366" t="str">
        <f>+"Entergy Services, Inc. 408165 City Occupation Tax  (Ln "&amp;A$38&amp;")"</f>
        <v>Entergy Services, Inc. 408165 City Occupation Tax  (Ln 4)</v>
      </c>
      <c r="C30" s="199">
        <v>369.64</v>
      </c>
      <c r="D30" s="1258">
        <f>+C30</f>
        <v>369.64</v>
      </c>
      <c r="E30" s="1288"/>
      <c r="G30" s="1284"/>
      <c r="H30" s="1415" t="s">
        <v>1200</v>
      </c>
      <c r="J30" s="1480" t="s">
        <v>833</v>
      </c>
      <c r="K30" s="1036"/>
      <c r="L30" s="1036"/>
      <c r="M30" s="1036"/>
      <c r="N30" s="1036"/>
    </row>
    <row r="31" spans="1:15">
      <c r="A31" s="897">
        <f t="shared" si="0"/>
        <v>1.2400000000000002</v>
      </c>
      <c r="B31" s="1366" t="s">
        <v>909</v>
      </c>
      <c r="C31" s="199">
        <v>0</v>
      </c>
      <c r="D31" s="1288"/>
      <c r="E31" s="1288"/>
      <c r="F31" s="1288">
        <f>+C31</f>
        <v>0</v>
      </c>
      <c r="G31" s="1284"/>
      <c r="H31" s="1415" t="s">
        <v>1200</v>
      </c>
      <c r="I31" s="1289"/>
      <c r="J31" s="1036"/>
      <c r="K31" s="1036"/>
      <c r="L31" s="1036"/>
      <c r="M31" s="1036"/>
      <c r="N31" s="1036"/>
    </row>
    <row r="32" spans="1:15">
      <c r="A32" s="897">
        <f t="shared" si="0"/>
        <v>1.2500000000000002</v>
      </c>
      <c r="B32" s="1366" t="s">
        <v>614</v>
      </c>
      <c r="C32" s="199">
        <v>3477896.96</v>
      </c>
      <c r="D32" s="1258">
        <f>+C32</f>
        <v>3477896.96</v>
      </c>
      <c r="E32" s="1288"/>
      <c r="F32" s="1288"/>
      <c r="G32" s="1284"/>
      <c r="H32" s="1418" t="s">
        <v>1201</v>
      </c>
      <c r="I32" s="1289"/>
      <c r="J32" s="1036"/>
      <c r="K32" s="1036"/>
      <c r="L32" s="1036"/>
      <c r="M32" s="1036"/>
      <c r="N32" s="1036"/>
    </row>
    <row r="33" spans="1:14">
      <c r="A33" s="1411">
        <f t="shared" si="0"/>
        <v>1.2600000000000002</v>
      </c>
      <c r="B33" s="1412" t="s">
        <v>969</v>
      </c>
      <c r="C33" s="1413">
        <v>0</v>
      </c>
      <c r="D33" s="1414"/>
      <c r="E33" s="1414"/>
      <c r="F33" s="1414"/>
      <c r="G33" s="1414"/>
      <c r="H33" s="1415"/>
      <c r="I33" s="1289"/>
      <c r="J33" s="1036"/>
      <c r="K33" s="1036"/>
      <c r="L33" s="1036"/>
      <c r="M33" s="1036"/>
      <c r="N33" s="1036"/>
    </row>
    <row r="34" spans="1:14">
      <c r="A34" s="1411" t="s">
        <v>960</v>
      </c>
      <c r="B34" s="1412" t="s">
        <v>969</v>
      </c>
      <c r="C34" s="1413">
        <v>0</v>
      </c>
      <c r="D34" s="1414"/>
      <c r="E34" s="1414"/>
      <c r="F34" s="1414"/>
      <c r="G34" s="1414"/>
      <c r="H34" s="1415"/>
      <c r="I34" s="1289"/>
      <c r="J34" s="1036"/>
      <c r="K34" s="1036"/>
      <c r="L34" s="1036"/>
      <c r="M34" s="1036"/>
      <c r="N34" s="1036"/>
    </row>
    <row r="35" spans="1:14" ht="15.6">
      <c r="A35" s="1411" t="s">
        <v>964</v>
      </c>
      <c r="B35" s="1412" t="s">
        <v>969</v>
      </c>
      <c r="C35" s="1353">
        <v>0</v>
      </c>
      <c r="D35" s="1416"/>
      <c r="E35" s="1417"/>
      <c r="F35" s="1417"/>
      <c r="G35" s="1417"/>
      <c r="H35" s="1418"/>
      <c r="I35" s="1285"/>
    </row>
    <row r="36" spans="1:14" ht="14.4" thickBot="1">
      <c r="A36" s="898">
        <f>+A7+1</f>
        <v>2</v>
      </c>
      <c r="B36" s="231" t="str">
        <f>+"Sum Line "&amp;A7&amp;" Subparts"</f>
        <v>Sum Line 1 Subparts</v>
      </c>
      <c r="C36" s="678">
        <f>+SUM(C8:C35)</f>
        <v>63662284.330000006</v>
      </c>
      <c r="D36" s="678">
        <f>+SUM(D8:D35)</f>
        <v>14050490.789999992</v>
      </c>
      <c r="E36" s="678">
        <f>+SUM(E8:E35)</f>
        <v>0</v>
      </c>
      <c r="F36" s="678">
        <f>+SUM(F8:F35)</f>
        <v>35986761.940000005</v>
      </c>
      <c r="G36" s="678">
        <f>+SUM(G8:G35)</f>
        <v>13625031.600000009</v>
      </c>
      <c r="H36" s="546" t="s">
        <v>477</v>
      </c>
      <c r="I36" s="596"/>
    </row>
    <row r="37" spans="1:14" ht="14.4" thickTop="1">
      <c r="A37" s="983">
        <f>+A36+1</f>
        <v>3</v>
      </c>
      <c r="B37" s="231"/>
      <c r="C37" s="543"/>
      <c r="D37" s="543"/>
      <c r="E37" s="620"/>
      <c r="F37" s="620"/>
      <c r="G37" s="620"/>
      <c r="H37" s="546"/>
      <c r="I37" s="596"/>
    </row>
    <row r="38" spans="1:14">
      <c r="A38" s="983">
        <f>+A37+1</f>
        <v>4</v>
      </c>
      <c r="B38" s="901" t="s">
        <v>749</v>
      </c>
      <c r="C38" s="1400">
        <v>10978027.420000019</v>
      </c>
      <c r="D38" s="902"/>
      <c r="E38" s="902"/>
      <c r="F38" s="902"/>
      <c r="G38" s="902"/>
      <c r="H38" s="1415" t="s">
        <v>1202</v>
      </c>
      <c r="I38" s="544"/>
    </row>
    <row r="39" spans="1:14">
      <c r="A39" s="983"/>
      <c r="B39" s="901"/>
      <c r="C39" s="902"/>
      <c r="D39" s="902"/>
      <c r="E39" s="902"/>
      <c r="F39" s="902"/>
      <c r="G39" s="902"/>
      <c r="H39" s="902"/>
      <c r="I39" s="544"/>
    </row>
    <row r="40" spans="1:14" s="182" customFormat="1" ht="13.2">
      <c r="A40" s="855" t="s">
        <v>589</v>
      </c>
      <c r="B40" s="183"/>
      <c r="C40" s="183"/>
      <c r="D40" s="80"/>
      <c r="E40" s="616"/>
      <c r="F40" s="616"/>
      <c r="G40" s="616"/>
      <c r="H40" s="899"/>
      <c r="I40" s="544"/>
    </row>
    <row r="41" spans="1:14" s="544" customFormat="1" ht="55.2" customHeight="1">
      <c r="A41" s="900" t="s">
        <v>176</v>
      </c>
      <c r="B41" s="1884" t="s">
        <v>742</v>
      </c>
      <c r="C41" s="1884"/>
      <c r="D41" s="1884"/>
      <c r="E41" s="1884"/>
      <c r="F41" s="1884"/>
      <c r="G41" s="1884"/>
      <c r="H41" s="1884"/>
    </row>
    <row r="42" spans="1:14" s="544" customFormat="1" ht="27" customHeight="1">
      <c r="A42" s="900" t="s">
        <v>338</v>
      </c>
      <c r="B42" s="1884" t="s">
        <v>834</v>
      </c>
      <c r="C42" s="1884"/>
      <c r="D42" s="1884"/>
      <c r="E42" s="1884"/>
      <c r="F42" s="1884"/>
      <c r="G42" s="1884"/>
      <c r="H42" s="1884"/>
    </row>
    <row r="43" spans="1:14" s="544" customFormat="1" ht="13.2" customHeight="1">
      <c r="A43" s="900" t="s">
        <v>339</v>
      </c>
      <c r="B43" s="1884" t="s">
        <v>743</v>
      </c>
      <c r="C43" s="1884"/>
      <c r="D43" s="1884"/>
      <c r="E43" s="1884"/>
      <c r="F43" s="1884"/>
      <c r="G43" s="1884"/>
      <c r="H43" s="1884"/>
    </row>
    <row r="44" spans="1:14" s="544" customFormat="1" ht="13.2">
      <c r="A44" s="900" t="s">
        <v>340</v>
      </c>
      <c r="B44" s="1857" t="s">
        <v>761</v>
      </c>
      <c r="C44" s="1857"/>
      <c r="D44" s="1857"/>
      <c r="E44" s="1857"/>
      <c r="F44" s="1857"/>
      <c r="G44" s="1857"/>
      <c r="H44" s="1857"/>
    </row>
    <row r="45" spans="1:14" s="1564" customFormat="1" ht="13.2">
      <c r="A45" s="900" t="s">
        <v>341</v>
      </c>
      <c r="B45" s="1884" t="s">
        <v>744</v>
      </c>
      <c r="C45" s="1884"/>
      <c r="D45" s="1884"/>
      <c r="E45" s="1884"/>
      <c r="F45" s="1884"/>
      <c r="G45" s="1884"/>
      <c r="H45" s="1884"/>
    </row>
    <row r="46" spans="1:14" s="1564" customFormat="1" ht="28.2" customHeight="1">
      <c r="A46" s="900" t="s">
        <v>745</v>
      </c>
      <c r="B46" s="1857" t="s">
        <v>746</v>
      </c>
      <c r="C46" s="1857"/>
      <c r="D46" s="1857"/>
      <c r="E46" s="1857"/>
      <c r="F46" s="1857"/>
      <c r="G46" s="1857"/>
      <c r="H46" s="1857"/>
    </row>
    <row r="47" spans="1:14" s="1564" customFormat="1" ht="28.2" customHeight="1">
      <c r="A47" s="900" t="s">
        <v>747</v>
      </c>
      <c r="B47" s="1857" t="s">
        <v>748</v>
      </c>
      <c r="C47" s="1857"/>
      <c r="D47" s="1857"/>
      <c r="E47" s="1857"/>
      <c r="F47" s="1857"/>
      <c r="G47" s="1857"/>
      <c r="H47" s="1857"/>
    </row>
    <row r="48" spans="1:14">
      <c r="A48" s="1318"/>
      <c r="B48" s="1318"/>
      <c r="C48" s="1318"/>
      <c r="D48" s="1319"/>
      <c r="E48" s="1320"/>
      <c r="F48" s="1320"/>
      <c r="G48" s="1320"/>
      <c r="H48" s="1321"/>
      <c r="I48" s="596"/>
    </row>
    <row r="49" spans="1:8">
      <c r="A49" s="1318"/>
      <c r="B49" s="1318"/>
      <c r="C49" s="1318"/>
      <c r="D49" s="1319"/>
      <c r="E49" s="1320"/>
      <c r="F49" s="1320"/>
      <c r="G49" s="1320"/>
      <c r="H49" s="1321"/>
    </row>
    <row r="50" spans="1:8">
      <c r="A50" s="1318"/>
      <c r="B50" s="1322"/>
      <c r="C50" s="1322"/>
      <c r="D50" s="1320"/>
      <c r="E50" s="1320"/>
      <c r="F50" s="1320"/>
      <c r="G50" s="1320"/>
      <c r="H50" s="1321"/>
    </row>
    <row r="51" spans="1:8">
      <c r="A51" s="1318"/>
      <c r="B51" s="1322"/>
      <c r="C51" s="1322"/>
      <c r="D51" s="1320"/>
      <c r="E51" s="1320"/>
      <c r="F51" s="1320"/>
      <c r="G51" s="1320"/>
      <c r="H51" s="1321"/>
    </row>
  </sheetData>
  <mergeCells count="10">
    <mergeCell ref="B47:H47"/>
    <mergeCell ref="B41:H41"/>
    <mergeCell ref="B42:H42"/>
    <mergeCell ref="B43:H43"/>
    <mergeCell ref="B45:H45"/>
    <mergeCell ref="A1:H1"/>
    <mergeCell ref="A3:H3"/>
    <mergeCell ref="A2:H2"/>
    <mergeCell ref="B46:H46"/>
    <mergeCell ref="B44:H44"/>
  </mergeCells>
  <phoneticPr fontId="104" type="noConversion"/>
  <printOptions horizontalCentered="1"/>
  <pageMargins left="0.7" right="0.7" top="0.7" bottom="0.7" header="0.3" footer="0.5"/>
  <pageSetup scale="74" orientation="landscape" r:id="rId1"/>
  <headerFooter>
    <oddFooter>&amp;R&amp;A</oddFooter>
  </headerFooter>
  <ignoredErrors>
    <ignoredError sqref="A41:A4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zoomScale="90" zoomScaleNormal="90" zoomScaleSheetLayoutView="100" workbookViewId="0">
      <selection sqref="A1:B1"/>
    </sheetView>
  </sheetViews>
  <sheetFormatPr defaultColWidth="9.109375" defaultRowHeight="13.2"/>
  <cols>
    <col min="1" max="1" width="4.44140625" style="726" customWidth="1"/>
    <col min="2" max="2" width="49.109375" style="44" customWidth="1"/>
    <col min="3" max="3" width="28.5546875" style="44" customWidth="1"/>
    <col min="4" max="4" width="14" style="43" customWidth="1"/>
    <col min="5" max="15" width="14.33203125" style="43" customWidth="1"/>
    <col min="16" max="16" width="14" style="44" bestFit="1" customWidth="1"/>
    <col min="17" max="17" width="14.109375" style="269" bestFit="1" customWidth="1"/>
    <col min="18" max="26" width="9.109375" style="43"/>
    <col min="27" max="16384" width="9.109375" style="44"/>
  </cols>
  <sheetData>
    <row r="1" spans="1:26">
      <c r="A1" s="1866" t="str">
        <f>+'MISO Cover'!C6</f>
        <v>Entergy Arkansas, Inc.</v>
      </c>
      <c r="B1" s="1866"/>
      <c r="C1" s="1866"/>
      <c r="D1" s="195"/>
      <c r="E1" s="195"/>
      <c r="F1" s="195"/>
      <c r="G1" s="195"/>
      <c r="H1" s="195"/>
      <c r="I1" s="195"/>
      <c r="J1" s="195"/>
      <c r="K1" s="195"/>
      <c r="L1" s="195"/>
      <c r="M1" s="195"/>
      <c r="N1" s="195"/>
      <c r="O1" s="195"/>
      <c r="P1" s="195"/>
      <c r="Q1" s="242"/>
    </row>
    <row r="2" spans="1:26" s="43" customFormat="1">
      <c r="A2" s="1858" t="s">
        <v>693</v>
      </c>
      <c r="B2" s="1858"/>
      <c r="C2" s="1858"/>
      <c r="D2" s="184"/>
      <c r="E2" s="184"/>
      <c r="F2" s="184"/>
      <c r="G2" s="184"/>
      <c r="H2" s="184"/>
      <c r="I2" s="184"/>
      <c r="J2" s="184"/>
      <c r="K2" s="184"/>
      <c r="L2" s="184"/>
      <c r="M2" s="184"/>
      <c r="N2" s="184"/>
      <c r="O2" s="184"/>
      <c r="P2" s="184"/>
      <c r="Q2" s="186"/>
    </row>
    <row r="3" spans="1:26">
      <c r="A3" s="1883" t="str">
        <f>+'MISO Cover'!K4</f>
        <v>For  the 12 Months Ended 12/31/2016</v>
      </c>
      <c r="B3" s="1883"/>
      <c r="C3" s="1883"/>
      <c r="D3" s="1003"/>
      <c r="E3" s="1003"/>
      <c r="F3" s="1003"/>
      <c r="G3" s="1003"/>
      <c r="H3" s="1003"/>
      <c r="I3" s="1003"/>
      <c r="J3" s="1003"/>
      <c r="K3" s="1003"/>
      <c r="L3" s="1003"/>
      <c r="M3" s="1003"/>
      <c r="N3" s="1003"/>
      <c r="O3" s="1003"/>
      <c r="P3" s="1003"/>
      <c r="Q3" s="1389"/>
    </row>
    <row r="4" spans="1:26">
      <c r="B4" s="795"/>
      <c r="C4" s="795"/>
      <c r="D4" s="795"/>
      <c r="E4" s="795"/>
      <c r="F4" s="711"/>
      <c r="G4" s="795"/>
      <c r="H4" s="795"/>
      <c r="I4" s="795"/>
      <c r="J4" s="795"/>
      <c r="K4" s="795"/>
      <c r="L4" s="795"/>
      <c r="M4" s="795"/>
      <c r="N4" s="795"/>
      <c r="O4" s="795"/>
    </row>
    <row r="5" spans="1:26" s="794" customFormat="1" ht="12.75" customHeight="1">
      <c r="A5" s="726" t="s">
        <v>290</v>
      </c>
      <c r="B5" s="794" t="s">
        <v>72</v>
      </c>
      <c r="C5" s="794" t="s">
        <v>119</v>
      </c>
      <c r="D5" s="791" t="s">
        <v>60</v>
      </c>
      <c r="E5" s="712" t="s">
        <v>73</v>
      </c>
      <c r="F5" s="712" t="s">
        <v>71</v>
      </c>
      <c r="G5" s="712" t="s">
        <v>161</v>
      </c>
      <c r="H5" s="712" t="s">
        <v>74</v>
      </c>
      <c r="I5" s="712" t="s">
        <v>174</v>
      </c>
      <c r="J5" s="712" t="s">
        <v>64</v>
      </c>
      <c r="K5" s="712" t="s">
        <v>590</v>
      </c>
      <c r="L5" s="712" t="s">
        <v>76</v>
      </c>
      <c r="M5" s="712" t="s">
        <v>103</v>
      </c>
      <c r="N5" s="712" t="s">
        <v>104</v>
      </c>
      <c r="O5" s="712" t="s">
        <v>474</v>
      </c>
      <c r="P5" s="712" t="s">
        <v>232</v>
      </c>
      <c r="Q5" s="1390" t="s">
        <v>233</v>
      </c>
      <c r="R5" s="1823"/>
      <c r="S5" s="1823"/>
      <c r="T5" s="1823"/>
      <c r="U5" s="1823"/>
      <c r="V5" s="1823"/>
      <c r="W5" s="1823"/>
      <c r="X5" s="1823"/>
      <c r="Y5" s="1823"/>
      <c r="Z5" s="1823"/>
    </row>
    <row r="6" spans="1:26">
      <c r="B6" s="579" t="s">
        <v>117</v>
      </c>
      <c r="C6" s="579" t="s">
        <v>145</v>
      </c>
      <c r="D6" s="739" t="s">
        <v>42</v>
      </c>
      <c r="E6" s="739" t="s">
        <v>32</v>
      </c>
      <c r="F6" s="739" t="s">
        <v>33</v>
      </c>
      <c r="G6" s="739" t="s">
        <v>34</v>
      </c>
      <c r="H6" s="739" t="s">
        <v>35</v>
      </c>
      <c r="I6" s="739" t="s">
        <v>31</v>
      </c>
      <c r="J6" s="739" t="s">
        <v>36</v>
      </c>
      <c r="K6" s="739" t="s">
        <v>37</v>
      </c>
      <c r="L6" s="739" t="s">
        <v>38</v>
      </c>
      <c r="M6" s="739" t="s">
        <v>39</v>
      </c>
      <c r="N6" s="739" t="s">
        <v>40</v>
      </c>
      <c r="O6" s="739" t="s">
        <v>41</v>
      </c>
      <c r="P6" s="739" t="s">
        <v>42</v>
      </c>
      <c r="Q6" s="1391" t="s">
        <v>647</v>
      </c>
    </row>
    <row r="7" spans="1:26">
      <c r="A7" s="726">
        <v>1</v>
      </c>
      <c r="B7" s="763" t="s">
        <v>66</v>
      </c>
    </row>
    <row r="8" spans="1:26">
      <c r="A8" s="726">
        <f>+A7+1</f>
        <v>2</v>
      </c>
      <c r="B8" s="44" t="s">
        <v>602</v>
      </c>
      <c r="C8" s="43" t="s">
        <v>689</v>
      </c>
      <c r="D8" s="1400">
        <v>2110000000</v>
      </c>
      <c r="E8" s="221">
        <v>2435000000</v>
      </c>
      <c r="F8" s="221">
        <v>2260000000</v>
      </c>
      <c r="G8" s="221">
        <v>2260000000</v>
      </c>
      <c r="H8" s="221">
        <v>2260000000</v>
      </c>
      <c r="I8" s="221">
        <v>2260000000</v>
      </c>
      <c r="J8" s="221">
        <v>2315000000</v>
      </c>
      <c r="K8" s="221">
        <v>2255000000</v>
      </c>
      <c r="L8" s="221">
        <v>2665000000</v>
      </c>
      <c r="M8" s="221">
        <v>2340000000</v>
      </c>
      <c r="N8" s="221">
        <v>2340000000</v>
      </c>
      <c r="O8" s="221">
        <v>2340000000</v>
      </c>
      <c r="P8" s="221">
        <v>2340000000</v>
      </c>
      <c r="Q8" s="80">
        <f>SUM(D8:P8)/13</f>
        <v>2321538461.5384617</v>
      </c>
    </row>
    <row r="9" spans="1:26">
      <c r="A9" s="726">
        <f t="shared" ref="A9:A48" si="0">+A8+1</f>
        <v>3</v>
      </c>
      <c r="B9" s="726" t="s">
        <v>665</v>
      </c>
      <c r="C9" s="43" t="s">
        <v>690</v>
      </c>
      <c r="D9" s="221">
        <v>0</v>
      </c>
      <c r="E9" s="221">
        <v>0</v>
      </c>
      <c r="F9" s="221">
        <v>0</v>
      </c>
      <c r="G9" s="221">
        <v>0</v>
      </c>
      <c r="H9" s="221">
        <v>0</v>
      </c>
      <c r="I9" s="221">
        <v>0</v>
      </c>
      <c r="J9" s="221">
        <v>0</v>
      </c>
      <c r="K9" s="221">
        <v>0</v>
      </c>
      <c r="L9" s="221">
        <v>0</v>
      </c>
      <c r="M9" s="221">
        <v>0</v>
      </c>
      <c r="N9" s="221">
        <v>0</v>
      </c>
      <c r="O9" s="221">
        <v>0</v>
      </c>
      <c r="P9" s="221">
        <v>0</v>
      </c>
      <c r="Q9" s="80">
        <f>SUM(D9:P9)/13</f>
        <v>0</v>
      </c>
    </row>
    <row r="10" spans="1:26" s="188" customFormat="1" ht="26.4">
      <c r="A10" s="769">
        <f t="shared" si="0"/>
        <v>4</v>
      </c>
      <c r="B10" s="771" t="s">
        <v>611</v>
      </c>
      <c r="C10" s="881" t="s">
        <v>691</v>
      </c>
      <c r="D10" s="221">
        <v>0</v>
      </c>
      <c r="E10" s="221">
        <v>0</v>
      </c>
      <c r="F10" s="221">
        <v>0</v>
      </c>
      <c r="G10" s="221">
        <v>0</v>
      </c>
      <c r="H10" s="221">
        <v>0</v>
      </c>
      <c r="I10" s="221">
        <v>0</v>
      </c>
      <c r="J10" s="221">
        <v>0</v>
      </c>
      <c r="K10" s="221">
        <v>0</v>
      </c>
      <c r="L10" s="221">
        <v>0</v>
      </c>
      <c r="M10" s="221">
        <v>0</v>
      </c>
      <c r="N10" s="221">
        <v>0</v>
      </c>
      <c r="O10" s="221">
        <v>0</v>
      </c>
      <c r="P10" s="221">
        <v>0</v>
      </c>
      <c r="Q10" s="80">
        <f>SUM(D10:P10)/13</f>
        <v>0</v>
      </c>
      <c r="R10" s="589"/>
      <c r="S10" s="43"/>
      <c r="T10" s="589"/>
      <c r="U10" s="589"/>
      <c r="V10" s="589"/>
      <c r="W10" s="589"/>
      <c r="X10" s="589"/>
      <c r="Y10" s="589"/>
      <c r="Z10" s="589"/>
    </row>
    <row r="11" spans="1:26">
      <c r="A11" s="726">
        <f t="shared" si="0"/>
        <v>5</v>
      </c>
      <c r="B11" s="44" t="s">
        <v>603</v>
      </c>
      <c r="C11" s="45" t="s">
        <v>692</v>
      </c>
      <c r="D11" s="221">
        <v>283150900.72999996</v>
      </c>
      <c r="E11" s="221">
        <v>283182758.19999999</v>
      </c>
      <c r="F11" s="221">
        <v>283214611.32999998</v>
      </c>
      <c r="G11" s="221">
        <v>283247712.79999989</v>
      </c>
      <c r="H11" s="221">
        <v>283281195.94999987</v>
      </c>
      <c r="I11" s="221">
        <v>283315927.4199999</v>
      </c>
      <c r="J11" s="221">
        <v>283350654.4799999</v>
      </c>
      <c r="K11" s="221">
        <v>283390846.08999991</v>
      </c>
      <c r="L11" s="221">
        <v>283431033.24999994</v>
      </c>
      <c r="M11" s="221">
        <v>283471215.94</v>
      </c>
      <c r="N11" s="221">
        <v>283517630.96999997</v>
      </c>
      <c r="O11" s="221">
        <v>283564041.50999993</v>
      </c>
      <c r="P11" s="221">
        <v>283610447.5399999</v>
      </c>
      <c r="Q11" s="590">
        <f>SUM(D11:P11)/13</f>
        <v>283363767.40076911</v>
      </c>
    </row>
    <row r="12" spans="1:26">
      <c r="A12" s="726">
        <f t="shared" si="0"/>
        <v>6</v>
      </c>
      <c r="B12" s="764" t="s">
        <v>45</v>
      </c>
      <c r="C12" s="996" t="str">
        <f>+"L"&amp;A8&amp;" - L"&amp;A9&amp;" + L"&amp;A10&amp;" + L"&amp;A11</f>
        <v>L2 - L3 + L4 + L5</v>
      </c>
      <c r="D12" s="997">
        <f>+D8-D9+D10+D11</f>
        <v>2393150900.73</v>
      </c>
      <c r="E12" s="997">
        <f t="shared" ref="E12:Q12" si="1">+E8-E9+E10+E11</f>
        <v>2718182758.1999998</v>
      </c>
      <c r="F12" s="997">
        <f t="shared" si="1"/>
        <v>2543214611.3299999</v>
      </c>
      <c r="G12" s="997">
        <f t="shared" si="1"/>
        <v>2543247712.7999997</v>
      </c>
      <c r="H12" s="997">
        <f t="shared" si="1"/>
        <v>2543281195.9499998</v>
      </c>
      <c r="I12" s="997">
        <f t="shared" si="1"/>
        <v>2543315927.4200001</v>
      </c>
      <c r="J12" s="997">
        <f t="shared" si="1"/>
        <v>2598350654.48</v>
      </c>
      <c r="K12" s="997">
        <f t="shared" si="1"/>
        <v>2538390846.0900002</v>
      </c>
      <c r="L12" s="997">
        <f t="shared" si="1"/>
        <v>2948431033.25</v>
      </c>
      <c r="M12" s="997">
        <f t="shared" si="1"/>
        <v>2623471215.9400001</v>
      </c>
      <c r="N12" s="997">
        <f t="shared" si="1"/>
        <v>2623517630.9699998</v>
      </c>
      <c r="O12" s="997">
        <f t="shared" si="1"/>
        <v>2623564041.5099998</v>
      </c>
      <c r="P12" s="997">
        <f t="shared" si="1"/>
        <v>2623610447.54</v>
      </c>
      <c r="Q12" s="997">
        <f t="shared" si="1"/>
        <v>2604902228.9392309</v>
      </c>
    </row>
    <row r="13" spans="1:26">
      <c r="A13" s="726">
        <f t="shared" si="0"/>
        <v>7</v>
      </c>
      <c r="D13" s="80"/>
      <c r="E13" s="80"/>
      <c r="F13" s="80"/>
      <c r="G13" s="80"/>
      <c r="H13" s="80"/>
      <c r="I13" s="80"/>
      <c r="J13" s="80"/>
      <c r="K13" s="80"/>
      <c r="L13" s="80"/>
      <c r="M13" s="80"/>
      <c r="N13" s="80"/>
      <c r="O13" s="80"/>
      <c r="P13" s="80"/>
      <c r="Q13" s="80"/>
    </row>
    <row r="14" spans="1:26">
      <c r="A14" s="726">
        <f t="shared" si="0"/>
        <v>8</v>
      </c>
      <c r="B14" s="998" t="s">
        <v>615</v>
      </c>
      <c r="D14" s="80"/>
      <c r="E14" s="80"/>
      <c r="F14" s="80"/>
      <c r="G14" s="80"/>
      <c r="H14" s="80"/>
      <c r="I14" s="80"/>
      <c r="J14" s="80"/>
      <c r="K14" s="80"/>
      <c r="L14" s="80"/>
      <c r="M14" s="80"/>
      <c r="N14" s="80"/>
      <c r="O14" s="80"/>
      <c r="P14" s="80"/>
      <c r="Q14" s="80"/>
    </row>
    <row r="15" spans="1:26">
      <c r="A15" s="726">
        <f>+A14+1</f>
        <v>9</v>
      </c>
      <c r="B15" s="219" t="s">
        <v>608</v>
      </c>
      <c r="C15" s="43" t="s">
        <v>726</v>
      </c>
      <c r="D15" s="1400">
        <v>27407014.739999991</v>
      </c>
      <c r="E15" s="221">
        <v>29454511.539999988</v>
      </c>
      <c r="F15" s="221">
        <v>28962000.689999994</v>
      </c>
      <c r="G15" s="221">
        <v>28759006.45999999</v>
      </c>
      <c r="H15" s="221">
        <v>28624014.249999996</v>
      </c>
      <c r="I15" s="221">
        <v>28456948.889999997</v>
      </c>
      <c r="J15" s="221">
        <v>28951925.689999986</v>
      </c>
      <c r="K15" s="221">
        <v>28453415.499999996</v>
      </c>
      <c r="L15" s="221">
        <v>40533346.82</v>
      </c>
      <c r="M15" s="221">
        <v>33975292.499999978</v>
      </c>
      <c r="N15" s="221">
        <v>33893515.169999979</v>
      </c>
      <c r="O15" s="221">
        <v>33717547.099999987</v>
      </c>
      <c r="P15" s="221">
        <v>33554597.669999979</v>
      </c>
      <c r="Q15" s="80">
        <f>SUM(D15:P15)/13</f>
        <v>31134087.463076908</v>
      </c>
    </row>
    <row r="16" spans="1:26">
      <c r="A16" s="726">
        <f t="shared" si="0"/>
        <v>10</v>
      </c>
      <c r="B16" s="219" t="s">
        <v>666</v>
      </c>
      <c r="C16" s="43" t="s">
        <v>727</v>
      </c>
      <c r="D16" s="221">
        <v>22972524.249999985</v>
      </c>
      <c r="E16" s="221">
        <v>22706775.759999987</v>
      </c>
      <c r="F16" s="221">
        <v>23231882.349999983</v>
      </c>
      <c r="G16" s="221">
        <v>22959597.869999997</v>
      </c>
      <c r="H16" s="221">
        <v>22687313.289999969</v>
      </c>
      <c r="I16" s="221">
        <v>22415028.919999994</v>
      </c>
      <c r="J16" s="221">
        <v>22142744.319999985</v>
      </c>
      <c r="K16" s="221">
        <v>22287082.459999979</v>
      </c>
      <c r="L16" s="221">
        <v>22022024.839999989</v>
      </c>
      <c r="M16" s="221">
        <v>28450577.809999991</v>
      </c>
      <c r="N16" s="221">
        <v>28174345.649999984</v>
      </c>
      <c r="O16" s="221">
        <v>27898113.249999989</v>
      </c>
      <c r="P16" s="221">
        <v>27623455.819999985</v>
      </c>
      <c r="Q16" s="80">
        <f>SUM(D16:P16)/13</f>
        <v>24274728.199230757</v>
      </c>
    </row>
    <row r="17" spans="1:26">
      <c r="A17" s="726">
        <f t="shared" si="0"/>
        <v>11</v>
      </c>
      <c r="B17" s="219" t="s">
        <v>609</v>
      </c>
      <c r="C17" s="43" t="s">
        <v>728</v>
      </c>
      <c r="D17" s="221">
        <v>0</v>
      </c>
      <c r="E17" s="221">
        <v>0</v>
      </c>
      <c r="F17" s="221">
        <v>0</v>
      </c>
      <c r="G17" s="221">
        <v>0</v>
      </c>
      <c r="H17" s="221">
        <v>0</v>
      </c>
      <c r="I17" s="221">
        <v>0</v>
      </c>
      <c r="J17" s="221">
        <v>4545574.47</v>
      </c>
      <c r="K17" s="221">
        <v>4506723.41</v>
      </c>
      <c r="L17" s="221">
        <v>4467872.34</v>
      </c>
      <c r="M17" s="221">
        <v>4429021.28</v>
      </c>
      <c r="N17" s="221">
        <v>4390170.22</v>
      </c>
      <c r="O17" s="221">
        <v>4351319.1500000004</v>
      </c>
      <c r="P17" s="221">
        <v>4312468.09</v>
      </c>
      <c r="Q17" s="80">
        <f>SUM(D17:P17)/13</f>
        <v>2384857.6123076919</v>
      </c>
    </row>
    <row r="18" spans="1:26">
      <c r="A18" s="726">
        <f t="shared" si="0"/>
        <v>12</v>
      </c>
      <c r="B18" s="219" t="s">
        <v>607</v>
      </c>
      <c r="C18" s="43" t="s">
        <v>725</v>
      </c>
      <c r="D18" s="221">
        <v>2756994.9799999991</v>
      </c>
      <c r="E18" s="221">
        <v>3804476.93</v>
      </c>
      <c r="F18" s="221">
        <v>3759646.0699999989</v>
      </c>
      <c r="G18" s="221">
        <v>3736042.3399999985</v>
      </c>
      <c r="H18" s="221">
        <v>3712438.5999999982</v>
      </c>
      <c r="I18" s="221">
        <v>3688834.8799999994</v>
      </c>
      <c r="J18" s="221">
        <v>3665231.1199999996</v>
      </c>
      <c r="K18" s="221">
        <v>3605555.85</v>
      </c>
      <c r="L18" s="221">
        <v>3582116.8300000005</v>
      </c>
      <c r="M18" s="221">
        <v>3381291.3199999989</v>
      </c>
      <c r="N18" s="221">
        <v>3358739.2299999991</v>
      </c>
      <c r="O18" s="221">
        <v>3336187.1299999994</v>
      </c>
      <c r="P18" s="221">
        <v>3313635.0399999996</v>
      </c>
      <c r="Q18" s="80">
        <f>SUM(D18:P18)/13</f>
        <v>3515476.1784615377</v>
      </c>
    </row>
    <row r="19" spans="1:26">
      <c r="A19" s="726">
        <f t="shared" si="0"/>
        <v>13</v>
      </c>
      <c r="B19" s="219" t="s">
        <v>667</v>
      </c>
      <c r="C19" s="43" t="s">
        <v>729</v>
      </c>
      <c r="D19" s="221">
        <v>0</v>
      </c>
      <c r="E19" s="221">
        <v>0</v>
      </c>
      <c r="F19" s="221">
        <v>0</v>
      </c>
      <c r="G19" s="221">
        <v>0</v>
      </c>
      <c r="H19" s="221">
        <v>0</v>
      </c>
      <c r="I19" s="221">
        <v>0</v>
      </c>
      <c r="J19" s="221">
        <v>0</v>
      </c>
      <c r="K19" s="221">
        <v>0</v>
      </c>
      <c r="L19" s="221">
        <v>0</v>
      </c>
      <c r="M19" s="221">
        <v>0</v>
      </c>
      <c r="N19" s="221">
        <v>0</v>
      </c>
      <c r="O19" s="221">
        <v>0</v>
      </c>
      <c r="P19" s="221">
        <v>0</v>
      </c>
      <c r="Q19" s="80">
        <f>SUM(D19:P19)/13</f>
        <v>0</v>
      </c>
    </row>
    <row r="20" spans="1:26">
      <c r="A20" s="726">
        <f t="shared" si="0"/>
        <v>14</v>
      </c>
      <c r="B20" s="1092" t="s">
        <v>46</v>
      </c>
      <c r="C20" s="996" t="str">
        <f>+"L"&amp;A12&amp;" - L"&amp;A15&amp;" - L"&amp;A16&amp;" + L"&amp;A17&amp;" - L"&amp;A18&amp;" + L"&amp;A19</f>
        <v>L6 - L9 - L10 + L11 - L12 + L13</v>
      </c>
      <c r="D20" s="997">
        <f>+D12-D15-D16+D17-D18+D19</f>
        <v>2340014366.7600002</v>
      </c>
      <c r="E20" s="997">
        <f t="shared" ref="E20:Q20" si="2">+E12-E15-E16+E17-E18+E19</f>
        <v>2662216993.9700003</v>
      </c>
      <c r="F20" s="997">
        <f t="shared" si="2"/>
        <v>2487261082.2199998</v>
      </c>
      <c r="G20" s="997">
        <f t="shared" si="2"/>
        <v>2487793066.1299996</v>
      </c>
      <c r="H20" s="997">
        <f t="shared" si="2"/>
        <v>2488257429.8099999</v>
      </c>
      <c r="I20" s="997">
        <f t="shared" si="2"/>
        <v>2488755114.73</v>
      </c>
      <c r="J20" s="997">
        <f t="shared" si="2"/>
        <v>2548136327.8199997</v>
      </c>
      <c r="K20" s="997">
        <f t="shared" si="2"/>
        <v>2488551515.6900001</v>
      </c>
      <c r="L20" s="997">
        <f t="shared" si="2"/>
        <v>2886761417.0999999</v>
      </c>
      <c r="M20" s="997">
        <f t="shared" si="2"/>
        <v>2562093075.5900002</v>
      </c>
      <c r="N20" s="997">
        <f t="shared" si="2"/>
        <v>2562481201.1399994</v>
      </c>
      <c r="O20" s="997">
        <f t="shared" si="2"/>
        <v>2562963513.1799998</v>
      </c>
      <c r="P20" s="997">
        <f t="shared" si="2"/>
        <v>2563431227.0999999</v>
      </c>
      <c r="Q20" s="997">
        <f t="shared" si="2"/>
        <v>2548362794.7107692</v>
      </c>
    </row>
    <row r="21" spans="1:26">
      <c r="A21" s="726">
        <f t="shared" si="0"/>
        <v>15</v>
      </c>
      <c r="D21" s="80"/>
      <c r="E21" s="80"/>
      <c r="F21" s="80"/>
      <c r="G21" s="80"/>
      <c r="H21" s="80"/>
      <c r="I21" s="80"/>
      <c r="J21" s="80"/>
      <c r="K21" s="80"/>
      <c r="L21" s="80"/>
      <c r="M21" s="80"/>
      <c r="N21" s="80"/>
      <c r="O21" s="80"/>
      <c r="P21" s="80"/>
      <c r="Q21" s="80"/>
    </row>
    <row r="22" spans="1:26">
      <c r="A22" s="726">
        <f t="shared" si="0"/>
        <v>16</v>
      </c>
      <c r="B22" s="763" t="s">
        <v>50</v>
      </c>
      <c r="D22" s="80"/>
      <c r="E22" s="80"/>
      <c r="F22" s="80"/>
      <c r="G22" s="80"/>
      <c r="H22" s="80"/>
      <c r="I22" s="80"/>
      <c r="J22" s="80"/>
      <c r="K22" s="80"/>
      <c r="L22" s="80"/>
      <c r="M22" s="80"/>
      <c r="N22" s="80"/>
      <c r="O22" s="80"/>
      <c r="P22" s="80"/>
    </row>
    <row r="23" spans="1:26">
      <c r="A23" s="726">
        <f t="shared" si="0"/>
        <v>17</v>
      </c>
      <c r="B23" s="43" t="s">
        <v>601</v>
      </c>
      <c r="C23" s="43" t="s">
        <v>918</v>
      </c>
      <c r="D23" s="80"/>
      <c r="E23" s="80"/>
      <c r="F23" s="80"/>
      <c r="G23" s="80"/>
      <c r="H23" s="80"/>
      <c r="I23" s="80"/>
      <c r="J23" s="80"/>
      <c r="K23" s="80"/>
      <c r="L23" s="80"/>
      <c r="M23" s="80"/>
      <c r="N23" s="80"/>
      <c r="O23" s="80"/>
      <c r="P23" s="221">
        <v>101338675.42</v>
      </c>
    </row>
    <row r="24" spans="1:26">
      <c r="A24" s="726">
        <f t="shared" si="0"/>
        <v>18</v>
      </c>
      <c r="B24" s="219" t="s">
        <v>600</v>
      </c>
      <c r="C24" s="43"/>
      <c r="D24" s="80"/>
      <c r="E24" s="80"/>
      <c r="F24" s="80"/>
      <c r="G24" s="80"/>
      <c r="H24" s="80"/>
      <c r="I24" s="80"/>
      <c r="J24" s="80"/>
      <c r="K24" s="80"/>
      <c r="L24" s="80"/>
      <c r="M24" s="80"/>
      <c r="N24" s="80"/>
      <c r="O24" s="80"/>
      <c r="P24" s="221">
        <v>0</v>
      </c>
      <c r="Q24" s="550"/>
    </row>
    <row r="25" spans="1:26">
      <c r="A25" s="726">
        <f t="shared" si="0"/>
        <v>19</v>
      </c>
      <c r="B25" s="43" t="s">
        <v>605</v>
      </c>
      <c r="C25" s="43" t="s">
        <v>919</v>
      </c>
      <c r="D25" s="80"/>
      <c r="E25" s="80"/>
      <c r="F25" s="80"/>
      <c r="G25" s="80"/>
      <c r="H25" s="80"/>
      <c r="I25" s="80"/>
      <c r="J25" s="80"/>
      <c r="K25" s="80"/>
      <c r="L25" s="80"/>
      <c r="M25" s="80"/>
      <c r="N25" s="80"/>
      <c r="O25" s="80"/>
      <c r="P25" s="221">
        <v>2395472.4300000002</v>
      </c>
      <c r="Q25" s="550"/>
    </row>
    <row r="26" spans="1:26">
      <c r="A26" s="726">
        <f t="shared" si="0"/>
        <v>20</v>
      </c>
      <c r="B26" s="43" t="s">
        <v>668</v>
      </c>
      <c r="C26" s="43" t="s">
        <v>920</v>
      </c>
      <c r="D26" s="1740"/>
      <c r="E26" s="1740"/>
      <c r="F26" s="80"/>
      <c r="G26" s="80"/>
      <c r="H26" s="80"/>
      <c r="I26" s="80"/>
      <c r="J26" s="80"/>
      <c r="K26" s="80"/>
      <c r="L26" s="80"/>
      <c r="M26" s="80"/>
      <c r="N26" s="80"/>
      <c r="O26" s="80"/>
      <c r="P26" s="221">
        <v>3251699.8900000006</v>
      </c>
      <c r="Q26" s="550"/>
    </row>
    <row r="27" spans="1:26">
      <c r="A27" s="726">
        <f t="shared" si="0"/>
        <v>21</v>
      </c>
      <c r="B27" s="219" t="s">
        <v>606</v>
      </c>
      <c r="C27" s="43" t="s">
        <v>921</v>
      </c>
      <c r="D27" s="80"/>
      <c r="E27" s="80"/>
      <c r="F27" s="80"/>
      <c r="G27" s="80"/>
      <c r="H27" s="80"/>
      <c r="I27" s="80"/>
      <c r="J27" s="80"/>
      <c r="K27" s="80"/>
      <c r="L27" s="80"/>
      <c r="M27" s="80"/>
      <c r="N27" s="80"/>
      <c r="O27" s="80"/>
      <c r="P27" s="221">
        <v>-252531.91</v>
      </c>
      <c r="Q27" s="550"/>
    </row>
    <row r="28" spans="1:26">
      <c r="A28" s="726">
        <f t="shared" si="0"/>
        <v>22</v>
      </c>
      <c r="B28" s="219" t="s">
        <v>669</v>
      </c>
      <c r="C28" s="43" t="s">
        <v>922</v>
      </c>
      <c r="D28" s="80"/>
      <c r="E28" s="80"/>
      <c r="F28" s="80"/>
      <c r="G28" s="80"/>
      <c r="H28" s="80"/>
      <c r="I28" s="80"/>
      <c r="J28" s="80"/>
      <c r="K28" s="80"/>
      <c r="L28" s="80"/>
      <c r="M28" s="80"/>
      <c r="N28" s="80"/>
      <c r="O28" s="80"/>
      <c r="P28" s="221">
        <v>0</v>
      </c>
      <c r="Q28" s="550"/>
    </row>
    <row r="29" spans="1:26" s="188" customFormat="1" ht="25.5" customHeight="1">
      <c r="A29" s="769">
        <f t="shared" si="0"/>
        <v>23</v>
      </c>
      <c r="B29" s="1024" t="s">
        <v>871</v>
      </c>
      <c r="C29" s="589" t="s">
        <v>923</v>
      </c>
      <c r="D29" s="80"/>
      <c r="E29" s="80"/>
      <c r="F29" s="80"/>
      <c r="G29" s="80"/>
      <c r="H29" s="80"/>
      <c r="I29" s="80"/>
      <c r="J29" s="80"/>
      <c r="K29" s="80"/>
      <c r="L29" s="80"/>
      <c r="M29" s="80"/>
      <c r="N29" s="80"/>
      <c r="O29" s="80"/>
      <c r="P29" s="277">
        <v>0</v>
      </c>
      <c r="Q29" s="999"/>
      <c r="R29" s="43"/>
      <c r="S29" s="43"/>
      <c r="T29" s="43"/>
      <c r="U29" s="43"/>
      <c r="V29" s="43"/>
      <c r="W29" s="43"/>
      <c r="X29" s="43"/>
      <c r="Y29" s="43"/>
      <c r="Z29" s="43"/>
    </row>
    <row r="30" spans="1:26" ht="13.2" customHeight="1">
      <c r="A30" s="726">
        <f t="shared" si="0"/>
        <v>24</v>
      </c>
      <c r="B30" s="1092" t="s">
        <v>47</v>
      </c>
      <c r="C30" s="1218" t="str">
        <f>+"L"&amp;A23&amp;" - L"&amp;A24&amp;" + L"&amp;A25&amp;" + L"&amp;A26&amp;" - L"&amp;A27&amp;" - L"&amp;A28&amp;" + L"&amp;A29</f>
        <v>L17 - L18 + L19 + L20 - L21 - L22 + L23</v>
      </c>
      <c r="D30" s="80"/>
      <c r="E30" s="80"/>
      <c r="F30" s="80"/>
      <c r="G30" s="80"/>
      <c r="H30" s="80"/>
      <c r="I30" s="80"/>
      <c r="J30" s="80"/>
      <c r="K30" s="80"/>
      <c r="L30" s="80"/>
      <c r="M30" s="80"/>
      <c r="N30" s="80"/>
      <c r="O30" s="80"/>
      <c r="P30" s="282">
        <f>+P23-P24+P25+P26-P27-P28+P29</f>
        <v>107238379.65000001</v>
      </c>
      <c r="Q30" s="282"/>
    </row>
    <row r="31" spans="1:26">
      <c r="A31" s="726">
        <f t="shared" si="0"/>
        <v>25</v>
      </c>
      <c r="B31" s="43"/>
      <c r="C31" s="197"/>
      <c r="D31" s="80"/>
      <c r="E31" s="80"/>
      <c r="F31" s="80"/>
      <c r="G31" s="80"/>
      <c r="H31" s="80"/>
      <c r="I31" s="80"/>
      <c r="J31" s="80"/>
      <c r="K31" s="80"/>
      <c r="L31" s="80"/>
      <c r="M31" s="80"/>
      <c r="N31" s="80"/>
      <c r="O31" s="80"/>
      <c r="P31" s="80"/>
    </row>
    <row r="32" spans="1:26">
      <c r="A32" s="726">
        <f t="shared" si="0"/>
        <v>26</v>
      </c>
      <c r="B32" s="1091" t="s">
        <v>51</v>
      </c>
      <c r="C32" s="43"/>
      <c r="D32" s="80"/>
      <c r="E32" s="80"/>
      <c r="F32" s="80"/>
      <c r="G32" s="80"/>
      <c r="H32" s="80"/>
      <c r="I32" s="80"/>
      <c r="J32" s="80"/>
      <c r="K32" s="80"/>
      <c r="L32" s="80"/>
      <c r="M32" s="80"/>
      <c r="N32" s="80"/>
      <c r="O32" s="80"/>
      <c r="P32" s="80"/>
    </row>
    <row r="33" spans="1:26">
      <c r="A33" s="726">
        <f t="shared" si="0"/>
        <v>27</v>
      </c>
      <c r="B33" s="43" t="s">
        <v>604</v>
      </c>
      <c r="C33" s="43" t="s">
        <v>730</v>
      </c>
      <c r="D33" s="221">
        <v>116350000</v>
      </c>
      <c r="E33" s="221">
        <v>116350000</v>
      </c>
      <c r="F33" s="221">
        <v>116350000</v>
      </c>
      <c r="G33" s="221">
        <v>116350000</v>
      </c>
      <c r="H33" s="221">
        <v>116350000</v>
      </c>
      <c r="I33" s="221">
        <v>116350000</v>
      </c>
      <c r="J33" s="221">
        <v>116350000</v>
      </c>
      <c r="K33" s="221">
        <v>116350000</v>
      </c>
      <c r="L33" s="221">
        <v>116350000</v>
      </c>
      <c r="M33" s="221">
        <v>31349999.649999999</v>
      </c>
      <c r="N33" s="221">
        <v>31349999.649999999</v>
      </c>
      <c r="O33" s="221">
        <v>31349999.649999999</v>
      </c>
      <c r="P33" s="221">
        <v>31349999.649999999</v>
      </c>
      <c r="Q33" s="80">
        <f t="shared" ref="Q33:Q38" si="3">SUM(D33:P33)/13</f>
        <v>90196153.738461569</v>
      </c>
    </row>
    <row r="34" spans="1:26">
      <c r="A34" s="726">
        <f t="shared" si="0"/>
        <v>28</v>
      </c>
      <c r="B34" s="43" t="s">
        <v>916</v>
      </c>
      <c r="C34" s="43" t="s">
        <v>737</v>
      </c>
      <c r="D34" s="221">
        <f>-'WP14 Support'!B35</f>
        <v>133438</v>
      </c>
      <c r="E34" s="221">
        <f>+D34</f>
        <v>133438</v>
      </c>
      <c r="F34" s="221">
        <f t="shared" ref="F34:P34" si="4">+E34</f>
        <v>133438</v>
      </c>
      <c r="G34" s="221">
        <f t="shared" si="4"/>
        <v>133438</v>
      </c>
      <c r="H34" s="221">
        <f t="shared" si="4"/>
        <v>133438</v>
      </c>
      <c r="I34" s="221">
        <f t="shared" si="4"/>
        <v>133438</v>
      </c>
      <c r="J34" s="221">
        <f t="shared" si="4"/>
        <v>133438</v>
      </c>
      <c r="K34" s="221">
        <f t="shared" si="4"/>
        <v>133438</v>
      </c>
      <c r="L34" s="221">
        <f t="shared" si="4"/>
        <v>133438</v>
      </c>
      <c r="M34" s="221">
        <f t="shared" si="4"/>
        <v>133438</v>
      </c>
      <c r="N34" s="221">
        <f t="shared" si="4"/>
        <v>133438</v>
      </c>
      <c r="O34" s="221">
        <f t="shared" si="4"/>
        <v>133438</v>
      </c>
      <c r="P34" s="221">
        <f t="shared" si="4"/>
        <v>133438</v>
      </c>
      <c r="Q34" s="80">
        <f t="shared" si="3"/>
        <v>133438</v>
      </c>
      <c r="S34" s="43" t="s">
        <v>1794</v>
      </c>
    </row>
    <row r="35" spans="1:26">
      <c r="A35" s="726">
        <f t="shared" si="0"/>
        <v>29</v>
      </c>
      <c r="B35" s="43" t="s">
        <v>985</v>
      </c>
      <c r="C35" s="43" t="s">
        <v>738</v>
      </c>
      <c r="D35" s="221">
        <v>0</v>
      </c>
      <c r="E35" s="221">
        <v>0</v>
      </c>
      <c r="F35" s="221">
        <v>0</v>
      </c>
      <c r="G35" s="221">
        <v>0</v>
      </c>
      <c r="H35" s="221">
        <v>0</v>
      </c>
      <c r="I35" s="221">
        <v>0</v>
      </c>
      <c r="J35" s="221">
        <v>0</v>
      </c>
      <c r="K35" s="221">
        <v>0</v>
      </c>
      <c r="L35" s="221">
        <v>0</v>
      </c>
      <c r="M35" s="221">
        <v>0</v>
      </c>
      <c r="N35" s="221">
        <v>0</v>
      </c>
      <c r="O35" s="221">
        <v>0</v>
      </c>
      <c r="P35" s="221">
        <v>0</v>
      </c>
      <c r="Q35" s="80">
        <f t="shared" si="3"/>
        <v>0</v>
      </c>
    </row>
    <row r="36" spans="1:26">
      <c r="A36" s="726">
        <f t="shared" si="0"/>
        <v>30</v>
      </c>
      <c r="B36" s="1460" t="s">
        <v>986</v>
      </c>
      <c r="C36" s="43" t="s">
        <v>739</v>
      </c>
      <c r="D36" s="208">
        <v>0</v>
      </c>
      <c r="E36" s="208">
        <v>0</v>
      </c>
      <c r="F36" s="208">
        <v>0</v>
      </c>
      <c r="G36" s="208">
        <v>0</v>
      </c>
      <c r="H36" s="208">
        <v>0</v>
      </c>
      <c r="I36" s="208">
        <v>0</v>
      </c>
      <c r="J36" s="208">
        <v>0</v>
      </c>
      <c r="K36" s="208">
        <v>0</v>
      </c>
      <c r="L36" s="208">
        <v>0</v>
      </c>
      <c r="M36" s="208">
        <v>0</v>
      </c>
      <c r="N36" s="208">
        <v>0</v>
      </c>
      <c r="O36" s="208">
        <v>0</v>
      </c>
      <c r="P36" s="208">
        <v>0</v>
      </c>
      <c r="Q36" s="80">
        <f t="shared" si="3"/>
        <v>0</v>
      </c>
    </row>
    <row r="37" spans="1:26">
      <c r="A37" s="726">
        <f t="shared" si="0"/>
        <v>31</v>
      </c>
      <c r="B37" s="1460" t="s">
        <v>915</v>
      </c>
      <c r="C37" s="43" t="s">
        <v>740</v>
      </c>
      <c r="D37" s="208">
        <v>1753123.35</v>
      </c>
      <c r="E37" s="208">
        <v>1753123.35</v>
      </c>
      <c r="F37" s="208">
        <v>1753123.35</v>
      </c>
      <c r="G37" s="208">
        <v>1753123.35</v>
      </c>
      <c r="H37" s="208">
        <v>1753123.35</v>
      </c>
      <c r="I37" s="208">
        <v>1753123.35</v>
      </c>
      <c r="J37" s="208">
        <v>1753123.35</v>
      </c>
      <c r="K37" s="208">
        <v>1753123.35</v>
      </c>
      <c r="L37" s="208">
        <v>1753123.35</v>
      </c>
      <c r="M37" s="208">
        <v>0</v>
      </c>
      <c r="N37" s="208">
        <v>0</v>
      </c>
      <c r="O37" s="208">
        <v>0</v>
      </c>
      <c r="P37" s="208">
        <v>0</v>
      </c>
      <c r="Q37" s="80">
        <f t="shared" si="3"/>
        <v>1213700.7807692306</v>
      </c>
    </row>
    <row r="38" spans="1:26">
      <c r="A38" s="726">
        <f t="shared" si="0"/>
        <v>32</v>
      </c>
      <c r="B38" s="1460" t="s">
        <v>987</v>
      </c>
      <c r="C38" s="43" t="s">
        <v>741</v>
      </c>
      <c r="D38" s="277">
        <v>0</v>
      </c>
      <c r="E38" s="277">
        <v>0</v>
      </c>
      <c r="F38" s="277">
        <v>0</v>
      </c>
      <c r="G38" s="277">
        <v>0</v>
      </c>
      <c r="H38" s="277">
        <v>0</v>
      </c>
      <c r="I38" s="277">
        <v>0</v>
      </c>
      <c r="J38" s="277">
        <v>0</v>
      </c>
      <c r="K38" s="277">
        <v>0</v>
      </c>
      <c r="L38" s="277">
        <v>0</v>
      </c>
      <c r="M38" s="277">
        <v>0</v>
      </c>
      <c r="N38" s="277">
        <v>0</v>
      </c>
      <c r="O38" s="277">
        <v>0</v>
      </c>
      <c r="P38" s="277">
        <v>0</v>
      </c>
      <c r="Q38" s="590">
        <f t="shared" si="3"/>
        <v>0</v>
      </c>
    </row>
    <row r="39" spans="1:26">
      <c r="A39" s="726">
        <f t="shared" si="0"/>
        <v>33</v>
      </c>
      <c r="B39" s="1092" t="s">
        <v>52</v>
      </c>
      <c r="C39" s="996" t="str">
        <f>+"L"&amp;A33&amp;"+L"&amp;A34&amp;"+L"&amp;A35&amp;"-L"&amp;A36&amp;"-L"&amp;A37&amp;"-L"&amp;A38</f>
        <v>L27+L28+L29-L30-L31-L32</v>
      </c>
      <c r="D39" s="80">
        <f t="shared" ref="D39:Q39" si="5">+D33-D38+D34+D35-D36-D37</f>
        <v>114730314.65000001</v>
      </c>
      <c r="E39" s="80">
        <f t="shared" si="5"/>
        <v>114730314.65000001</v>
      </c>
      <c r="F39" s="80">
        <f t="shared" si="5"/>
        <v>114730314.65000001</v>
      </c>
      <c r="G39" s="80">
        <f t="shared" si="5"/>
        <v>114730314.65000001</v>
      </c>
      <c r="H39" s="80">
        <f t="shared" si="5"/>
        <v>114730314.65000001</v>
      </c>
      <c r="I39" s="80">
        <f t="shared" si="5"/>
        <v>114730314.65000001</v>
      </c>
      <c r="J39" s="80">
        <f t="shared" si="5"/>
        <v>114730314.65000001</v>
      </c>
      <c r="K39" s="80">
        <f t="shared" si="5"/>
        <v>114730314.65000001</v>
      </c>
      <c r="L39" s="80">
        <f t="shared" si="5"/>
        <v>114730314.65000001</v>
      </c>
      <c r="M39" s="80">
        <f t="shared" si="5"/>
        <v>31483437.649999999</v>
      </c>
      <c r="N39" s="80">
        <f t="shared" si="5"/>
        <v>31483437.649999999</v>
      </c>
      <c r="O39" s="80">
        <f t="shared" si="5"/>
        <v>31483437.649999999</v>
      </c>
      <c r="P39" s="80">
        <f t="shared" si="5"/>
        <v>31483437.649999999</v>
      </c>
      <c r="Q39" s="80">
        <f t="shared" si="5"/>
        <v>89115890.95769234</v>
      </c>
    </row>
    <row r="40" spans="1:26">
      <c r="A40" s="726">
        <f t="shared" si="0"/>
        <v>34</v>
      </c>
      <c r="B40" s="75"/>
      <c r="C40" s="75"/>
      <c r="D40" s="80"/>
      <c r="E40" s="80"/>
      <c r="F40" s="80"/>
      <c r="G40" s="80"/>
      <c r="H40" s="80"/>
      <c r="I40" s="80"/>
      <c r="J40" s="80"/>
      <c r="K40" s="80"/>
      <c r="L40" s="80"/>
      <c r="M40" s="80"/>
      <c r="N40" s="80"/>
      <c r="O40" s="80"/>
      <c r="P40" s="80"/>
      <c r="Q40" s="80"/>
    </row>
    <row r="41" spans="1:26">
      <c r="A41" s="726">
        <f t="shared" si="0"/>
        <v>35</v>
      </c>
      <c r="B41" s="45" t="s">
        <v>731</v>
      </c>
      <c r="C41" s="43" t="s">
        <v>924</v>
      </c>
      <c r="D41" s="80"/>
      <c r="E41" s="80"/>
      <c r="F41" s="80"/>
      <c r="G41" s="80"/>
      <c r="H41" s="80"/>
      <c r="I41" s="80"/>
      <c r="J41" s="80"/>
      <c r="K41" s="80"/>
      <c r="L41" s="80"/>
      <c r="M41" s="80"/>
      <c r="N41" s="80"/>
      <c r="O41" s="80"/>
      <c r="P41" s="221">
        <v>5269822.78</v>
      </c>
      <c r="Q41" s="80"/>
    </row>
    <row r="42" spans="1:26">
      <c r="A42" s="726">
        <f t="shared" si="0"/>
        <v>36</v>
      </c>
      <c r="B42" s="43"/>
      <c r="C42" s="43"/>
      <c r="D42" s="80"/>
      <c r="E42" s="80"/>
      <c r="F42" s="80"/>
      <c r="G42" s="80"/>
      <c r="H42" s="80"/>
      <c r="I42" s="80"/>
      <c r="J42" s="80"/>
      <c r="K42" s="80"/>
      <c r="L42" s="80"/>
      <c r="M42" s="80"/>
      <c r="N42" s="80"/>
      <c r="O42" s="80"/>
      <c r="P42" s="80"/>
      <c r="Q42" s="80"/>
    </row>
    <row r="43" spans="1:26">
      <c r="A43" s="726">
        <f t="shared" si="0"/>
        <v>37</v>
      </c>
      <c r="B43" s="998" t="s">
        <v>58</v>
      </c>
      <c r="C43" s="43"/>
      <c r="D43" s="80"/>
      <c r="E43" s="80"/>
      <c r="F43" s="80"/>
      <c r="G43" s="80"/>
      <c r="H43" s="80"/>
      <c r="I43" s="80"/>
      <c r="J43" s="80"/>
      <c r="K43" s="80"/>
      <c r="L43" s="80"/>
      <c r="M43" s="80"/>
      <c r="N43" s="80"/>
      <c r="O43" s="80"/>
      <c r="P43" s="80"/>
      <c r="Q43" s="80"/>
    </row>
    <row r="44" spans="1:26">
      <c r="A44" s="726">
        <f t="shared" si="0"/>
        <v>38</v>
      </c>
      <c r="B44" s="43" t="s">
        <v>120</v>
      </c>
      <c r="C44" s="43" t="s">
        <v>732</v>
      </c>
      <c r="D44" s="221">
        <v>2007958681</v>
      </c>
      <c r="E44" s="221">
        <v>2013785350.1399968</v>
      </c>
      <c r="F44" s="221">
        <v>2019354118.5100033</v>
      </c>
      <c r="G44" s="221">
        <v>2225534425.5599999</v>
      </c>
      <c r="H44" s="221">
        <v>2236258494.5599961</v>
      </c>
      <c r="I44" s="221">
        <v>2246982563.5600038</v>
      </c>
      <c r="J44" s="221">
        <v>2257706632.5599999</v>
      </c>
      <c r="K44" s="221">
        <v>2293252880.8933296</v>
      </c>
      <c r="L44" s="221">
        <v>2328799129.2266703</v>
      </c>
      <c r="M44" s="221">
        <v>2281095200.9099998</v>
      </c>
      <c r="N44" s="221">
        <v>2282269482.9099998</v>
      </c>
      <c r="O44" s="221">
        <v>2283443764.9099998</v>
      </c>
      <c r="P44" s="221">
        <v>2284618046.9099998</v>
      </c>
      <c r="Q44" s="80">
        <f>SUM(D44:P44)/13</f>
        <v>2212389136.2807689</v>
      </c>
    </row>
    <row r="45" spans="1:26">
      <c r="A45" s="726">
        <f t="shared" si="0"/>
        <v>39</v>
      </c>
      <c r="B45" s="219" t="s">
        <v>522</v>
      </c>
      <c r="C45" s="43" t="str">
        <f>+"L"&amp;A39&amp;" Above"</f>
        <v>L33 Above</v>
      </c>
      <c r="D45" s="80">
        <f>D39</f>
        <v>114730314.65000001</v>
      </c>
      <c r="E45" s="80">
        <f t="shared" ref="E45:P45" si="6">E39</f>
        <v>114730314.65000001</v>
      </c>
      <c r="F45" s="80">
        <f t="shared" si="6"/>
        <v>114730314.65000001</v>
      </c>
      <c r="G45" s="80">
        <f t="shared" si="6"/>
        <v>114730314.65000001</v>
      </c>
      <c r="H45" s="80">
        <f t="shared" si="6"/>
        <v>114730314.65000001</v>
      </c>
      <c r="I45" s="80">
        <f t="shared" si="6"/>
        <v>114730314.65000001</v>
      </c>
      <c r="J45" s="80">
        <f t="shared" si="6"/>
        <v>114730314.65000001</v>
      </c>
      <c r="K45" s="80">
        <f t="shared" si="6"/>
        <v>114730314.65000001</v>
      </c>
      <c r="L45" s="80">
        <f t="shared" si="6"/>
        <v>114730314.65000001</v>
      </c>
      <c r="M45" s="80">
        <f t="shared" si="6"/>
        <v>31483437.649999999</v>
      </c>
      <c r="N45" s="80">
        <f t="shared" si="6"/>
        <v>31483437.649999999</v>
      </c>
      <c r="O45" s="80">
        <f t="shared" si="6"/>
        <v>31483437.649999999</v>
      </c>
      <c r="P45" s="80">
        <f t="shared" si="6"/>
        <v>31483437.649999999</v>
      </c>
      <c r="Q45" s="80">
        <f>SUM(D45:P45)/13</f>
        <v>89115890.95769231</v>
      </c>
    </row>
    <row r="46" spans="1:26" s="188" customFormat="1" ht="26.25" customHeight="1">
      <c r="A46" s="769">
        <f t="shared" si="0"/>
        <v>40</v>
      </c>
      <c r="B46" s="1024" t="s">
        <v>670</v>
      </c>
      <c r="C46" s="589" t="s">
        <v>733</v>
      </c>
      <c r="D46" s="770">
        <v>-6134171</v>
      </c>
      <c r="E46" s="770">
        <v>-6132789.3333333302</v>
      </c>
      <c r="F46" s="770">
        <v>-6131407.6666666698</v>
      </c>
      <c r="G46" s="770">
        <v>-6130026</v>
      </c>
      <c r="H46" s="770">
        <v>-6203768.3333333302</v>
      </c>
      <c r="I46" s="770">
        <v>-6277510.6666666698</v>
      </c>
      <c r="J46" s="770">
        <v>-6351253</v>
      </c>
      <c r="K46" s="770">
        <v>-6349977</v>
      </c>
      <c r="L46" s="770">
        <v>-6348701</v>
      </c>
      <c r="M46" s="770">
        <v>-6347425</v>
      </c>
      <c r="N46" s="770">
        <v>-6314015</v>
      </c>
      <c r="O46" s="770">
        <v>-6280605</v>
      </c>
      <c r="P46" s="770">
        <v>-6247195</v>
      </c>
      <c r="Q46" s="80">
        <f>SUM(D46:P46)/13</f>
        <v>-6249911.076923077</v>
      </c>
      <c r="R46" s="43"/>
      <c r="S46" s="43"/>
      <c r="T46" s="43"/>
      <c r="U46" s="43"/>
      <c r="V46" s="43"/>
      <c r="W46" s="43"/>
      <c r="X46" s="43"/>
      <c r="Y46" s="43"/>
      <c r="Z46" s="43"/>
    </row>
    <row r="47" spans="1:26">
      <c r="A47" s="726">
        <f t="shared" si="0"/>
        <v>41</v>
      </c>
      <c r="B47" s="219" t="s">
        <v>610</v>
      </c>
      <c r="C47" s="43" t="s">
        <v>734</v>
      </c>
      <c r="D47" s="221">
        <v>0</v>
      </c>
      <c r="E47" s="221">
        <v>0</v>
      </c>
      <c r="F47" s="221">
        <v>0</v>
      </c>
      <c r="G47" s="221">
        <v>0</v>
      </c>
      <c r="H47" s="221">
        <v>0</v>
      </c>
      <c r="I47" s="221">
        <v>0</v>
      </c>
      <c r="J47" s="221">
        <v>0</v>
      </c>
      <c r="K47" s="221">
        <v>0</v>
      </c>
      <c r="L47" s="221">
        <v>0</v>
      </c>
      <c r="M47" s="221">
        <v>0</v>
      </c>
      <c r="N47" s="221">
        <v>0</v>
      </c>
      <c r="O47" s="221">
        <v>0</v>
      </c>
      <c r="P47" s="221">
        <v>0</v>
      </c>
      <c r="Q47" s="80">
        <f>SUM(D47:P47)/13</f>
        <v>0</v>
      </c>
    </row>
    <row r="48" spans="1:26">
      <c r="A48" s="726">
        <f t="shared" si="0"/>
        <v>42</v>
      </c>
      <c r="B48" s="1092" t="s">
        <v>49</v>
      </c>
      <c r="C48" s="996" t="str">
        <f>+"L"&amp;A44&amp;" - (L"&amp;A45&amp;" to L"&amp;A47&amp;")"</f>
        <v>L38 - (L39 to L41)</v>
      </c>
      <c r="D48" s="997">
        <f>+D44-D45-D46-D47</f>
        <v>1899362537.3499999</v>
      </c>
      <c r="E48" s="997">
        <f t="shared" ref="E48:Q48" si="7">+E44-E45-E46-E47</f>
        <v>1905187824.8233299</v>
      </c>
      <c r="F48" s="997">
        <f t="shared" si="7"/>
        <v>1910755211.52667</v>
      </c>
      <c r="G48" s="997">
        <f t="shared" si="7"/>
        <v>2116934136.9099998</v>
      </c>
      <c r="H48" s="997">
        <f t="shared" si="7"/>
        <v>2127731948.2433293</v>
      </c>
      <c r="I48" s="997">
        <f t="shared" si="7"/>
        <v>2138529759.5766704</v>
      </c>
      <c r="J48" s="997">
        <f t="shared" si="7"/>
        <v>2149327570.9099998</v>
      </c>
      <c r="K48" s="997">
        <f t="shared" si="7"/>
        <v>2184872543.2433295</v>
      </c>
      <c r="L48" s="997">
        <f t="shared" si="7"/>
        <v>2220417515.5766702</v>
      </c>
      <c r="M48" s="997">
        <f t="shared" si="7"/>
        <v>2255959188.2599998</v>
      </c>
      <c r="N48" s="997">
        <f t="shared" si="7"/>
        <v>2257100060.2599998</v>
      </c>
      <c r="O48" s="997">
        <f t="shared" si="7"/>
        <v>2258240932.2599998</v>
      </c>
      <c r="P48" s="997">
        <f t="shared" si="7"/>
        <v>2259381804.2599998</v>
      </c>
      <c r="Q48" s="997">
        <f t="shared" si="7"/>
        <v>2129523156.3999996</v>
      </c>
    </row>
    <row r="49" spans="1:26" s="766" customFormat="1">
      <c r="A49" s="765"/>
      <c r="B49" s="1035"/>
      <c r="C49" s="1035"/>
      <c r="D49" s="768"/>
      <c r="E49" s="768"/>
      <c r="F49" s="768"/>
      <c r="G49" s="768"/>
      <c r="H49" s="768"/>
      <c r="I49" s="768"/>
      <c r="J49" s="768"/>
      <c r="K49" s="768"/>
      <c r="L49" s="768"/>
      <c r="M49" s="768"/>
      <c r="N49" s="768"/>
      <c r="O49" s="768"/>
      <c r="P49" s="768"/>
      <c r="Q49" s="768"/>
      <c r="R49" s="43"/>
      <c r="S49" s="43"/>
      <c r="T49" s="43"/>
      <c r="U49" s="43"/>
      <c r="V49" s="43"/>
      <c r="W49" s="43"/>
      <c r="X49" s="43"/>
      <c r="Y49" s="43"/>
      <c r="Z49" s="43"/>
    </row>
    <row r="50" spans="1:26">
      <c r="A50" s="726" t="s">
        <v>129</v>
      </c>
      <c r="B50" s="43"/>
      <c r="C50" s="43"/>
      <c r="D50" s="80"/>
      <c r="E50" s="80"/>
      <c r="F50" s="80"/>
      <c r="G50" s="80"/>
      <c r="H50" s="80"/>
      <c r="I50" s="80"/>
      <c r="J50" s="80"/>
      <c r="K50" s="80"/>
      <c r="L50" s="80"/>
      <c r="M50" s="80"/>
      <c r="N50" s="80"/>
      <c r="O50" s="80"/>
      <c r="P50" s="269"/>
      <c r="Q50" s="80"/>
    </row>
    <row r="51" spans="1:26">
      <c r="A51" s="1002" t="s">
        <v>176</v>
      </c>
      <c r="B51" s="589" t="s">
        <v>591</v>
      </c>
      <c r="C51" s="589"/>
      <c r="D51" s="589"/>
      <c r="E51" s="589"/>
      <c r="F51" s="589"/>
      <c r="G51" s="589"/>
      <c r="H51" s="589"/>
      <c r="I51" s="589"/>
      <c r="J51" s="589"/>
      <c r="K51" s="589"/>
      <c r="L51" s="589"/>
      <c r="M51" s="589"/>
      <c r="N51" s="589"/>
      <c r="O51" s="589"/>
      <c r="P51" s="589"/>
      <c r="Q51" s="1001"/>
    </row>
    <row r="52" spans="1:26" s="43" customFormat="1">
      <c r="A52" s="1002" t="s">
        <v>338</v>
      </c>
      <c r="B52" s="589" t="s">
        <v>892</v>
      </c>
      <c r="C52" s="589"/>
      <c r="D52" s="589"/>
      <c r="E52" s="589"/>
      <c r="F52" s="589"/>
      <c r="G52" s="589"/>
      <c r="H52" s="589"/>
      <c r="I52" s="589"/>
      <c r="J52" s="589"/>
      <c r="K52" s="589"/>
      <c r="L52" s="589"/>
      <c r="M52" s="589"/>
      <c r="N52" s="589"/>
      <c r="O52" s="589"/>
      <c r="P52" s="589"/>
      <c r="Q52" s="1001"/>
      <c r="R52" s="1001"/>
      <c r="S52" s="1001"/>
      <c r="T52" s="1001"/>
    </row>
    <row r="53" spans="1:26" s="43" customFormat="1">
      <c r="A53" s="1002" t="s">
        <v>339</v>
      </c>
      <c r="B53" s="589" t="s">
        <v>872</v>
      </c>
      <c r="C53" s="589"/>
      <c r="D53" s="589"/>
      <c r="E53" s="589"/>
      <c r="F53" s="589"/>
      <c r="G53" s="589"/>
      <c r="H53" s="589"/>
      <c r="I53" s="589"/>
      <c r="J53" s="589"/>
      <c r="K53" s="589"/>
      <c r="L53" s="589"/>
      <c r="M53" s="589"/>
      <c r="N53" s="589"/>
      <c r="O53" s="589"/>
      <c r="P53" s="589"/>
      <c r="Q53" s="1001"/>
    </row>
    <row r="54" spans="1:26" s="43" customFormat="1">
      <c r="A54" s="1262" t="s">
        <v>340</v>
      </c>
      <c r="B54" s="43" t="s">
        <v>975</v>
      </c>
      <c r="D54" s="239"/>
      <c r="E54" s="239"/>
      <c r="F54" s="239"/>
      <c r="G54" s="239"/>
      <c r="H54" s="239"/>
      <c r="I54" s="239"/>
      <c r="J54" s="239"/>
      <c r="K54" s="239"/>
      <c r="L54" s="239"/>
      <c r="M54" s="239"/>
      <c r="N54" s="239"/>
      <c r="O54" s="239"/>
      <c r="Q54" s="80"/>
    </row>
    <row r="55" spans="1:26" s="43" customFormat="1" ht="15">
      <c r="A55" s="1460"/>
      <c r="B55" s="1481"/>
      <c r="C55" s="1481"/>
      <c r="D55" s="1482"/>
      <c r="E55" s="967"/>
      <c r="F55" s="239"/>
      <c r="G55" s="239"/>
      <c r="H55" s="239"/>
      <c r="I55" s="239"/>
      <c r="J55" s="239"/>
      <c r="K55" s="239"/>
      <c r="L55" s="239"/>
      <c r="M55" s="239"/>
      <c r="N55" s="239"/>
      <c r="O55" s="239"/>
      <c r="Q55" s="80"/>
    </row>
    <row r="56" spans="1:26" s="43" customFormat="1">
      <c r="A56" s="1460"/>
      <c r="B56" s="968"/>
      <c r="C56" s="904"/>
      <c r="D56" s="80"/>
      <c r="E56" s="80"/>
      <c r="Q56" s="80"/>
    </row>
    <row r="57" spans="1:26" s="43" customFormat="1">
      <c r="A57" s="1460"/>
      <c r="B57" s="968"/>
      <c r="C57" s="904"/>
      <c r="D57" s="80"/>
      <c r="E57" s="80"/>
      <c r="Q57" s="80"/>
    </row>
  </sheetData>
  <mergeCells count="3">
    <mergeCell ref="A1:C1"/>
    <mergeCell ref="A2:C2"/>
    <mergeCell ref="A3:C3"/>
  </mergeCells>
  <phoneticPr fontId="71" type="noConversion"/>
  <pageMargins left="0.7" right="0.7" top="0.7" bottom="0.7" header="0.3" footer="0.5"/>
  <pageSetup scale="66" orientation="landscape" r:id="rId1"/>
  <headerFooter>
    <oddFooter>&amp;R&amp;A</oddFooter>
  </headerFooter>
  <ignoredErrors>
    <ignoredError sqref="A51:A5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workbookViewId="0">
      <selection sqref="A1:B1"/>
    </sheetView>
  </sheetViews>
  <sheetFormatPr defaultRowHeight="13.2"/>
  <cols>
    <col min="1" max="1" width="32.5546875" bestFit="1" customWidth="1"/>
    <col min="2" max="2" width="28.5546875" bestFit="1" customWidth="1"/>
    <col min="3" max="3" width="30.6640625" bestFit="1" customWidth="1"/>
    <col min="4" max="4" width="13.44140625" bestFit="1" customWidth="1"/>
    <col min="5" max="5" width="3.109375" bestFit="1" customWidth="1"/>
  </cols>
  <sheetData>
    <row r="1" spans="1:5">
      <c r="A1" s="1922" t="str">
        <f>'MISO Cover'!C6</f>
        <v>Entergy Arkansas, Inc.</v>
      </c>
      <c r="B1" s="1922"/>
      <c r="C1" s="1922"/>
      <c r="D1" s="1922"/>
      <c r="E1" s="1922"/>
    </row>
    <row r="2" spans="1:5">
      <c r="A2" s="1922" t="s">
        <v>1713</v>
      </c>
      <c r="B2" s="1922"/>
      <c r="C2" s="1922"/>
      <c r="D2" s="1922"/>
      <c r="E2" s="1922"/>
    </row>
    <row r="3" spans="1:5">
      <c r="A3" s="1922" t="str">
        <f>'MISO Cover'!K4</f>
        <v>For  the 12 Months Ended 12/31/2016</v>
      </c>
      <c r="B3" s="1922"/>
      <c r="C3" s="1922"/>
      <c r="D3" s="1922"/>
      <c r="E3" s="1922"/>
    </row>
    <row r="4" spans="1:5">
      <c r="A4" s="1741"/>
      <c r="B4" s="1741"/>
      <c r="C4" s="1741"/>
      <c r="D4" s="1741"/>
      <c r="E4" s="1741"/>
    </row>
    <row r="5" spans="1:5">
      <c r="A5" s="1742" t="s">
        <v>180</v>
      </c>
      <c r="B5" s="1742" t="s">
        <v>1714</v>
      </c>
      <c r="C5" s="1742" t="s">
        <v>1715</v>
      </c>
      <c r="D5" s="1743" t="s">
        <v>118</v>
      </c>
      <c r="E5" s="1744"/>
    </row>
    <row r="6" spans="1:5">
      <c r="A6" s="1744" t="s">
        <v>1716</v>
      </c>
      <c r="B6" s="1744" t="s">
        <v>1717</v>
      </c>
      <c r="C6" s="1744" t="s">
        <v>1718</v>
      </c>
      <c r="D6" s="1745">
        <v>-14700</v>
      </c>
      <c r="E6" s="1744" t="s">
        <v>1719</v>
      </c>
    </row>
    <row r="7" spans="1:5">
      <c r="A7" s="1744"/>
      <c r="B7" s="1744"/>
      <c r="C7" s="1744" t="s">
        <v>1720</v>
      </c>
      <c r="D7" s="1745">
        <v>-16275</v>
      </c>
      <c r="E7" s="1744" t="s">
        <v>1719</v>
      </c>
    </row>
    <row r="8" spans="1:5">
      <c r="A8" s="1744"/>
      <c r="B8" s="1744"/>
      <c r="C8" s="1744" t="s">
        <v>1721</v>
      </c>
      <c r="D8" s="1745">
        <v>-11475</v>
      </c>
      <c r="E8" s="1744" t="s">
        <v>1719</v>
      </c>
    </row>
    <row r="9" spans="1:5">
      <c r="A9" s="1744"/>
      <c r="B9" s="1744"/>
      <c r="C9" s="1744" t="s">
        <v>1722</v>
      </c>
      <c r="D9" s="1745">
        <v>-90987.75</v>
      </c>
      <c r="E9" s="1744" t="s">
        <v>1719</v>
      </c>
    </row>
    <row r="10" spans="1:5">
      <c r="A10" s="1744"/>
      <c r="B10" s="1744"/>
      <c r="C10" s="1744" t="s">
        <v>1723</v>
      </c>
      <c r="D10" s="1745">
        <v>0</v>
      </c>
      <c r="E10" s="1744"/>
    </row>
    <row r="11" spans="1:5">
      <c r="A11" s="1744"/>
      <c r="B11" s="1744"/>
      <c r="C11" s="1744" t="s">
        <v>1724</v>
      </c>
      <c r="D11" s="1745">
        <v>0</v>
      </c>
      <c r="E11" s="1744"/>
    </row>
    <row r="12" spans="1:5">
      <c r="A12" s="1744"/>
      <c r="B12" s="1744"/>
      <c r="C12" s="1744" t="s">
        <v>1725</v>
      </c>
      <c r="D12" s="1745">
        <v>0</v>
      </c>
      <c r="E12" s="1744"/>
    </row>
    <row r="13" spans="1:5">
      <c r="A13" s="1744"/>
      <c r="B13" s="1744"/>
      <c r="C13" s="1744" t="s">
        <v>1726</v>
      </c>
      <c r="D13" s="1745">
        <v>0</v>
      </c>
      <c r="E13" s="1744"/>
    </row>
    <row r="14" spans="1:5">
      <c r="A14" s="1744"/>
      <c r="B14" s="1744"/>
      <c r="C14" s="1744" t="s">
        <v>1727</v>
      </c>
      <c r="D14" s="1745">
        <v>0</v>
      </c>
      <c r="E14" s="1744"/>
    </row>
    <row r="15" spans="1:5">
      <c r="A15" s="1744"/>
      <c r="B15" s="1744"/>
      <c r="C15" s="1744" t="s">
        <v>1728</v>
      </c>
      <c r="D15" s="1745">
        <v>-113908.14</v>
      </c>
      <c r="E15" s="1744" t="s">
        <v>1729</v>
      </c>
    </row>
    <row r="16" spans="1:5">
      <c r="A16" s="1746" t="s">
        <v>1730</v>
      </c>
      <c r="B16" s="1746"/>
      <c r="C16" s="1746"/>
      <c r="D16" s="1747">
        <v>-250645.89</v>
      </c>
      <c r="E16" s="1744"/>
    </row>
    <row r="17" spans="1:5">
      <c r="A17" s="1744" t="s">
        <v>1731</v>
      </c>
      <c r="B17" s="1744" t="s">
        <v>1732</v>
      </c>
      <c r="C17" s="1744" t="s">
        <v>70</v>
      </c>
      <c r="D17" s="1745">
        <v>-3819767.95</v>
      </c>
      <c r="E17" s="1744"/>
    </row>
    <row r="18" spans="1:5">
      <c r="A18" s="1744"/>
      <c r="B18" s="1744"/>
      <c r="C18" s="1744" t="s">
        <v>1733</v>
      </c>
      <c r="D18" s="1745">
        <v>606000</v>
      </c>
      <c r="E18" s="1744"/>
    </row>
    <row r="19" spans="1:5">
      <c r="A19" s="1746" t="s">
        <v>1734</v>
      </c>
      <c r="B19" s="1746"/>
      <c r="C19" s="1746"/>
      <c r="D19" s="1747">
        <v>-3213767.95</v>
      </c>
      <c r="E19" s="1744" t="s">
        <v>1729</v>
      </c>
    </row>
    <row r="20" spans="1:5">
      <c r="A20" s="1744" t="s">
        <v>1735</v>
      </c>
      <c r="B20" s="1744" t="s">
        <v>1736</v>
      </c>
      <c r="C20" s="1744" t="s">
        <v>1737</v>
      </c>
      <c r="D20" s="1745">
        <v>0</v>
      </c>
      <c r="E20" s="1744"/>
    </row>
    <row r="21" spans="1:5">
      <c r="A21" s="1746" t="s">
        <v>1738</v>
      </c>
      <c r="B21" s="1746"/>
      <c r="C21" s="1746"/>
      <c r="D21" s="1747">
        <v>0</v>
      </c>
      <c r="E21" s="1744"/>
    </row>
    <row r="22" spans="1:5">
      <c r="A22" s="1744" t="s">
        <v>1739</v>
      </c>
      <c r="B22" s="1744" t="s">
        <v>1740</v>
      </c>
      <c r="C22" s="1744" t="s">
        <v>70</v>
      </c>
      <c r="D22" s="1745">
        <v>0</v>
      </c>
      <c r="E22" s="1744"/>
    </row>
    <row r="23" spans="1:5">
      <c r="A23" s="1746" t="s">
        <v>1741</v>
      </c>
      <c r="B23" s="1746"/>
      <c r="C23" s="1746"/>
      <c r="D23" s="1747">
        <v>0</v>
      </c>
      <c r="E23" s="1744"/>
    </row>
    <row r="24" spans="1:5">
      <c r="A24" s="1744" t="s">
        <v>1742</v>
      </c>
      <c r="B24" s="1744" t="s">
        <v>1743</v>
      </c>
      <c r="C24" s="1744" t="s">
        <v>1737</v>
      </c>
      <c r="D24" s="1745">
        <v>0</v>
      </c>
      <c r="E24" s="1744"/>
    </row>
    <row r="25" spans="1:5">
      <c r="A25" s="1744"/>
      <c r="B25" s="1744"/>
      <c r="C25" s="1744" t="s">
        <v>1744</v>
      </c>
      <c r="D25" s="1745">
        <v>0</v>
      </c>
      <c r="E25" s="1744"/>
    </row>
    <row r="26" spans="1:5">
      <c r="A26" s="1746" t="s">
        <v>1745</v>
      </c>
      <c r="B26" s="1746"/>
      <c r="C26" s="1746"/>
      <c r="D26" s="1747">
        <v>0</v>
      </c>
      <c r="E26" s="1744"/>
    </row>
    <row r="27" spans="1:5">
      <c r="A27" s="1744" t="s">
        <v>1746</v>
      </c>
      <c r="B27" s="1744" t="s">
        <v>1747</v>
      </c>
      <c r="C27" s="1744" t="s">
        <v>70</v>
      </c>
      <c r="D27" s="1745">
        <v>49709.93</v>
      </c>
      <c r="E27" s="1744"/>
    </row>
    <row r="28" spans="1:5">
      <c r="A28" s="1746" t="s">
        <v>1748</v>
      </c>
      <c r="B28" s="1746"/>
      <c r="C28" s="1746"/>
      <c r="D28" s="1747">
        <v>49709.93</v>
      </c>
      <c r="E28" s="1744" t="s">
        <v>1749</v>
      </c>
    </row>
    <row r="29" spans="1:5">
      <c r="A29" s="1744" t="s">
        <v>1750</v>
      </c>
      <c r="B29" s="1744" t="s">
        <v>1751</v>
      </c>
      <c r="C29" s="1744" t="s">
        <v>70</v>
      </c>
      <c r="D29" s="1745">
        <v>0</v>
      </c>
      <c r="E29" s="1744"/>
    </row>
    <row r="30" spans="1:5">
      <c r="A30" s="1744"/>
      <c r="B30" s="1744"/>
      <c r="C30" s="1744" t="s">
        <v>1752</v>
      </c>
      <c r="D30" s="1745">
        <v>0</v>
      </c>
      <c r="E30" s="1744"/>
    </row>
    <row r="31" spans="1:5">
      <c r="A31" s="1746" t="s">
        <v>1753</v>
      </c>
      <c r="B31" s="1746"/>
      <c r="C31" s="1746"/>
      <c r="D31" s="1747">
        <v>0</v>
      </c>
      <c r="E31" s="1744" t="s">
        <v>1754</v>
      </c>
    </row>
    <row r="32" spans="1:5">
      <c r="A32" s="1744"/>
      <c r="B32" s="1744"/>
      <c r="C32" s="1744"/>
      <c r="D32" s="1745"/>
      <c r="E32" s="1744"/>
    </row>
    <row r="33" spans="1:5">
      <c r="A33" s="1744"/>
      <c r="B33" s="1744"/>
      <c r="C33" s="1744"/>
      <c r="D33" s="1745"/>
      <c r="E33" s="1744"/>
    </row>
    <row r="34" spans="1:5">
      <c r="A34" s="1742" t="s">
        <v>1755</v>
      </c>
      <c r="B34" s="1743" t="s">
        <v>1756</v>
      </c>
      <c r="C34" s="1742" t="s">
        <v>1757</v>
      </c>
      <c r="D34" s="1745"/>
      <c r="E34" s="1744"/>
    </row>
    <row r="35" spans="1:5">
      <c r="A35" s="1744" t="s">
        <v>1758</v>
      </c>
      <c r="B35" s="1745">
        <v>-133438</v>
      </c>
      <c r="C35" s="1744"/>
      <c r="D35" s="1745"/>
      <c r="E35" s="1744"/>
    </row>
    <row r="36" spans="1:5">
      <c r="A36" s="1744" t="s">
        <v>1759</v>
      </c>
      <c r="B36" s="1745">
        <v>-3327676.0900000003</v>
      </c>
      <c r="C36" s="1744"/>
      <c r="D36" s="1745"/>
      <c r="E36" s="1744"/>
    </row>
    <row r="37" spans="1:5" ht="13.8" thickBot="1">
      <c r="A37" s="1748" t="s">
        <v>118</v>
      </c>
      <c r="B37" s="1749">
        <v>-3461114</v>
      </c>
      <c r="C37" s="1749">
        <v>-3464414</v>
      </c>
      <c r="D37" s="1745" t="s">
        <v>1760</v>
      </c>
      <c r="E37" s="1744"/>
    </row>
    <row r="38" spans="1:5" ht="13.8" thickTop="1">
      <c r="A38" s="1744"/>
      <c r="B38" s="1745"/>
      <c r="C38" s="1744"/>
      <c r="D38" s="1745"/>
      <c r="E38" s="1744"/>
    </row>
    <row r="39" spans="1:5">
      <c r="A39" s="1744" t="s">
        <v>1761</v>
      </c>
      <c r="B39" s="1745">
        <v>49709.93</v>
      </c>
      <c r="C39" s="1744"/>
      <c r="D39" s="1745" t="s">
        <v>1762</v>
      </c>
      <c r="E39" s="1744"/>
    </row>
    <row r="40" spans="1:5">
      <c r="A40" s="1744" t="s">
        <v>1763</v>
      </c>
      <c r="B40" s="1745">
        <v>0</v>
      </c>
      <c r="C40" s="1744"/>
      <c r="D40" s="1745" t="s">
        <v>1764</v>
      </c>
      <c r="E40" s="1744"/>
    </row>
    <row r="41" spans="1:5" ht="40.200000000000003" thickBot="1">
      <c r="A41" s="1748" t="s">
        <v>118</v>
      </c>
      <c r="B41" s="1749">
        <v>49710</v>
      </c>
      <c r="C41" s="1749">
        <v>1802833</v>
      </c>
      <c r="D41" s="1750" t="s">
        <v>1765</v>
      </c>
      <c r="E41" s="1744"/>
    </row>
    <row r="42" spans="1:5" ht="13.8" thickTop="1">
      <c r="A42" s="1744"/>
      <c r="B42" s="1745"/>
      <c r="C42" s="1744"/>
      <c r="D42" s="1745"/>
      <c r="E42" s="1744"/>
    </row>
  </sheetData>
  <mergeCells count="3">
    <mergeCell ref="A1:E1"/>
    <mergeCell ref="A2:E2"/>
    <mergeCell ref="A3:E3"/>
  </mergeCells>
  <pageMargins left="0.7" right="0.7" top="0.7" bottom="0.7" header="0.3" footer="0.5"/>
  <pageSetup scale="85" orientation="portrait" r:id="rId1"/>
  <headerFooter>
    <oddFooter>&amp;R&amp;A</oddFooter>
  </headerFooter>
  <ignoredErrors>
    <ignoredError sqref="A6:A27"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89"/>
  <sheetViews>
    <sheetView workbookViewId="0">
      <selection sqref="A1:B1"/>
    </sheetView>
  </sheetViews>
  <sheetFormatPr defaultColWidth="9.109375" defaultRowHeight="13.2"/>
  <cols>
    <col min="1" max="1" width="5.33203125" style="714" customWidth="1"/>
    <col min="2" max="2" width="48.33203125" style="196" bestFit="1" customWidth="1"/>
    <col min="3" max="3" width="11.5546875" style="196" customWidth="1"/>
    <col min="4" max="4" width="17.33203125" style="196" bestFit="1" customWidth="1"/>
    <col min="5" max="5" width="13.6640625" style="196" bestFit="1" customWidth="1"/>
    <col min="6" max="7" width="14.109375" style="196" bestFit="1" customWidth="1"/>
    <col min="8" max="8" width="9.109375" style="196"/>
    <col min="9" max="9" width="10.33203125" style="45" customWidth="1"/>
    <col min="10" max="15" width="9.109375" style="45"/>
    <col min="16" max="249" width="9.109375" style="196"/>
    <col min="250" max="250" width="24.88671875" style="196" customWidth="1"/>
    <col min="251" max="256" width="17.88671875" style="196" customWidth="1"/>
    <col min="257" max="257" width="15.5546875" style="196" bestFit="1" customWidth="1"/>
    <col min="258" max="258" width="8.6640625" style="196" customWidth="1"/>
    <col min="259" max="259" width="14.5546875" style="196" bestFit="1" customWidth="1"/>
    <col min="260" max="505" width="9.109375" style="196"/>
    <col min="506" max="506" width="24.88671875" style="196" customWidth="1"/>
    <col min="507" max="512" width="17.88671875" style="196" customWidth="1"/>
    <col min="513" max="513" width="15.5546875" style="196" bestFit="1" customWidth="1"/>
    <col min="514" max="514" width="8.6640625" style="196" customWidth="1"/>
    <col min="515" max="515" width="14.5546875" style="196" bestFit="1" customWidth="1"/>
    <col min="516" max="761" width="9.109375" style="196"/>
    <col min="762" max="762" width="24.88671875" style="196" customWidth="1"/>
    <col min="763" max="768" width="17.88671875" style="196" customWidth="1"/>
    <col min="769" max="769" width="15.5546875" style="196" bestFit="1" customWidth="1"/>
    <col min="770" max="770" width="8.6640625" style="196" customWidth="1"/>
    <col min="771" max="771" width="14.5546875" style="196" bestFit="1" customWidth="1"/>
    <col min="772" max="1017" width="9.109375" style="196"/>
    <col min="1018" max="1018" width="24.88671875" style="196" customWidth="1"/>
    <col min="1019" max="1024" width="17.88671875" style="196" customWidth="1"/>
    <col min="1025" max="1025" width="15.5546875" style="196" bestFit="1" customWidth="1"/>
    <col min="1026" max="1026" width="8.6640625" style="196" customWidth="1"/>
    <col min="1027" max="1027" width="14.5546875" style="196" bestFit="1" customWidth="1"/>
    <col min="1028" max="1273" width="9.109375" style="196"/>
    <col min="1274" max="1274" width="24.88671875" style="196" customWidth="1"/>
    <col min="1275" max="1280" width="17.88671875" style="196" customWidth="1"/>
    <col min="1281" max="1281" width="15.5546875" style="196" bestFit="1" customWidth="1"/>
    <col min="1282" max="1282" width="8.6640625" style="196" customWidth="1"/>
    <col min="1283" max="1283" width="14.5546875" style="196" bestFit="1" customWidth="1"/>
    <col min="1284" max="1529" width="9.109375" style="196"/>
    <col min="1530" max="1530" width="24.88671875" style="196" customWidth="1"/>
    <col min="1531" max="1536" width="17.88671875" style="196" customWidth="1"/>
    <col min="1537" max="1537" width="15.5546875" style="196" bestFit="1" customWidth="1"/>
    <col min="1538" max="1538" width="8.6640625" style="196" customWidth="1"/>
    <col min="1539" max="1539" width="14.5546875" style="196" bestFit="1" customWidth="1"/>
    <col min="1540" max="1785" width="9.109375" style="196"/>
    <col min="1786" max="1786" width="24.88671875" style="196" customWidth="1"/>
    <col min="1787" max="1792" width="17.88671875" style="196" customWidth="1"/>
    <col min="1793" max="1793" width="15.5546875" style="196" bestFit="1" customWidth="1"/>
    <col min="1794" max="1794" width="8.6640625" style="196" customWidth="1"/>
    <col min="1795" max="1795" width="14.5546875" style="196" bestFit="1" customWidth="1"/>
    <col min="1796" max="2041" width="9.109375" style="196"/>
    <col min="2042" max="2042" width="24.88671875" style="196" customWidth="1"/>
    <col min="2043" max="2048" width="17.88671875" style="196" customWidth="1"/>
    <col min="2049" max="2049" width="15.5546875" style="196" bestFit="1" customWidth="1"/>
    <col min="2050" max="2050" width="8.6640625" style="196" customWidth="1"/>
    <col min="2051" max="2051" width="14.5546875" style="196" bestFit="1" customWidth="1"/>
    <col min="2052" max="2297" width="9.109375" style="196"/>
    <col min="2298" max="2298" width="24.88671875" style="196" customWidth="1"/>
    <col min="2299" max="2304" width="17.88671875" style="196" customWidth="1"/>
    <col min="2305" max="2305" width="15.5546875" style="196" bestFit="1" customWidth="1"/>
    <col min="2306" max="2306" width="8.6640625" style="196" customWidth="1"/>
    <col min="2307" max="2307" width="14.5546875" style="196" bestFit="1" customWidth="1"/>
    <col min="2308" max="2553" width="9.109375" style="196"/>
    <col min="2554" max="2554" width="24.88671875" style="196" customWidth="1"/>
    <col min="2555" max="2560" width="17.88671875" style="196" customWidth="1"/>
    <col min="2561" max="2561" width="15.5546875" style="196" bestFit="1" customWidth="1"/>
    <col min="2562" max="2562" width="8.6640625" style="196" customWidth="1"/>
    <col min="2563" max="2563" width="14.5546875" style="196" bestFit="1" customWidth="1"/>
    <col min="2564" max="2809" width="9.109375" style="196"/>
    <col min="2810" max="2810" width="24.88671875" style="196" customWidth="1"/>
    <col min="2811" max="2816" width="17.88671875" style="196" customWidth="1"/>
    <col min="2817" max="2817" width="15.5546875" style="196" bestFit="1" customWidth="1"/>
    <col min="2818" max="2818" width="8.6640625" style="196" customWidth="1"/>
    <col min="2819" max="2819" width="14.5546875" style="196" bestFit="1" customWidth="1"/>
    <col min="2820" max="3065" width="9.109375" style="196"/>
    <col min="3066" max="3066" width="24.88671875" style="196" customWidth="1"/>
    <col min="3067" max="3072" width="17.88671875" style="196" customWidth="1"/>
    <col min="3073" max="3073" width="15.5546875" style="196" bestFit="1" customWidth="1"/>
    <col min="3074" max="3074" width="8.6640625" style="196" customWidth="1"/>
    <col min="3075" max="3075" width="14.5546875" style="196" bestFit="1" customWidth="1"/>
    <col min="3076" max="3321" width="9.109375" style="196"/>
    <col min="3322" max="3322" width="24.88671875" style="196" customWidth="1"/>
    <col min="3323" max="3328" width="17.88671875" style="196" customWidth="1"/>
    <col min="3329" max="3329" width="15.5546875" style="196" bestFit="1" customWidth="1"/>
    <col min="3330" max="3330" width="8.6640625" style="196" customWidth="1"/>
    <col min="3331" max="3331" width="14.5546875" style="196" bestFit="1" customWidth="1"/>
    <col min="3332" max="3577" width="9.109375" style="196"/>
    <col min="3578" max="3578" width="24.88671875" style="196" customWidth="1"/>
    <col min="3579" max="3584" width="17.88671875" style="196" customWidth="1"/>
    <col min="3585" max="3585" width="15.5546875" style="196" bestFit="1" customWidth="1"/>
    <col min="3586" max="3586" width="8.6640625" style="196" customWidth="1"/>
    <col min="3587" max="3587" width="14.5546875" style="196" bestFit="1" customWidth="1"/>
    <col min="3588" max="3833" width="9.109375" style="196"/>
    <col min="3834" max="3834" width="24.88671875" style="196" customWidth="1"/>
    <col min="3835" max="3840" width="17.88671875" style="196" customWidth="1"/>
    <col min="3841" max="3841" width="15.5546875" style="196" bestFit="1" customWidth="1"/>
    <col min="3842" max="3842" width="8.6640625" style="196" customWidth="1"/>
    <col min="3843" max="3843" width="14.5546875" style="196" bestFit="1" customWidth="1"/>
    <col min="3844" max="4089" width="9.109375" style="196"/>
    <col min="4090" max="4090" width="24.88671875" style="196" customWidth="1"/>
    <col min="4091" max="4096" width="17.88671875" style="196" customWidth="1"/>
    <col min="4097" max="4097" width="15.5546875" style="196" bestFit="1" customWidth="1"/>
    <col min="4098" max="4098" width="8.6640625" style="196" customWidth="1"/>
    <col min="4099" max="4099" width="14.5546875" style="196" bestFit="1" customWidth="1"/>
    <col min="4100" max="4345" width="9.109375" style="196"/>
    <col min="4346" max="4346" width="24.88671875" style="196" customWidth="1"/>
    <col min="4347" max="4352" width="17.88671875" style="196" customWidth="1"/>
    <col min="4353" max="4353" width="15.5546875" style="196" bestFit="1" customWidth="1"/>
    <col min="4354" max="4354" width="8.6640625" style="196" customWidth="1"/>
    <col min="4355" max="4355" width="14.5546875" style="196" bestFit="1" customWidth="1"/>
    <col min="4356" max="4601" width="9.109375" style="196"/>
    <col min="4602" max="4602" width="24.88671875" style="196" customWidth="1"/>
    <col min="4603" max="4608" width="17.88671875" style="196" customWidth="1"/>
    <col min="4609" max="4609" width="15.5546875" style="196" bestFit="1" customWidth="1"/>
    <col min="4610" max="4610" width="8.6640625" style="196" customWidth="1"/>
    <col min="4611" max="4611" width="14.5546875" style="196" bestFit="1" customWidth="1"/>
    <col min="4612" max="4857" width="9.109375" style="196"/>
    <col min="4858" max="4858" width="24.88671875" style="196" customWidth="1"/>
    <col min="4859" max="4864" width="17.88671875" style="196" customWidth="1"/>
    <col min="4865" max="4865" width="15.5546875" style="196" bestFit="1" customWidth="1"/>
    <col min="4866" max="4866" width="8.6640625" style="196" customWidth="1"/>
    <col min="4867" max="4867" width="14.5546875" style="196" bestFit="1" customWidth="1"/>
    <col min="4868" max="5113" width="9.109375" style="196"/>
    <col min="5114" max="5114" width="24.88671875" style="196" customWidth="1"/>
    <col min="5115" max="5120" width="17.88671875" style="196" customWidth="1"/>
    <col min="5121" max="5121" width="15.5546875" style="196" bestFit="1" customWidth="1"/>
    <col min="5122" max="5122" width="8.6640625" style="196" customWidth="1"/>
    <col min="5123" max="5123" width="14.5546875" style="196" bestFit="1" customWidth="1"/>
    <col min="5124" max="5369" width="9.109375" style="196"/>
    <col min="5370" max="5370" width="24.88671875" style="196" customWidth="1"/>
    <col min="5371" max="5376" width="17.88671875" style="196" customWidth="1"/>
    <col min="5377" max="5377" width="15.5546875" style="196" bestFit="1" customWidth="1"/>
    <col min="5378" max="5378" width="8.6640625" style="196" customWidth="1"/>
    <col min="5379" max="5379" width="14.5546875" style="196" bestFit="1" customWidth="1"/>
    <col min="5380" max="5625" width="9.109375" style="196"/>
    <col min="5626" max="5626" width="24.88671875" style="196" customWidth="1"/>
    <col min="5627" max="5632" width="17.88671875" style="196" customWidth="1"/>
    <col min="5633" max="5633" width="15.5546875" style="196" bestFit="1" customWidth="1"/>
    <col min="5634" max="5634" width="8.6640625" style="196" customWidth="1"/>
    <col min="5635" max="5635" width="14.5546875" style="196" bestFit="1" customWidth="1"/>
    <col min="5636" max="5881" width="9.109375" style="196"/>
    <col min="5882" max="5882" width="24.88671875" style="196" customWidth="1"/>
    <col min="5883" max="5888" width="17.88671875" style="196" customWidth="1"/>
    <col min="5889" max="5889" width="15.5546875" style="196" bestFit="1" customWidth="1"/>
    <col min="5890" max="5890" width="8.6640625" style="196" customWidth="1"/>
    <col min="5891" max="5891" width="14.5546875" style="196" bestFit="1" customWidth="1"/>
    <col min="5892" max="6137" width="9.109375" style="196"/>
    <col min="6138" max="6138" width="24.88671875" style="196" customWidth="1"/>
    <col min="6139" max="6144" width="17.88671875" style="196" customWidth="1"/>
    <col min="6145" max="6145" width="15.5546875" style="196" bestFit="1" customWidth="1"/>
    <col min="6146" max="6146" width="8.6640625" style="196" customWidth="1"/>
    <col min="6147" max="6147" width="14.5546875" style="196" bestFit="1" customWidth="1"/>
    <col min="6148" max="6393" width="9.109375" style="196"/>
    <col min="6394" max="6394" width="24.88671875" style="196" customWidth="1"/>
    <col min="6395" max="6400" width="17.88671875" style="196" customWidth="1"/>
    <col min="6401" max="6401" width="15.5546875" style="196" bestFit="1" customWidth="1"/>
    <col min="6402" max="6402" width="8.6640625" style="196" customWidth="1"/>
    <col min="6403" max="6403" width="14.5546875" style="196" bestFit="1" customWidth="1"/>
    <col min="6404" max="6649" width="9.109375" style="196"/>
    <col min="6650" max="6650" width="24.88671875" style="196" customWidth="1"/>
    <col min="6651" max="6656" width="17.88671875" style="196" customWidth="1"/>
    <col min="6657" max="6657" width="15.5546875" style="196" bestFit="1" customWidth="1"/>
    <col min="6658" max="6658" width="8.6640625" style="196" customWidth="1"/>
    <col min="6659" max="6659" width="14.5546875" style="196" bestFit="1" customWidth="1"/>
    <col min="6660" max="6905" width="9.109375" style="196"/>
    <col min="6906" max="6906" width="24.88671875" style="196" customWidth="1"/>
    <col min="6907" max="6912" width="17.88671875" style="196" customWidth="1"/>
    <col min="6913" max="6913" width="15.5546875" style="196" bestFit="1" customWidth="1"/>
    <col min="6914" max="6914" width="8.6640625" style="196" customWidth="1"/>
    <col min="6915" max="6915" width="14.5546875" style="196" bestFit="1" customWidth="1"/>
    <col min="6916" max="7161" width="9.109375" style="196"/>
    <col min="7162" max="7162" width="24.88671875" style="196" customWidth="1"/>
    <col min="7163" max="7168" width="17.88671875" style="196" customWidth="1"/>
    <col min="7169" max="7169" width="15.5546875" style="196" bestFit="1" customWidth="1"/>
    <col min="7170" max="7170" width="8.6640625" style="196" customWidth="1"/>
    <col min="7171" max="7171" width="14.5546875" style="196" bestFit="1" customWidth="1"/>
    <col min="7172" max="7417" width="9.109375" style="196"/>
    <col min="7418" max="7418" width="24.88671875" style="196" customWidth="1"/>
    <col min="7419" max="7424" width="17.88671875" style="196" customWidth="1"/>
    <col min="7425" max="7425" width="15.5546875" style="196" bestFit="1" customWidth="1"/>
    <col min="7426" max="7426" width="8.6640625" style="196" customWidth="1"/>
    <col min="7427" max="7427" width="14.5546875" style="196" bestFit="1" customWidth="1"/>
    <col min="7428" max="7673" width="9.109375" style="196"/>
    <col min="7674" max="7674" width="24.88671875" style="196" customWidth="1"/>
    <col min="7675" max="7680" width="17.88671875" style="196" customWidth="1"/>
    <col min="7681" max="7681" width="15.5546875" style="196" bestFit="1" customWidth="1"/>
    <col min="7682" max="7682" width="8.6640625" style="196" customWidth="1"/>
    <col min="7683" max="7683" width="14.5546875" style="196" bestFit="1" customWidth="1"/>
    <col min="7684" max="7929" width="9.109375" style="196"/>
    <col min="7930" max="7930" width="24.88671875" style="196" customWidth="1"/>
    <col min="7931" max="7936" width="17.88671875" style="196" customWidth="1"/>
    <col min="7937" max="7937" width="15.5546875" style="196" bestFit="1" customWidth="1"/>
    <col min="7938" max="7938" width="8.6640625" style="196" customWidth="1"/>
    <col min="7939" max="7939" width="14.5546875" style="196" bestFit="1" customWidth="1"/>
    <col min="7940" max="8185" width="9.109375" style="196"/>
    <col min="8186" max="8186" width="24.88671875" style="196" customWidth="1"/>
    <col min="8187" max="8192" width="17.88671875" style="196" customWidth="1"/>
    <col min="8193" max="8193" width="15.5546875" style="196" bestFit="1" customWidth="1"/>
    <col min="8194" max="8194" width="8.6640625" style="196" customWidth="1"/>
    <col min="8195" max="8195" width="14.5546875" style="196" bestFit="1" customWidth="1"/>
    <col min="8196" max="8441" width="9.109375" style="196"/>
    <col min="8442" max="8442" width="24.88671875" style="196" customWidth="1"/>
    <col min="8443" max="8448" width="17.88671875" style="196" customWidth="1"/>
    <col min="8449" max="8449" width="15.5546875" style="196" bestFit="1" customWidth="1"/>
    <col min="8450" max="8450" width="8.6640625" style="196" customWidth="1"/>
    <col min="8451" max="8451" width="14.5546875" style="196" bestFit="1" customWidth="1"/>
    <col min="8452" max="8697" width="9.109375" style="196"/>
    <col min="8698" max="8698" width="24.88671875" style="196" customWidth="1"/>
    <col min="8699" max="8704" width="17.88671875" style="196" customWidth="1"/>
    <col min="8705" max="8705" width="15.5546875" style="196" bestFit="1" customWidth="1"/>
    <col min="8706" max="8706" width="8.6640625" style="196" customWidth="1"/>
    <col min="8707" max="8707" width="14.5546875" style="196" bestFit="1" customWidth="1"/>
    <col min="8708" max="8953" width="9.109375" style="196"/>
    <col min="8954" max="8954" width="24.88671875" style="196" customWidth="1"/>
    <col min="8955" max="8960" width="17.88671875" style="196" customWidth="1"/>
    <col min="8961" max="8961" width="15.5546875" style="196" bestFit="1" customWidth="1"/>
    <col min="8962" max="8962" width="8.6640625" style="196" customWidth="1"/>
    <col min="8963" max="8963" width="14.5546875" style="196" bestFit="1" customWidth="1"/>
    <col min="8964" max="9209" width="9.109375" style="196"/>
    <col min="9210" max="9210" width="24.88671875" style="196" customWidth="1"/>
    <col min="9211" max="9216" width="17.88671875" style="196" customWidth="1"/>
    <col min="9217" max="9217" width="15.5546875" style="196" bestFit="1" customWidth="1"/>
    <col min="9218" max="9218" width="8.6640625" style="196" customWidth="1"/>
    <col min="9219" max="9219" width="14.5546875" style="196" bestFit="1" customWidth="1"/>
    <col min="9220" max="9465" width="9.109375" style="196"/>
    <col min="9466" max="9466" width="24.88671875" style="196" customWidth="1"/>
    <col min="9467" max="9472" width="17.88671875" style="196" customWidth="1"/>
    <col min="9473" max="9473" width="15.5546875" style="196" bestFit="1" customWidth="1"/>
    <col min="9474" max="9474" width="8.6640625" style="196" customWidth="1"/>
    <col min="9475" max="9475" width="14.5546875" style="196" bestFit="1" customWidth="1"/>
    <col min="9476" max="9721" width="9.109375" style="196"/>
    <col min="9722" max="9722" width="24.88671875" style="196" customWidth="1"/>
    <col min="9723" max="9728" width="17.88671875" style="196" customWidth="1"/>
    <col min="9729" max="9729" width="15.5546875" style="196" bestFit="1" customWidth="1"/>
    <col min="9730" max="9730" width="8.6640625" style="196" customWidth="1"/>
    <col min="9731" max="9731" width="14.5546875" style="196" bestFit="1" customWidth="1"/>
    <col min="9732" max="9977" width="9.109375" style="196"/>
    <col min="9978" max="9978" width="24.88671875" style="196" customWidth="1"/>
    <col min="9979" max="9984" width="17.88671875" style="196" customWidth="1"/>
    <col min="9985" max="9985" width="15.5546875" style="196" bestFit="1" customWidth="1"/>
    <col min="9986" max="9986" width="8.6640625" style="196" customWidth="1"/>
    <col min="9987" max="9987" width="14.5546875" style="196" bestFit="1" customWidth="1"/>
    <col min="9988" max="10233" width="9.109375" style="196"/>
    <col min="10234" max="10234" width="24.88671875" style="196" customWidth="1"/>
    <col min="10235" max="10240" width="17.88671875" style="196" customWidth="1"/>
    <col min="10241" max="10241" width="15.5546875" style="196" bestFit="1" customWidth="1"/>
    <col min="10242" max="10242" width="8.6640625" style="196" customWidth="1"/>
    <col min="10243" max="10243" width="14.5546875" style="196" bestFit="1" customWidth="1"/>
    <col min="10244" max="10489" width="9.109375" style="196"/>
    <col min="10490" max="10490" width="24.88671875" style="196" customWidth="1"/>
    <col min="10491" max="10496" width="17.88671875" style="196" customWidth="1"/>
    <col min="10497" max="10497" width="15.5546875" style="196" bestFit="1" customWidth="1"/>
    <col min="10498" max="10498" width="8.6640625" style="196" customWidth="1"/>
    <col min="10499" max="10499" width="14.5546875" style="196" bestFit="1" customWidth="1"/>
    <col min="10500" max="10745" width="9.109375" style="196"/>
    <col min="10746" max="10746" width="24.88671875" style="196" customWidth="1"/>
    <col min="10747" max="10752" width="17.88671875" style="196" customWidth="1"/>
    <col min="10753" max="10753" width="15.5546875" style="196" bestFit="1" customWidth="1"/>
    <col min="10754" max="10754" width="8.6640625" style="196" customWidth="1"/>
    <col min="10755" max="10755" width="14.5546875" style="196" bestFit="1" customWidth="1"/>
    <col min="10756" max="11001" width="9.109375" style="196"/>
    <col min="11002" max="11002" width="24.88671875" style="196" customWidth="1"/>
    <col min="11003" max="11008" width="17.88671875" style="196" customWidth="1"/>
    <col min="11009" max="11009" width="15.5546875" style="196" bestFit="1" customWidth="1"/>
    <col min="11010" max="11010" width="8.6640625" style="196" customWidth="1"/>
    <col min="11011" max="11011" width="14.5546875" style="196" bestFit="1" customWidth="1"/>
    <col min="11012" max="11257" width="9.109375" style="196"/>
    <col min="11258" max="11258" width="24.88671875" style="196" customWidth="1"/>
    <col min="11259" max="11264" width="17.88671875" style="196" customWidth="1"/>
    <col min="11265" max="11265" width="15.5546875" style="196" bestFit="1" customWidth="1"/>
    <col min="11266" max="11266" width="8.6640625" style="196" customWidth="1"/>
    <col min="11267" max="11267" width="14.5546875" style="196" bestFit="1" customWidth="1"/>
    <col min="11268" max="11513" width="9.109375" style="196"/>
    <col min="11514" max="11514" width="24.88671875" style="196" customWidth="1"/>
    <col min="11515" max="11520" width="17.88671875" style="196" customWidth="1"/>
    <col min="11521" max="11521" width="15.5546875" style="196" bestFit="1" customWidth="1"/>
    <col min="11522" max="11522" width="8.6640625" style="196" customWidth="1"/>
    <col min="11523" max="11523" width="14.5546875" style="196" bestFit="1" customWidth="1"/>
    <col min="11524" max="11769" width="9.109375" style="196"/>
    <col min="11770" max="11770" width="24.88671875" style="196" customWidth="1"/>
    <col min="11771" max="11776" width="17.88671875" style="196" customWidth="1"/>
    <col min="11777" max="11777" width="15.5546875" style="196" bestFit="1" customWidth="1"/>
    <col min="11778" max="11778" width="8.6640625" style="196" customWidth="1"/>
    <col min="11779" max="11779" width="14.5546875" style="196" bestFit="1" customWidth="1"/>
    <col min="11780" max="12025" width="9.109375" style="196"/>
    <col min="12026" max="12026" width="24.88671875" style="196" customWidth="1"/>
    <col min="12027" max="12032" width="17.88671875" style="196" customWidth="1"/>
    <col min="12033" max="12033" width="15.5546875" style="196" bestFit="1" customWidth="1"/>
    <col min="12034" max="12034" width="8.6640625" style="196" customWidth="1"/>
    <col min="12035" max="12035" width="14.5546875" style="196" bestFit="1" customWidth="1"/>
    <col min="12036" max="12281" width="9.109375" style="196"/>
    <col min="12282" max="12282" width="24.88671875" style="196" customWidth="1"/>
    <col min="12283" max="12288" width="17.88671875" style="196" customWidth="1"/>
    <col min="12289" max="12289" width="15.5546875" style="196" bestFit="1" customWidth="1"/>
    <col min="12290" max="12290" width="8.6640625" style="196" customWidth="1"/>
    <col min="12291" max="12291" width="14.5546875" style="196" bestFit="1" customWidth="1"/>
    <col min="12292" max="12537" width="9.109375" style="196"/>
    <col min="12538" max="12538" width="24.88671875" style="196" customWidth="1"/>
    <col min="12539" max="12544" width="17.88671875" style="196" customWidth="1"/>
    <col min="12545" max="12545" width="15.5546875" style="196" bestFit="1" customWidth="1"/>
    <col min="12546" max="12546" width="8.6640625" style="196" customWidth="1"/>
    <col min="12547" max="12547" width="14.5546875" style="196" bestFit="1" customWidth="1"/>
    <col min="12548" max="12793" width="9.109375" style="196"/>
    <col min="12794" max="12794" width="24.88671875" style="196" customWidth="1"/>
    <col min="12795" max="12800" width="17.88671875" style="196" customWidth="1"/>
    <col min="12801" max="12801" width="15.5546875" style="196" bestFit="1" customWidth="1"/>
    <col min="12802" max="12802" width="8.6640625" style="196" customWidth="1"/>
    <col min="12803" max="12803" width="14.5546875" style="196" bestFit="1" customWidth="1"/>
    <col min="12804" max="13049" width="9.109375" style="196"/>
    <col min="13050" max="13050" width="24.88671875" style="196" customWidth="1"/>
    <col min="13051" max="13056" width="17.88671875" style="196" customWidth="1"/>
    <col min="13057" max="13057" width="15.5546875" style="196" bestFit="1" customWidth="1"/>
    <col min="13058" max="13058" width="8.6640625" style="196" customWidth="1"/>
    <col min="13059" max="13059" width="14.5546875" style="196" bestFit="1" customWidth="1"/>
    <col min="13060" max="13305" width="9.109375" style="196"/>
    <col min="13306" max="13306" width="24.88671875" style="196" customWidth="1"/>
    <col min="13307" max="13312" width="17.88671875" style="196" customWidth="1"/>
    <col min="13313" max="13313" width="15.5546875" style="196" bestFit="1" customWidth="1"/>
    <col min="13314" max="13314" width="8.6640625" style="196" customWidth="1"/>
    <col min="13315" max="13315" width="14.5546875" style="196" bestFit="1" customWidth="1"/>
    <col min="13316" max="13561" width="9.109375" style="196"/>
    <col min="13562" max="13562" width="24.88671875" style="196" customWidth="1"/>
    <col min="13563" max="13568" width="17.88671875" style="196" customWidth="1"/>
    <col min="13569" max="13569" width="15.5546875" style="196" bestFit="1" customWidth="1"/>
    <col min="13570" max="13570" width="8.6640625" style="196" customWidth="1"/>
    <col min="13571" max="13571" width="14.5546875" style="196" bestFit="1" customWidth="1"/>
    <col min="13572" max="13817" width="9.109375" style="196"/>
    <col min="13818" max="13818" width="24.88671875" style="196" customWidth="1"/>
    <col min="13819" max="13824" width="17.88671875" style="196" customWidth="1"/>
    <col min="13825" max="13825" width="15.5546875" style="196" bestFit="1" customWidth="1"/>
    <col min="13826" max="13826" width="8.6640625" style="196" customWidth="1"/>
    <col min="13827" max="13827" width="14.5546875" style="196" bestFit="1" customWidth="1"/>
    <col min="13828" max="14073" width="9.109375" style="196"/>
    <col min="14074" max="14074" width="24.88671875" style="196" customWidth="1"/>
    <col min="14075" max="14080" width="17.88671875" style="196" customWidth="1"/>
    <col min="14081" max="14081" width="15.5546875" style="196" bestFit="1" customWidth="1"/>
    <col min="14082" max="14082" width="8.6640625" style="196" customWidth="1"/>
    <col min="14083" max="14083" width="14.5546875" style="196" bestFit="1" customWidth="1"/>
    <col min="14084" max="14329" width="9.109375" style="196"/>
    <col min="14330" max="14330" width="24.88671875" style="196" customWidth="1"/>
    <col min="14331" max="14336" width="17.88671875" style="196" customWidth="1"/>
    <col min="14337" max="14337" width="15.5546875" style="196" bestFit="1" customWidth="1"/>
    <col min="14338" max="14338" width="8.6640625" style="196" customWidth="1"/>
    <col min="14339" max="14339" width="14.5546875" style="196" bestFit="1" customWidth="1"/>
    <col min="14340" max="14585" width="9.109375" style="196"/>
    <col min="14586" max="14586" width="24.88671875" style="196" customWidth="1"/>
    <col min="14587" max="14592" width="17.88671875" style="196" customWidth="1"/>
    <col min="14593" max="14593" width="15.5546875" style="196" bestFit="1" customWidth="1"/>
    <col min="14594" max="14594" width="8.6640625" style="196" customWidth="1"/>
    <col min="14595" max="14595" width="14.5546875" style="196" bestFit="1" customWidth="1"/>
    <col min="14596" max="14841" width="9.109375" style="196"/>
    <col min="14842" max="14842" width="24.88671875" style="196" customWidth="1"/>
    <col min="14843" max="14848" width="17.88671875" style="196" customWidth="1"/>
    <col min="14849" max="14849" width="15.5546875" style="196" bestFit="1" customWidth="1"/>
    <col min="14850" max="14850" width="8.6640625" style="196" customWidth="1"/>
    <col min="14851" max="14851" width="14.5546875" style="196" bestFit="1" customWidth="1"/>
    <col min="14852" max="15097" width="9.109375" style="196"/>
    <col min="15098" max="15098" width="24.88671875" style="196" customWidth="1"/>
    <col min="15099" max="15104" width="17.88671875" style="196" customWidth="1"/>
    <col min="15105" max="15105" width="15.5546875" style="196" bestFit="1" customWidth="1"/>
    <col min="15106" max="15106" width="8.6640625" style="196" customWidth="1"/>
    <col min="15107" max="15107" width="14.5546875" style="196" bestFit="1" customWidth="1"/>
    <col min="15108" max="15353" width="9.109375" style="196"/>
    <col min="15354" max="15354" width="24.88671875" style="196" customWidth="1"/>
    <col min="15355" max="15360" width="17.88671875" style="196" customWidth="1"/>
    <col min="15361" max="15361" width="15.5546875" style="196" bestFit="1" customWidth="1"/>
    <col min="15362" max="15362" width="8.6640625" style="196" customWidth="1"/>
    <col min="15363" max="15363" width="14.5546875" style="196" bestFit="1" customWidth="1"/>
    <col min="15364" max="15609" width="9.109375" style="196"/>
    <col min="15610" max="15610" width="24.88671875" style="196" customWidth="1"/>
    <col min="15611" max="15616" width="17.88671875" style="196" customWidth="1"/>
    <col min="15617" max="15617" width="15.5546875" style="196" bestFit="1" customWidth="1"/>
    <col min="15618" max="15618" width="8.6640625" style="196" customWidth="1"/>
    <col min="15619" max="15619" width="14.5546875" style="196" bestFit="1" customWidth="1"/>
    <col min="15620" max="15865" width="9.109375" style="196"/>
    <col min="15866" max="15866" width="24.88671875" style="196" customWidth="1"/>
    <col min="15867" max="15872" width="17.88671875" style="196" customWidth="1"/>
    <col min="15873" max="15873" width="15.5546875" style="196" bestFit="1" customWidth="1"/>
    <col min="15874" max="15874" width="8.6640625" style="196" customWidth="1"/>
    <col min="15875" max="15875" width="14.5546875" style="196" bestFit="1" customWidth="1"/>
    <col min="15876" max="16121" width="9.109375" style="196"/>
    <col min="16122" max="16122" width="24.88671875" style="196" customWidth="1"/>
    <col min="16123" max="16128" width="17.88671875" style="196" customWidth="1"/>
    <col min="16129" max="16129" width="15.5546875" style="196" bestFit="1" customWidth="1"/>
    <col min="16130" max="16130" width="8.6640625" style="196" customWidth="1"/>
    <col min="16131" max="16131" width="14.5546875" style="196" bestFit="1" customWidth="1"/>
    <col min="16132" max="16384" width="9.109375" style="196"/>
  </cols>
  <sheetData>
    <row r="1" spans="1:15" s="44" customFormat="1">
      <c r="A1" s="1866" t="str">
        <f>+'MISO Cover'!C6</f>
        <v>Entergy Arkansas, Inc.</v>
      </c>
      <c r="B1" s="1866"/>
      <c r="C1" s="1866"/>
      <c r="D1" s="1866"/>
      <c r="E1" s="1866"/>
      <c r="F1" s="1866"/>
      <c r="G1" s="1866"/>
      <c r="I1" s="43"/>
      <c r="J1" s="43"/>
      <c r="K1" s="43"/>
      <c r="L1" s="43"/>
      <c r="M1" s="43"/>
      <c r="N1" s="43"/>
      <c r="O1" s="43"/>
    </row>
    <row r="2" spans="1:15" s="44" customFormat="1">
      <c r="A2" s="1866" t="s">
        <v>688</v>
      </c>
      <c r="B2" s="1866"/>
      <c r="C2" s="1866"/>
      <c r="D2" s="1866"/>
      <c r="E2" s="1866"/>
      <c r="F2" s="1866"/>
      <c r="G2" s="1866"/>
      <c r="H2" s="843"/>
      <c r="I2" s="43"/>
      <c r="J2" s="43"/>
      <c r="K2" s="43"/>
      <c r="L2" s="43"/>
      <c r="M2" s="43"/>
      <c r="N2" s="43"/>
      <c r="O2" s="43"/>
    </row>
    <row r="3" spans="1:15" s="44" customFormat="1">
      <c r="A3" s="1866" t="str">
        <f>+'MISO Cover'!K4</f>
        <v>For  the 12 Months Ended 12/31/2016</v>
      </c>
      <c r="B3" s="1866"/>
      <c r="C3" s="1866"/>
      <c r="D3" s="1866"/>
      <c r="E3" s="1866"/>
      <c r="F3" s="1866"/>
      <c r="G3" s="1866"/>
      <c r="I3" s="43"/>
      <c r="J3" s="43"/>
      <c r="K3" s="43"/>
      <c r="L3" s="43"/>
      <c r="M3" s="43"/>
      <c r="N3" s="43"/>
      <c r="O3" s="43"/>
    </row>
    <row r="4" spans="1:15" s="44" customFormat="1">
      <c r="A4" s="1295"/>
      <c r="B4" s="233"/>
      <c r="C4" s="233"/>
      <c r="D4" s="233"/>
      <c r="E4" s="233"/>
      <c r="F4" s="233"/>
      <c r="I4" s="43"/>
      <c r="J4" s="43"/>
      <c r="K4" s="43"/>
      <c r="L4" s="43"/>
      <c r="M4" s="43"/>
      <c r="N4" s="43"/>
      <c r="O4" s="43"/>
    </row>
    <row r="5" spans="1:15" s="44" customFormat="1">
      <c r="A5" s="1295" t="s">
        <v>290</v>
      </c>
      <c r="B5" s="1295" t="s">
        <v>72</v>
      </c>
      <c r="C5" s="1294" t="s">
        <v>119</v>
      </c>
      <c r="D5" s="1294" t="s">
        <v>60</v>
      </c>
      <c r="E5" s="1294" t="s">
        <v>73</v>
      </c>
      <c r="F5" s="1294" t="s">
        <v>71</v>
      </c>
      <c r="G5" s="1294" t="s">
        <v>161</v>
      </c>
      <c r="I5" s="43"/>
      <c r="J5" s="43"/>
      <c r="K5" s="43"/>
      <c r="L5" s="43"/>
      <c r="M5" s="43"/>
      <c r="N5" s="43"/>
      <c r="O5" s="43"/>
    </row>
    <row r="6" spans="1:15" s="44" customFormat="1" ht="26.4">
      <c r="A6" s="1294">
        <v>1</v>
      </c>
      <c r="B6" s="233"/>
      <c r="C6" s="926"/>
      <c r="D6" s="926"/>
      <c r="E6" s="1568" t="s">
        <v>170</v>
      </c>
      <c r="F6" s="1569" t="s">
        <v>165</v>
      </c>
      <c r="G6" s="893" t="s">
        <v>146</v>
      </c>
      <c r="I6" s="43"/>
      <c r="J6" s="43"/>
      <c r="K6" s="43"/>
      <c r="L6" s="43"/>
      <c r="M6" s="43"/>
      <c r="N6" s="43"/>
      <c r="O6" s="43"/>
    </row>
    <row r="7" spans="1:15" s="44" customFormat="1">
      <c r="A7" s="1294">
        <f>+A6+1</f>
        <v>2</v>
      </c>
      <c r="B7" s="45" t="s">
        <v>430</v>
      </c>
      <c r="C7" s="43" t="str">
        <f>+"Sum Line "&amp;A$11&amp;" Subparts for Included"</f>
        <v>Sum Line 6 Subparts for Included</v>
      </c>
      <c r="D7" s="282"/>
      <c r="E7" s="927">
        <f>E9-E8</f>
        <v>8527622.629999999</v>
      </c>
      <c r="F7" s="927">
        <f>F9-F8</f>
        <v>9133478.4900000021</v>
      </c>
      <c r="G7" s="928">
        <f>+(E7+F7)/2</f>
        <v>8830550.5600000005</v>
      </c>
      <c r="I7" s="43"/>
      <c r="J7" s="43"/>
      <c r="K7" s="43"/>
      <c r="L7" s="43"/>
      <c r="M7" s="43"/>
      <c r="N7" s="43"/>
      <c r="O7" s="43"/>
    </row>
    <row r="8" spans="1:15" s="44" customFormat="1" ht="15">
      <c r="A8" s="1294">
        <f>+A7+1</f>
        <v>3</v>
      </c>
      <c r="B8" s="45" t="s">
        <v>431</v>
      </c>
      <c r="C8" s="43" t="str">
        <f>+"Sum Line "&amp;A$11&amp;" Subparts for Excluded"</f>
        <v>Sum Line 6 Subparts for Excluded</v>
      </c>
      <c r="D8" s="929"/>
      <c r="E8" s="1323">
        <f>SUMIF($D12:$D84,"Exclude",E12:E84)</f>
        <v>18638147.830000002</v>
      </c>
      <c r="F8" s="1323">
        <f>SUMIF($D12:$D84,"Exclude",F12:F84)</f>
        <v>22012510.170000002</v>
      </c>
      <c r="G8" s="930">
        <f>+(E8+F8)/2</f>
        <v>20325329</v>
      </c>
      <c r="I8" s="43"/>
      <c r="J8" s="43"/>
      <c r="K8" s="43"/>
      <c r="L8" s="43"/>
      <c r="M8" s="43"/>
      <c r="N8" s="43"/>
      <c r="O8" s="43"/>
    </row>
    <row r="9" spans="1:15" s="44" customFormat="1">
      <c r="A9" s="1294">
        <f>+A8+1</f>
        <v>4</v>
      </c>
      <c r="B9" s="45" t="s">
        <v>118</v>
      </c>
      <c r="C9" s="43"/>
      <c r="D9" s="282"/>
      <c r="E9" s="927">
        <f>E85</f>
        <v>27165770.460000001</v>
      </c>
      <c r="F9" s="927">
        <f>F85</f>
        <v>31145988.660000004</v>
      </c>
      <c r="G9" s="928">
        <f>+(E9+F9)/2</f>
        <v>29155879.560000002</v>
      </c>
      <c r="I9" s="43"/>
      <c r="J9" s="43"/>
      <c r="K9" s="43"/>
      <c r="L9" s="43"/>
      <c r="M9" s="43"/>
      <c r="N9" s="43"/>
      <c r="O9" s="43"/>
    </row>
    <row r="10" spans="1:15" s="44" customFormat="1">
      <c r="A10" s="1294">
        <f>+A9+1</f>
        <v>5</v>
      </c>
      <c r="B10" s="196"/>
      <c r="C10" s="713"/>
      <c r="D10" s="713"/>
      <c r="E10" s="713"/>
      <c r="F10" s="1574"/>
      <c r="G10" s="45"/>
      <c r="H10" s="43"/>
      <c r="I10" s="43"/>
      <c r="J10" s="43"/>
      <c r="K10" s="43"/>
      <c r="L10" s="43"/>
      <c r="M10" s="43"/>
      <c r="N10" s="43"/>
      <c r="O10" s="43"/>
    </row>
    <row r="11" spans="1:15" ht="26.4">
      <c r="A11" s="1294">
        <f>+A10+1</f>
        <v>6</v>
      </c>
      <c r="B11" s="1546" t="s">
        <v>308</v>
      </c>
      <c r="C11" s="1546" t="s">
        <v>597</v>
      </c>
      <c r="D11" s="1483" t="s">
        <v>925</v>
      </c>
      <c r="E11" s="1570" t="str">
        <f>E6</f>
        <v>Beginning of Year</v>
      </c>
      <c r="F11" s="1575" t="str">
        <f>F6</f>
        <v>End of Year</v>
      </c>
      <c r="G11" s="1225" t="str">
        <f>+G6</f>
        <v>Average</v>
      </c>
      <c r="H11" s="45"/>
    </row>
    <row r="12" spans="1:15" ht="12.75" customHeight="1">
      <c r="A12" s="1294">
        <f>+A11+0.01</f>
        <v>6.01</v>
      </c>
      <c r="B12" s="1589" t="s">
        <v>996</v>
      </c>
      <c r="C12" s="1516" t="s">
        <v>997</v>
      </c>
      <c r="D12" s="1555" t="s">
        <v>1781</v>
      </c>
      <c r="E12" s="221">
        <v>65876.69</v>
      </c>
      <c r="F12" s="1576">
        <v>65876.69</v>
      </c>
      <c r="G12" s="282">
        <f>+SUM(E12,F12)/2</f>
        <v>65876.69</v>
      </c>
      <c r="H12" s="45"/>
      <c r="J12" s="280" t="s">
        <v>1181</v>
      </c>
    </row>
    <row r="13" spans="1:15" ht="13.8">
      <c r="A13" s="1010">
        <f>+A12+0.01</f>
        <v>6.02</v>
      </c>
      <c r="B13" s="1589" t="s">
        <v>998</v>
      </c>
      <c r="C13" s="1516" t="s">
        <v>997</v>
      </c>
      <c r="D13" s="1555" t="s">
        <v>1781</v>
      </c>
      <c r="E13" s="1454">
        <v>257940.1</v>
      </c>
      <c r="F13" s="1576">
        <v>267917.62</v>
      </c>
      <c r="G13" s="282">
        <f t="shared" ref="G13:G76" si="0">+SUM(E13,F13)/2</f>
        <v>262928.86</v>
      </c>
      <c r="H13" s="45"/>
      <c r="J13" s="1987" t="s">
        <v>694</v>
      </c>
    </row>
    <row r="14" spans="1:15">
      <c r="A14" s="1010">
        <f t="shared" ref="A14:A77" si="1">+A13+0.01</f>
        <v>6.0299999999999994</v>
      </c>
      <c r="B14" s="1589" t="s">
        <v>999</v>
      </c>
      <c r="C14" s="1516" t="s">
        <v>1000</v>
      </c>
      <c r="D14" s="1555" t="s">
        <v>1781</v>
      </c>
      <c r="E14" s="1454">
        <v>1559565.55</v>
      </c>
      <c r="F14" s="1576">
        <v>1559565.55</v>
      </c>
      <c r="G14" s="282">
        <f t="shared" si="0"/>
        <v>1559565.55</v>
      </c>
      <c r="H14" s="45"/>
      <c r="J14" s="1995" t="s">
        <v>1182</v>
      </c>
      <c r="K14" s="1995"/>
      <c r="L14" s="1995"/>
      <c r="M14" s="1995"/>
      <c r="N14" s="1995"/>
    </row>
    <row r="15" spans="1:15">
      <c r="A15" s="1010">
        <f t="shared" si="1"/>
        <v>6.0399999999999991</v>
      </c>
      <c r="B15" s="1589" t="s">
        <v>1001</v>
      </c>
      <c r="C15" s="1516" t="s">
        <v>1000</v>
      </c>
      <c r="D15" s="1555" t="s">
        <v>1781</v>
      </c>
      <c r="E15" s="1454">
        <v>7681.3</v>
      </c>
      <c r="F15" s="1576">
        <v>7686.69</v>
      </c>
      <c r="G15" s="282">
        <f t="shared" si="0"/>
        <v>7683.9949999999999</v>
      </c>
      <c r="H15" s="45"/>
      <c r="J15" s="1995"/>
      <c r="K15" s="1995"/>
      <c r="L15" s="1995"/>
      <c r="M15" s="1995"/>
      <c r="N15" s="1995"/>
    </row>
    <row r="16" spans="1:15">
      <c r="A16" s="1010">
        <f t="shared" si="1"/>
        <v>6.0499999999999989</v>
      </c>
      <c r="B16" s="1589" t="s">
        <v>1002</v>
      </c>
      <c r="C16" s="1516" t="s">
        <v>1003</v>
      </c>
      <c r="D16" s="1555" t="s">
        <v>1781</v>
      </c>
      <c r="E16" s="1454">
        <v>750325.08</v>
      </c>
      <c r="F16" s="1576">
        <v>751921.31</v>
      </c>
      <c r="G16" s="282">
        <f t="shared" si="0"/>
        <v>751123.19500000007</v>
      </c>
      <c r="H16" s="45"/>
      <c r="J16" s="1995"/>
      <c r="K16" s="1995"/>
      <c r="L16" s="1995"/>
      <c r="M16" s="1995"/>
      <c r="N16" s="1995"/>
    </row>
    <row r="17" spans="1:14" s="45" customFormat="1">
      <c r="A17" s="1010">
        <f t="shared" si="1"/>
        <v>6.0599999999999987</v>
      </c>
      <c r="B17" s="1589" t="s">
        <v>1510</v>
      </c>
      <c r="C17" s="1516" t="s">
        <v>1003</v>
      </c>
      <c r="D17" s="1454">
        <v>0</v>
      </c>
      <c r="E17" s="1454">
        <v>0</v>
      </c>
      <c r="F17" s="1576">
        <v>0</v>
      </c>
      <c r="G17" s="282">
        <f t="shared" si="0"/>
        <v>0</v>
      </c>
      <c r="I17" s="45" t="s">
        <v>1562</v>
      </c>
      <c r="J17" s="1995"/>
      <c r="K17" s="1995"/>
      <c r="L17" s="1995"/>
      <c r="M17" s="1995"/>
      <c r="N17" s="1995"/>
    </row>
    <row r="18" spans="1:14">
      <c r="A18" s="1010">
        <f t="shared" si="1"/>
        <v>6.0699999999999985</v>
      </c>
      <c r="B18" s="1589" t="s">
        <v>1004</v>
      </c>
      <c r="C18" s="1516" t="s">
        <v>1005</v>
      </c>
      <c r="D18" s="1555" t="s">
        <v>1781</v>
      </c>
      <c r="E18" s="1454">
        <v>51568.98</v>
      </c>
      <c r="F18" s="1576">
        <v>51568.98</v>
      </c>
      <c r="G18" s="282">
        <f t="shared" si="0"/>
        <v>51568.98</v>
      </c>
      <c r="H18" s="45"/>
      <c r="J18" s="1995"/>
      <c r="K18" s="1995"/>
      <c r="L18" s="1995"/>
      <c r="M18" s="1995"/>
      <c r="N18" s="1995"/>
    </row>
    <row r="19" spans="1:14">
      <c r="A19" s="1010">
        <f t="shared" si="1"/>
        <v>6.0799999999999983</v>
      </c>
      <c r="B19" s="1589" t="s">
        <v>1006</v>
      </c>
      <c r="C19" s="1516" t="s">
        <v>1007</v>
      </c>
      <c r="D19" s="1555" t="s">
        <v>1781</v>
      </c>
      <c r="E19" s="1454">
        <v>154372.49</v>
      </c>
      <c r="F19" s="1576">
        <v>154372.49</v>
      </c>
      <c r="G19" s="282">
        <f t="shared" si="0"/>
        <v>154372.49</v>
      </c>
      <c r="H19" s="45"/>
      <c r="J19" s="1995"/>
      <c r="K19" s="1995"/>
      <c r="L19" s="1995"/>
      <c r="M19" s="1995"/>
      <c r="N19" s="1995"/>
    </row>
    <row r="20" spans="1:14">
      <c r="A20" s="1010">
        <f t="shared" si="1"/>
        <v>6.0899999999999981</v>
      </c>
      <c r="B20" s="1589" t="s">
        <v>1008</v>
      </c>
      <c r="C20" s="1516" t="s">
        <v>1007</v>
      </c>
      <c r="D20" s="1555" t="s">
        <v>1781</v>
      </c>
      <c r="E20" s="1454">
        <v>616266.85</v>
      </c>
      <c r="F20" s="1576">
        <v>616266.85</v>
      </c>
      <c r="G20" s="282">
        <f t="shared" si="0"/>
        <v>616266.85</v>
      </c>
      <c r="H20" s="45"/>
    </row>
    <row r="21" spans="1:14">
      <c r="A21" s="1010">
        <f t="shared" si="1"/>
        <v>6.0999999999999979</v>
      </c>
      <c r="B21" s="1589" t="s">
        <v>1009</v>
      </c>
      <c r="C21" s="1516" t="s">
        <v>1010</v>
      </c>
      <c r="D21" s="1555" t="s">
        <v>1781</v>
      </c>
      <c r="E21" s="1454">
        <v>201319.83</v>
      </c>
      <c r="F21" s="1576">
        <v>201319.83</v>
      </c>
      <c r="G21" s="282">
        <f t="shared" si="0"/>
        <v>201319.83</v>
      </c>
      <c r="H21" s="45"/>
    </row>
    <row r="22" spans="1:14">
      <c r="A22" s="1010">
        <f t="shared" si="1"/>
        <v>6.1099999999999977</v>
      </c>
      <c r="B22" s="1589" t="s">
        <v>1011</v>
      </c>
      <c r="C22" s="1516" t="s">
        <v>1010</v>
      </c>
      <c r="D22" s="1555" t="s">
        <v>1781</v>
      </c>
      <c r="E22" s="1454">
        <v>1557101.59</v>
      </c>
      <c r="F22" s="1576">
        <v>1734963.84</v>
      </c>
      <c r="G22" s="282">
        <f t="shared" si="0"/>
        <v>1646032.7150000001</v>
      </c>
      <c r="H22" s="45"/>
    </row>
    <row r="23" spans="1:14">
      <c r="A23" s="1010">
        <f t="shared" si="1"/>
        <v>6.1199999999999974</v>
      </c>
      <c r="B23" s="1589" t="s">
        <v>1012</v>
      </c>
      <c r="C23" s="1516" t="s">
        <v>1013</v>
      </c>
      <c r="D23" s="1555" t="s">
        <v>1781</v>
      </c>
      <c r="E23" s="1454">
        <v>288304.84000000003</v>
      </c>
      <c r="F23" s="1576">
        <v>288304.84000000003</v>
      </c>
      <c r="G23" s="282">
        <f t="shared" si="0"/>
        <v>288304.84000000003</v>
      </c>
      <c r="H23" s="45"/>
    </row>
    <row r="24" spans="1:14">
      <c r="A24" s="1010">
        <f t="shared" si="1"/>
        <v>6.1299999999999972</v>
      </c>
      <c r="B24" s="1589" t="s">
        <v>1014</v>
      </c>
      <c r="C24" s="1516" t="s">
        <v>1005</v>
      </c>
      <c r="D24" s="1555" t="s">
        <v>1782</v>
      </c>
      <c r="E24" s="1454">
        <v>198742.48</v>
      </c>
      <c r="F24" s="1576">
        <v>198742.48</v>
      </c>
      <c r="G24" s="282">
        <f t="shared" si="0"/>
        <v>198742.48</v>
      </c>
      <c r="H24" s="45"/>
    </row>
    <row r="25" spans="1:14">
      <c r="A25" s="1010">
        <f t="shared" si="1"/>
        <v>6.139999999999997</v>
      </c>
      <c r="B25" s="1589" t="s">
        <v>1015</v>
      </c>
      <c r="C25" s="1516" t="s">
        <v>1016</v>
      </c>
      <c r="D25" s="1555" t="s">
        <v>1783</v>
      </c>
      <c r="E25" s="1454">
        <v>374981.5</v>
      </c>
      <c r="F25" s="1576">
        <v>399372.07</v>
      </c>
      <c r="G25" s="282">
        <f t="shared" si="0"/>
        <v>387176.78500000003</v>
      </c>
      <c r="H25" s="45"/>
    </row>
    <row r="26" spans="1:14">
      <c r="A26" s="1010">
        <f t="shared" si="1"/>
        <v>6.1499999999999968</v>
      </c>
      <c r="B26" s="1589" t="s">
        <v>1017</v>
      </c>
      <c r="C26" s="1516" t="s">
        <v>1016</v>
      </c>
      <c r="D26" s="1555" t="s">
        <v>1783</v>
      </c>
      <c r="E26" s="1454">
        <v>425769.92</v>
      </c>
      <c r="F26" s="1576">
        <v>498777.4</v>
      </c>
      <c r="G26" s="282">
        <f t="shared" si="0"/>
        <v>462273.66000000003</v>
      </c>
      <c r="H26" s="45"/>
    </row>
    <row r="27" spans="1:14">
      <c r="A27" s="1010">
        <f t="shared" si="1"/>
        <v>6.1599999999999966</v>
      </c>
      <c r="B27" s="1589" t="s">
        <v>1018</v>
      </c>
      <c r="C27" s="1516" t="s">
        <v>1019</v>
      </c>
      <c r="D27" s="1555" t="s">
        <v>1784</v>
      </c>
      <c r="E27" s="1454">
        <v>251796.24</v>
      </c>
      <c r="F27" s="1576">
        <v>251796.24</v>
      </c>
      <c r="G27" s="282">
        <f t="shared" si="0"/>
        <v>251796.24</v>
      </c>
      <c r="H27" s="45"/>
    </row>
    <row r="28" spans="1:14">
      <c r="A28" s="1010">
        <f t="shared" si="1"/>
        <v>6.1699999999999964</v>
      </c>
      <c r="B28" s="1589" t="s">
        <v>1020</v>
      </c>
      <c r="C28" s="1516" t="s">
        <v>1019</v>
      </c>
      <c r="D28" s="1555" t="s">
        <v>1784</v>
      </c>
      <c r="E28" s="1454">
        <v>286275.33</v>
      </c>
      <c r="F28" s="1576">
        <v>286275.33</v>
      </c>
      <c r="G28" s="282">
        <f t="shared" si="0"/>
        <v>286275.33</v>
      </c>
      <c r="H28" s="45"/>
    </row>
    <row r="29" spans="1:14">
      <c r="A29" s="1010">
        <f t="shared" si="1"/>
        <v>6.1799999999999962</v>
      </c>
      <c r="B29" s="1589" t="s">
        <v>1021</v>
      </c>
      <c r="C29" s="1516" t="s">
        <v>1022</v>
      </c>
      <c r="D29" s="1555" t="s">
        <v>1784</v>
      </c>
      <c r="E29" s="1454">
        <v>81045.119999999995</v>
      </c>
      <c r="F29" s="1576">
        <v>188355.31</v>
      </c>
      <c r="G29" s="282">
        <f t="shared" si="0"/>
        <v>134700.215</v>
      </c>
      <c r="H29" s="45"/>
    </row>
    <row r="30" spans="1:14">
      <c r="A30" s="1010">
        <f t="shared" si="1"/>
        <v>6.1899999999999959</v>
      </c>
      <c r="B30" s="1589" t="s">
        <v>1023</v>
      </c>
      <c r="C30" s="1516" t="s">
        <v>1022</v>
      </c>
      <c r="D30" s="1555" t="s">
        <v>1784</v>
      </c>
      <c r="E30" s="1454">
        <v>259594.93</v>
      </c>
      <c r="F30" s="1576">
        <v>259594.93</v>
      </c>
      <c r="G30" s="282">
        <f t="shared" si="0"/>
        <v>259594.93</v>
      </c>
      <c r="H30" s="45"/>
    </row>
    <row r="31" spans="1:14">
      <c r="A31" s="1010">
        <f t="shared" si="1"/>
        <v>6.1999999999999957</v>
      </c>
      <c r="B31" s="1589" t="s">
        <v>1024</v>
      </c>
      <c r="C31" s="1516" t="s">
        <v>1025</v>
      </c>
      <c r="D31" s="1555" t="s">
        <v>1784</v>
      </c>
      <c r="E31" s="1454">
        <v>2567.94</v>
      </c>
      <c r="F31" s="1576">
        <v>2567.94</v>
      </c>
      <c r="G31" s="282">
        <f t="shared" si="0"/>
        <v>2567.94</v>
      </c>
      <c r="H31" s="45"/>
    </row>
    <row r="32" spans="1:14">
      <c r="A32" s="1010">
        <f t="shared" si="1"/>
        <v>6.2099999999999955</v>
      </c>
      <c r="B32" s="1589" t="s">
        <v>1026</v>
      </c>
      <c r="C32" s="1516" t="s">
        <v>1027</v>
      </c>
      <c r="D32" s="1555" t="s">
        <v>1785</v>
      </c>
      <c r="E32" s="1454">
        <v>908020.45</v>
      </c>
      <c r="F32" s="1576">
        <v>908020.45</v>
      </c>
      <c r="G32" s="282">
        <f t="shared" si="0"/>
        <v>908020.45</v>
      </c>
      <c r="H32" s="45"/>
    </row>
    <row r="33" spans="1:8">
      <c r="A33" s="1010">
        <f t="shared" si="1"/>
        <v>6.2199999999999953</v>
      </c>
      <c r="B33" s="1589" t="s">
        <v>1028</v>
      </c>
      <c r="C33" s="1516" t="s">
        <v>1027</v>
      </c>
      <c r="D33" s="1555" t="s">
        <v>1785</v>
      </c>
      <c r="E33" s="1454">
        <v>41501.57</v>
      </c>
      <c r="F33" s="1576">
        <v>42686.31</v>
      </c>
      <c r="G33" s="282">
        <f t="shared" si="0"/>
        <v>42093.94</v>
      </c>
      <c r="H33" s="45"/>
    </row>
    <row r="34" spans="1:8">
      <c r="A34" s="1010">
        <f t="shared" si="1"/>
        <v>6.2299999999999951</v>
      </c>
      <c r="B34" s="1589" t="s">
        <v>1029</v>
      </c>
      <c r="C34" s="1516" t="s">
        <v>1030</v>
      </c>
      <c r="D34" s="1555" t="s">
        <v>1785</v>
      </c>
      <c r="E34" s="1454">
        <v>2252.9899999999998</v>
      </c>
      <c r="F34" s="1576">
        <v>76150.95</v>
      </c>
      <c r="G34" s="282">
        <f t="shared" si="0"/>
        <v>39201.97</v>
      </c>
      <c r="H34" s="45"/>
    </row>
    <row r="35" spans="1:8">
      <c r="A35" s="1010">
        <f t="shared" si="1"/>
        <v>6.2399999999999949</v>
      </c>
      <c r="B35" s="1589" t="s">
        <v>1031</v>
      </c>
      <c r="C35" s="1516" t="s">
        <v>1030</v>
      </c>
      <c r="D35" s="1555" t="s">
        <v>1785</v>
      </c>
      <c r="E35" s="1454">
        <v>34758.06</v>
      </c>
      <c r="F35" s="1576">
        <v>35314.74</v>
      </c>
      <c r="G35" s="282">
        <f t="shared" si="0"/>
        <v>35036.399999999994</v>
      </c>
      <c r="H35" s="45"/>
    </row>
    <row r="36" spans="1:8">
      <c r="A36" s="1010">
        <f t="shared" si="1"/>
        <v>6.2499999999999947</v>
      </c>
      <c r="B36" s="1589" t="s">
        <v>1032</v>
      </c>
      <c r="C36" s="1516" t="s">
        <v>1033</v>
      </c>
      <c r="D36" s="1555" t="s">
        <v>1785</v>
      </c>
      <c r="E36" s="1454">
        <v>132192.62</v>
      </c>
      <c r="F36" s="1576">
        <v>132192.62</v>
      </c>
      <c r="G36" s="282">
        <f t="shared" si="0"/>
        <v>132192.62</v>
      </c>
      <c r="H36" s="45"/>
    </row>
    <row r="37" spans="1:8">
      <c r="A37" s="1010">
        <f t="shared" si="1"/>
        <v>6.2599999999999945</v>
      </c>
      <c r="B37" s="1589" t="s">
        <v>1034</v>
      </c>
      <c r="C37" s="1516" t="s">
        <v>1033</v>
      </c>
      <c r="D37" s="1555" t="s">
        <v>1785</v>
      </c>
      <c r="E37" s="1454">
        <v>593656.24</v>
      </c>
      <c r="F37" s="1576">
        <v>593656.24</v>
      </c>
      <c r="G37" s="282">
        <f t="shared" si="0"/>
        <v>593656.24</v>
      </c>
      <c r="H37" s="45"/>
    </row>
    <row r="38" spans="1:8">
      <c r="A38" s="1010">
        <f t="shared" si="1"/>
        <v>6.2699999999999942</v>
      </c>
      <c r="B38" s="1589" t="s">
        <v>1035</v>
      </c>
      <c r="C38" s="1516" t="s">
        <v>1036</v>
      </c>
      <c r="D38" s="1555" t="s">
        <v>1785</v>
      </c>
      <c r="E38" s="1454">
        <v>70225.62</v>
      </c>
      <c r="F38" s="1576">
        <v>70225.62</v>
      </c>
      <c r="G38" s="282">
        <f t="shared" si="0"/>
        <v>70225.62</v>
      </c>
      <c r="H38" s="45"/>
    </row>
    <row r="39" spans="1:8">
      <c r="A39" s="1010">
        <f t="shared" si="1"/>
        <v>6.279999999999994</v>
      </c>
      <c r="B39" s="1589" t="s">
        <v>1037</v>
      </c>
      <c r="C39" s="1516" t="s">
        <v>1036</v>
      </c>
      <c r="D39" s="1555" t="s">
        <v>1785</v>
      </c>
      <c r="E39" s="1454">
        <v>72552.95</v>
      </c>
      <c r="F39" s="1576">
        <v>73846.47</v>
      </c>
      <c r="G39" s="282">
        <f t="shared" si="0"/>
        <v>73199.709999999992</v>
      </c>
      <c r="H39" s="45"/>
    </row>
    <row r="40" spans="1:8">
      <c r="A40" s="1010">
        <f t="shared" si="1"/>
        <v>6.2899999999999938</v>
      </c>
      <c r="B40" s="1589" t="s">
        <v>1038</v>
      </c>
      <c r="C40" s="1516" t="s">
        <v>1039</v>
      </c>
      <c r="D40" s="1555" t="s">
        <v>1785</v>
      </c>
      <c r="E40" s="1454">
        <v>45565.760000000002</v>
      </c>
      <c r="F40" s="1576">
        <v>45565.760000000002</v>
      </c>
      <c r="G40" s="282">
        <f t="shared" si="0"/>
        <v>45565.760000000002</v>
      </c>
      <c r="H40" s="45"/>
    </row>
    <row r="41" spans="1:8">
      <c r="A41" s="1010">
        <f t="shared" si="1"/>
        <v>6.2999999999999936</v>
      </c>
      <c r="B41" s="1589" t="s">
        <v>1040</v>
      </c>
      <c r="C41" s="1516" t="s">
        <v>1039</v>
      </c>
      <c r="D41" s="1555" t="s">
        <v>1785</v>
      </c>
      <c r="E41" s="1454">
        <v>438800.2</v>
      </c>
      <c r="F41" s="1576">
        <v>466490.33</v>
      </c>
      <c r="G41" s="282">
        <f t="shared" si="0"/>
        <v>452645.26500000001</v>
      </c>
      <c r="H41" s="45"/>
    </row>
    <row r="42" spans="1:8">
      <c r="A42" s="1010">
        <f t="shared" si="1"/>
        <v>6.3099999999999934</v>
      </c>
      <c r="B42" s="1589" t="s">
        <v>1041</v>
      </c>
      <c r="C42" s="1516" t="s">
        <v>1042</v>
      </c>
      <c r="D42" s="1555" t="s">
        <v>1785</v>
      </c>
      <c r="E42" s="1454">
        <v>6166.97</v>
      </c>
      <c r="F42" s="1576">
        <v>6166.97</v>
      </c>
      <c r="G42" s="282">
        <f t="shared" si="0"/>
        <v>6166.97</v>
      </c>
      <c r="H42" s="45"/>
    </row>
    <row r="43" spans="1:8">
      <c r="A43" s="1010">
        <f t="shared" si="1"/>
        <v>6.3199999999999932</v>
      </c>
      <c r="B43" s="1589" t="s">
        <v>1043</v>
      </c>
      <c r="C43" s="1516" t="s">
        <v>1042</v>
      </c>
      <c r="D43" s="1555" t="s">
        <v>1785</v>
      </c>
      <c r="E43" s="1454">
        <v>104473.65</v>
      </c>
      <c r="F43" s="1576">
        <v>104473.65</v>
      </c>
      <c r="G43" s="282">
        <f t="shared" si="0"/>
        <v>104473.65</v>
      </c>
      <c r="H43" s="45"/>
    </row>
    <row r="44" spans="1:8">
      <c r="A44" s="1010">
        <f t="shared" si="1"/>
        <v>6.329999999999993</v>
      </c>
      <c r="B44" s="1589" t="s">
        <v>1044</v>
      </c>
      <c r="C44" s="1516" t="s">
        <v>1045</v>
      </c>
      <c r="D44" s="1555" t="s">
        <v>1785</v>
      </c>
      <c r="E44" s="1454">
        <v>59699.92</v>
      </c>
      <c r="F44" s="1576">
        <v>59699.92</v>
      </c>
      <c r="G44" s="282">
        <f t="shared" si="0"/>
        <v>59699.92</v>
      </c>
      <c r="H44" s="45"/>
    </row>
    <row r="45" spans="1:8">
      <c r="A45" s="1010">
        <f t="shared" si="1"/>
        <v>6.3399999999999928</v>
      </c>
      <c r="B45" s="1589" t="s">
        <v>1046</v>
      </c>
      <c r="C45" s="1516" t="s">
        <v>1045</v>
      </c>
      <c r="D45" s="1555" t="s">
        <v>1785</v>
      </c>
      <c r="E45" s="1454">
        <v>352687</v>
      </c>
      <c r="F45" s="1576">
        <v>361976.96</v>
      </c>
      <c r="G45" s="282">
        <f t="shared" si="0"/>
        <v>357331.98</v>
      </c>
      <c r="H45" s="45"/>
    </row>
    <row r="46" spans="1:8">
      <c r="A46" s="1010">
        <f t="shared" si="1"/>
        <v>6.3499999999999925</v>
      </c>
      <c r="B46" s="1589" t="s">
        <v>1047</v>
      </c>
      <c r="C46" s="1516" t="s">
        <v>1048</v>
      </c>
      <c r="D46" s="1555" t="s">
        <v>1785</v>
      </c>
      <c r="E46" s="1454">
        <v>4661.57</v>
      </c>
      <c r="F46" s="1576">
        <v>4661.57</v>
      </c>
      <c r="G46" s="282">
        <f t="shared" si="0"/>
        <v>4661.57</v>
      </c>
      <c r="H46" s="45"/>
    </row>
    <row r="47" spans="1:8">
      <c r="A47" s="1010">
        <f t="shared" si="1"/>
        <v>6.3599999999999923</v>
      </c>
      <c r="B47" s="1589" t="s">
        <v>1049</v>
      </c>
      <c r="C47" s="1516" t="s">
        <v>1050</v>
      </c>
      <c r="D47" s="1555" t="s">
        <v>1785</v>
      </c>
      <c r="E47" s="1454">
        <v>53224.76</v>
      </c>
      <c r="F47" s="1576">
        <v>53489.1</v>
      </c>
      <c r="G47" s="282">
        <f t="shared" si="0"/>
        <v>53356.93</v>
      </c>
      <c r="H47" s="45"/>
    </row>
    <row r="48" spans="1:8">
      <c r="A48" s="1010">
        <f t="shared" si="1"/>
        <v>6.3699999999999921</v>
      </c>
      <c r="B48" s="1589" t="s">
        <v>1051</v>
      </c>
      <c r="C48" s="1516" t="s">
        <v>1050</v>
      </c>
      <c r="D48" s="1555" t="s">
        <v>1785</v>
      </c>
      <c r="E48" s="1454">
        <v>4047272.86</v>
      </c>
      <c r="F48" s="1576">
        <v>4048550.77</v>
      </c>
      <c r="G48" s="282">
        <f t="shared" si="0"/>
        <v>4047911.8149999999</v>
      </c>
      <c r="H48" s="45"/>
    </row>
    <row r="49" spans="1:8">
      <c r="A49" s="1010">
        <f t="shared" si="1"/>
        <v>6.3799999999999919</v>
      </c>
      <c r="B49" s="1589" t="s">
        <v>1052</v>
      </c>
      <c r="C49" s="1516" t="s">
        <v>1053</v>
      </c>
      <c r="D49" s="1555" t="s">
        <v>1785</v>
      </c>
      <c r="E49" s="1454">
        <v>62232.480000000003</v>
      </c>
      <c r="F49" s="1576">
        <v>62232.480000000003</v>
      </c>
      <c r="G49" s="282">
        <f t="shared" si="0"/>
        <v>62232.480000000003</v>
      </c>
      <c r="H49" s="45"/>
    </row>
    <row r="50" spans="1:8">
      <c r="A50" s="1010">
        <f t="shared" si="1"/>
        <v>6.3899999999999917</v>
      </c>
      <c r="B50" s="1589" t="s">
        <v>1054</v>
      </c>
      <c r="C50" s="1516" t="s">
        <v>1053</v>
      </c>
      <c r="D50" s="1555" t="s">
        <v>1785</v>
      </c>
      <c r="E50" s="1454">
        <v>2305248.88</v>
      </c>
      <c r="F50" s="1576">
        <v>2352235.44</v>
      </c>
      <c r="G50" s="282">
        <f t="shared" si="0"/>
        <v>2328742.16</v>
      </c>
      <c r="H50" s="45"/>
    </row>
    <row r="51" spans="1:8">
      <c r="A51" s="1010">
        <f t="shared" si="1"/>
        <v>6.3999999999999915</v>
      </c>
      <c r="B51" s="1589" t="s">
        <v>1055</v>
      </c>
      <c r="C51" s="1516" t="s">
        <v>1056</v>
      </c>
      <c r="D51" s="1555" t="s">
        <v>1784</v>
      </c>
      <c r="E51" s="1454">
        <v>4558.79</v>
      </c>
      <c r="F51" s="1576">
        <v>216264.77</v>
      </c>
      <c r="G51" s="282">
        <f t="shared" si="0"/>
        <v>110411.78</v>
      </c>
      <c r="H51" s="45"/>
    </row>
    <row r="52" spans="1:8">
      <c r="A52" s="1010">
        <f t="shared" si="1"/>
        <v>6.4099999999999913</v>
      </c>
      <c r="B52" s="1589" t="s">
        <v>1057</v>
      </c>
      <c r="C52" s="1516" t="s">
        <v>1056</v>
      </c>
      <c r="D52" s="1555" t="s">
        <v>1784</v>
      </c>
      <c r="E52" s="1454">
        <v>936898</v>
      </c>
      <c r="F52" s="1576">
        <v>936898.25</v>
      </c>
      <c r="G52" s="282">
        <f t="shared" si="0"/>
        <v>936898.125</v>
      </c>
      <c r="H52" s="45"/>
    </row>
    <row r="53" spans="1:8">
      <c r="A53" s="1010">
        <f t="shared" si="1"/>
        <v>6.419999999999991</v>
      </c>
      <c r="B53" s="1589" t="s">
        <v>1058</v>
      </c>
      <c r="C53" s="1516" t="s">
        <v>1059</v>
      </c>
      <c r="D53" s="1555" t="s">
        <v>1785</v>
      </c>
      <c r="E53" s="1454">
        <v>63701.37</v>
      </c>
      <c r="F53" s="1576">
        <v>63701.37</v>
      </c>
      <c r="G53" s="282">
        <f t="shared" si="0"/>
        <v>63701.37</v>
      </c>
      <c r="H53" s="45"/>
    </row>
    <row r="54" spans="1:8">
      <c r="A54" s="1010">
        <f t="shared" si="1"/>
        <v>6.4299999999999908</v>
      </c>
      <c r="B54" s="1589" t="s">
        <v>1060</v>
      </c>
      <c r="C54" s="1516" t="s">
        <v>1059</v>
      </c>
      <c r="D54" s="1555" t="s">
        <v>1785</v>
      </c>
      <c r="E54" s="1454">
        <v>1865224.53</v>
      </c>
      <c r="F54" s="1576">
        <v>1865224.53</v>
      </c>
      <c r="G54" s="282">
        <f t="shared" si="0"/>
        <v>1865224.53</v>
      </c>
      <c r="H54" s="45"/>
    </row>
    <row r="55" spans="1:8">
      <c r="A55" s="1010">
        <f t="shared" si="1"/>
        <v>6.4399999999999906</v>
      </c>
      <c r="B55" s="1589" t="s">
        <v>1061</v>
      </c>
      <c r="C55" s="1516" t="s">
        <v>1062</v>
      </c>
      <c r="D55" s="1555" t="s">
        <v>1785</v>
      </c>
      <c r="E55" s="1454">
        <v>418.55</v>
      </c>
      <c r="F55" s="1576">
        <v>418.55</v>
      </c>
      <c r="G55" s="282">
        <f t="shared" si="0"/>
        <v>418.55</v>
      </c>
      <c r="H55" s="45"/>
    </row>
    <row r="56" spans="1:8">
      <c r="A56" s="1010">
        <f t="shared" si="1"/>
        <v>6.4499999999999904</v>
      </c>
      <c r="B56" s="1589" t="s">
        <v>1063</v>
      </c>
      <c r="C56" s="1516" t="s">
        <v>1062</v>
      </c>
      <c r="D56" s="1555" t="s">
        <v>1785</v>
      </c>
      <c r="E56" s="1454">
        <v>251731.59</v>
      </c>
      <c r="F56" s="1576">
        <v>336830.48</v>
      </c>
      <c r="G56" s="282">
        <f t="shared" si="0"/>
        <v>294281.03499999997</v>
      </c>
      <c r="H56" s="45"/>
    </row>
    <row r="57" spans="1:8">
      <c r="A57" s="1010">
        <f t="shared" si="1"/>
        <v>6.4599999999999902</v>
      </c>
      <c r="B57" s="1589" t="s">
        <v>1064</v>
      </c>
      <c r="C57" s="1516" t="s">
        <v>1065</v>
      </c>
      <c r="D57" s="1555" t="s">
        <v>1785</v>
      </c>
      <c r="E57" s="1454">
        <v>98978.41</v>
      </c>
      <c r="F57" s="1576">
        <v>98978.41</v>
      </c>
      <c r="G57" s="282">
        <f t="shared" si="0"/>
        <v>98978.41</v>
      </c>
      <c r="H57" s="45"/>
    </row>
    <row r="58" spans="1:8">
      <c r="A58" s="1010">
        <f t="shared" si="1"/>
        <v>6.46999999999999</v>
      </c>
      <c r="B58" s="1589" t="s">
        <v>1066</v>
      </c>
      <c r="C58" s="1516" t="s">
        <v>1065</v>
      </c>
      <c r="D58" s="1555" t="s">
        <v>1785</v>
      </c>
      <c r="E58" s="1454">
        <v>856736.45</v>
      </c>
      <c r="F58" s="1576">
        <v>895502.55</v>
      </c>
      <c r="G58" s="282">
        <f t="shared" si="0"/>
        <v>876119.5</v>
      </c>
      <c r="H58" s="45"/>
    </row>
    <row r="59" spans="1:8">
      <c r="A59" s="1010">
        <f t="shared" si="1"/>
        <v>6.4799999999999898</v>
      </c>
      <c r="B59" s="1589" t="s">
        <v>1067</v>
      </c>
      <c r="C59" s="1516" t="s">
        <v>1068</v>
      </c>
      <c r="D59" s="1555" t="s">
        <v>1785</v>
      </c>
      <c r="E59" s="1454">
        <v>99296.06</v>
      </c>
      <c r="F59" s="1576">
        <v>99296.06</v>
      </c>
      <c r="G59" s="282">
        <f t="shared" si="0"/>
        <v>99296.06</v>
      </c>
      <c r="H59" s="45"/>
    </row>
    <row r="60" spans="1:8">
      <c r="A60" s="1010">
        <f t="shared" si="1"/>
        <v>6.4899999999999896</v>
      </c>
      <c r="B60" s="1589" t="s">
        <v>1069</v>
      </c>
      <c r="C60" s="1516" t="s">
        <v>1068</v>
      </c>
      <c r="D60" s="1555" t="s">
        <v>1785</v>
      </c>
      <c r="E60" s="1454">
        <v>276523.49</v>
      </c>
      <c r="F60" s="1576">
        <v>276523.49</v>
      </c>
      <c r="G60" s="282">
        <f t="shared" si="0"/>
        <v>276523.49</v>
      </c>
      <c r="H60" s="45"/>
    </row>
    <row r="61" spans="1:8">
      <c r="A61" s="1010">
        <f t="shared" si="1"/>
        <v>6.4999999999999893</v>
      </c>
      <c r="B61" s="1589" t="s">
        <v>1070</v>
      </c>
      <c r="C61" s="1516" t="s">
        <v>1071</v>
      </c>
      <c r="D61" s="1555" t="s">
        <v>1785</v>
      </c>
      <c r="E61" s="1454">
        <v>1637.67</v>
      </c>
      <c r="F61" s="1576">
        <v>1637.67</v>
      </c>
      <c r="G61" s="282">
        <f t="shared" si="0"/>
        <v>1637.67</v>
      </c>
      <c r="H61" s="45"/>
    </row>
    <row r="62" spans="1:8">
      <c r="A62" s="1010">
        <f t="shared" si="1"/>
        <v>6.5099999999999891</v>
      </c>
      <c r="B62" s="1589" t="s">
        <v>1072</v>
      </c>
      <c r="C62" s="1516" t="s">
        <v>1071</v>
      </c>
      <c r="D62" s="1555" t="s">
        <v>1785</v>
      </c>
      <c r="E62" s="1454">
        <v>39707.629999999997</v>
      </c>
      <c r="F62" s="1576">
        <v>39707.629999999997</v>
      </c>
      <c r="G62" s="282">
        <f t="shared" si="0"/>
        <v>39707.629999999997</v>
      </c>
      <c r="H62" s="45"/>
    </row>
    <row r="63" spans="1:8">
      <c r="A63" s="1010">
        <f t="shared" si="1"/>
        <v>6.5199999999999889</v>
      </c>
      <c r="B63" s="1589" t="s">
        <v>1073</v>
      </c>
      <c r="C63" s="1516" t="s">
        <v>1074</v>
      </c>
      <c r="D63" s="1555" t="s">
        <v>1785</v>
      </c>
      <c r="E63" s="1454">
        <v>410677.66</v>
      </c>
      <c r="F63" s="1576">
        <v>410677.66</v>
      </c>
      <c r="G63" s="282">
        <f t="shared" si="0"/>
        <v>410677.66</v>
      </c>
      <c r="H63" s="45"/>
    </row>
    <row r="64" spans="1:8">
      <c r="A64" s="1010">
        <f t="shared" si="1"/>
        <v>6.5299999999999887</v>
      </c>
      <c r="B64" s="1589" t="s">
        <v>1075</v>
      </c>
      <c r="C64" s="1516" t="s">
        <v>1076</v>
      </c>
      <c r="D64" s="1555" t="s">
        <v>1785</v>
      </c>
      <c r="E64" s="1454">
        <v>82907.14</v>
      </c>
      <c r="F64" s="1576">
        <v>82907.14</v>
      </c>
      <c r="G64" s="282">
        <f t="shared" si="0"/>
        <v>82907.14</v>
      </c>
      <c r="H64" s="45"/>
    </row>
    <row r="65" spans="1:9">
      <c r="A65" s="1010">
        <f t="shared" si="1"/>
        <v>6.5399999999999885</v>
      </c>
      <c r="B65" s="1589" t="s">
        <v>1077</v>
      </c>
      <c r="C65" s="1516" t="s">
        <v>1076</v>
      </c>
      <c r="D65" s="1555" t="s">
        <v>1785</v>
      </c>
      <c r="E65" s="1454">
        <v>216064.44</v>
      </c>
      <c r="F65" s="1576">
        <v>715842.89</v>
      </c>
      <c r="G65" s="282">
        <f t="shared" si="0"/>
        <v>465953.66500000004</v>
      </c>
      <c r="H65" s="45"/>
    </row>
    <row r="66" spans="1:9">
      <c r="A66" s="1010">
        <f t="shared" si="1"/>
        <v>6.5499999999999883</v>
      </c>
      <c r="B66" s="1589" t="s">
        <v>1078</v>
      </c>
      <c r="C66" s="1516" t="s">
        <v>1079</v>
      </c>
      <c r="D66" s="1555" t="s">
        <v>1785</v>
      </c>
      <c r="E66" s="1454">
        <v>996.44</v>
      </c>
      <c r="F66" s="1576">
        <v>996.44</v>
      </c>
      <c r="G66" s="282">
        <f t="shared" si="0"/>
        <v>996.44</v>
      </c>
      <c r="H66" s="45"/>
    </row>
    <row r="67" spans="1:9">
      <c r="A67" s="1010">
        <f t="shared" si="1"/>
        <v>6.5599999999999881</v>
      </c>
      <c r="B67" s="1589" t="s">
        <v>1080</v>
      </c>
      <c r="C67" s="1516" t="s">
        <v>1079</v>
      </c>
      <c r="D67" s="1555" t="s">
        <v>1785</v>
      </c>
      <c r="E67" s="1454">
        <v>206781.32</v>
      </c>
      <c r="F67" s="1576">
        <v>204842.93</v>
      </c>
      <c r="G67" s="282">
        <f t="shared" si="0"/>
        <v>205812.125</v>
      </c>
      <c r="H67" s="45"/>
    </row>
    <row r="68" spans="1:9">
      <c r="A68" s="1010">
        <f t="shared" si="1"/>
        <v>6.5699999999999878</v>
      </c>
      <c r="B68" s="1589" t="s">
        <v>1081</v>
      </c>
      <c r="C68" s="1516" t="s">
        <v>1082</v>
      </c>
      <c r="D68" s="1555" t="s">
        <v>1785</v>
      </c>
      <c r="E68" s="1454">
        <v>666040.68999999994</v>
      </c>
      <c r="F68" s="1576">
        <v>666040.68999999994</v>
      </c>
      <c r="G68" s="282">
        <f t="shared" si="0"/>
        <v>666040.68999999994</v>
      </c>
      <c r="H68" s="45"/>
    </row>
    <row r="69" spans="1:9">
      <c r="A69" s="1010">
        <f t="shared" si="1"/>
        <v>6.5799999999999876</v>
      </c>
      <c r="B69" s="1589" t="s">
        <v>1083</v>
      </c>
      <c r="C69" s="1516" t="s">
        <v>1082</v>
      </c>
      <c r="D69" s="1555" t="s">
        <v>1785</v>
      </c>
      <c r="E69" s="1454">
        <v>1456819.9</v>
      </c>
      <c r="F69" s="1576">
        <v>1449938.13</v>
      </c>
      <c r="G69" s="282">
        <f t="shared" si="0"/>
        <v>1453379.0149999999</v>
      </c>
      <c r="H69" s="45"/>
    </row>
    <row r="70" spans="1:9">
      <c r="A70" s="1010">
        <f t="shared" si="1"/>
        <v>6.5899999999999874</v>
      </c>
      <c r="B70" s="1589" t="s">
        <v>1084</v>
      </c>
      <c r="C70" s="1516" t="s">
        <v>1085</v>
      </c>
      <c r="D70" s="1555" t="s">
        <v>1785</v>
      </c>
      <c r="E70" s="1454">
        <v>71729.45</v>
      </c>
      <c r="F70" s="1576">
        <v>71729.45</v>
      </c>
      <c r="G70" s="282">
        <f t="shared" si="0"/>
        <v>71729.45</v>
      </c>
      <c r="H70" s="45"/>
    </row>
    <row r="71" spans="1:9">
      <c r="A71" s="1010">
        <f t="shared" si="1"/>
        <v>6.5999999999999872</v>
      </c>
      <c r="B71" s="1589" t="s">
        <v>1086</v>
      </c>
      <c r="C71" s="1516" t="s">
        <v>1085</v>
      </c>
      <c r="D71" s="1555" t="s">
        <v>1785</v>
      </c>
      <c r="E71" s="1454">
        <v>1285242.82</v>
      </c>
      <c r="F71" s="1576">
        <v>1285242.82</v>
      </c>
      <c r="G71" s="282">
        <f t="shared" si="0"/>
        <v>1285242.82</v>
      </c>
      <c r="H71" s="45"/>
    </row>
    <row r="72" spans="1:9">
      <c r="A72" s="1010">
        <f t="shared" si="1"/>
        <v>6.609999999999987</v>
      </c>
      <c r="B72" s="1589" t="s">
        <v>1087</v>
      </c>
      <c r="C72" s="1516" t="s">
        <v>1088</v>
      </c>
      <c r="D72" s="1555" t="s">
        <v>1785</v>
      </c>
      <c r="E72" s="1454">
        <v>210053.18</v>
      </c>
      <c r="F72" s="1576">
        <v>1203374.25</v>
      </c>
      <c r="G72" s="282">
        <f t="shared" si="0"/>
        <v>706713.71499999997</v>
      </c>
      <c r="H72" s="45"/>
    </row>
    <row r="73" spans="1:9">
      <c r="A73" s="1010">
        <f t="shared" si="1"/>
        <v>6.6199999999999868</v>
      </c>
      <c r="B73" s="1589" t="s">
        <v>1089</v>
      </c>
      <c r="C73" s="1516" t="s">
        <v>1088</v>
      </c>
      <c r="D73" s="1555" t="s">
        <v>1785</v>
      </c>
      <c r="E73" s="1454">
        <v>168170.63</v>
      </c>
      <c r="F73" s="1576">
        <v>395547.76</v>
      </c>
      <c r="G73" s="282">
        <f t="shared" si="0"/>
        <v>281859.19500000001</v>
      </c>
      <c r="H73" s="45"/>
    </row>
    <row r="74" spans="1:9">
      <c r="A74" s="1010">
        <f t="shared" si="1"/>
        <v>6.6299999999999866</v>
      </c>
      <c r="B74" s="1589" t="s">
        <v>1090</v>
      </c>
      <c r="C74" s="1516" t="s">
        <v>1091</v>
      </c>
      <c r="D74" s="1555" t="s">
        <v>1785</v>
      </c>
      <c r="E74" s="1454">
        <v>14460.76</v>
      </c>
      <c r="F74" s="1576">
        <v>14460.76</v>
      </c>
      <c r="G74" s="282">
        <f t="shared" si="0"/>
        <v>14460.76</v>
      </c>
      <c r="H74" s="45"/>
    </row>
    <row r="75" spans="1:9">
      <c r="A75" s="1010">
        <f t="shared" si="1"/>
        <v>6.6399999999999864</v>
      </c>
      <c r="B75" s="1589" t="s">
        <v>1092</v>
      </c>
      <c r="C75" s="1516" t="s">
        <v>1091</v>
      </c>
      <c r="D75" s="1555" t="s">
        <v>1785</v>
      </c>
      <c r="E75" s="1454">
        <v>245415.87</v>
      </c>
      <c r="F75" s="1576">
        <v>412234.29</v>
      </c>
      <c r="G75" s="282">
        <f t="shared" si="0"/>
        <v>328825.07999999996</v>
      </c>
      <c r="H75" s="45"/>
    </row>
    <row r="76" spans="1:9">
      <c r="A76" s="1010">
        <f t="shared" si="1"/>
        <v>6.6499999999999861</v>
      </c>
      <c r="B76" s="1589" t="s">
        <v>1093</v>
      </c>
      <c r="C76" s="1516" t="s">
        <v>1094</v>
      </c>
      <c r="D76" s="1555" t="s">
        <v>1785</v>
      </c>
      <c r="E76" s="1454">
        <v>57784.43</v>
      </c>
      <c r="F76" s="1576">
        <v>57784.43</v>
      </c>
      <c r="G76" s="282">
        <f t="shared" si="0"/>
        <v>57784.43</v>
      </c>
      <c r="H76" s="45"/>
    </row>
    <row r="77" spans="1:9">
      <c r="A77" s="1010">
        <f t="shared" si="1"/>
        <v>6.6599999999999859</v>
      </c>
      <c r="B77" s="1589" t="s">
        <v>1095</v>
      </c>
      <c r="C77" s="1516" t="s">
        <v>1094</v>
      </c>
      <c r="D77" s="1555" t="s">
        <v>1785</v>
      </c>
      <c r="E77" s="1454">
        <v>234354.7</v>
      </c>
      <c r="F77" s="1576">
        <v>234354.7</v>
      </c>
      <c r="G77" s="282">
        <f t="shared" ref="G77:G84" si="2">+SUM(E77,F77)/2</f>
        <v>234354.7</v>
      </c>
      <c r="H77" s="45"/>
    </row>
    <row r="78" spans="1:9">
      <c r="A78" s="1010">
        <f>+A77+0.01</f>
        <v>6.6699999999999857</v>
      </c>
      <c r="B78" s="1589" t="s">
        <v>1511</v>
      </c>
      <c r="C78" s="1516" t="s">
        <v>1096</v>
      </c>
      <c r="D78" s="1454">
        <v>0</v>
      </c>
      <c r="E78" s="1454">
        <v>0</v>
      </c>
      <c r="F78" s="1576">
        <v>0</v>
      </c>
      <c r="G78" s="282">
        <f t="shared" si="2"/>
        <v>0</v>
      </c>
      <c r="H78" s="45"/>
      <c r="I78" s="45" t="s">
        <v>1562</v>
      </c>
    </row>
    <row r="79" spans="1:9">
      <c r="A79" s="1010">
        <f>+A78+0.01</f>
        <v>6.6799999999999855</v>
      </c>
      <c r="B79" s="1589" t="s">
        <v>1097</v>
      </c>
      <c r="C79" s="1516" t="s">
        <v>1098</v>
      </c>
      <c r="D79" s="1454">
        <v>0</v>
      </c>
      <c r="E79" s="1454">
        <v>0</v>
      </c>
      <c r="F79" s="1576">
        <v>0</v>
      </c>
      <c r="G79" s="282">
        <f t="shared" si="2"/>
        <v>0</v>
      </c>
      <c r="H79" s="45"/>
    </row>
    <row r="80" spans="1:9">
      <c r="A80" s="1455">
        <f>+A79+0.01</f>
        <v>6.6899999999999853</v>
      </c>
      <c r="B80" s="1597" t="s">
        <v>1395</v>
      </c>
      <c r="C80" s="1598" t="s">
        <v>1003</v>
      </c>
      <c r="D80" s="1555" t="s">
        <v>1781</v>
      </c>
      <c r="E80" s="1454">
        <v>195069.08</v>
      </c>
      <c r="F80" s="1576">
        <v>195069.08</v>
      </c>
      <c r="G80" s="282">
        <f t="shared" si="2"/>
        <v>195069.08</v>
      </c>
      <c r="H80" s="45"/>
      <c r="I80" s="81" t="s">
        <v>1560</v>
      </c>
    </row>
    <row r="81" spans="1:15">
      <c r="A81" s="1455">
        <f>+A80+0.01</f>
        <v>6.6999999999999851</v>
      </c>
      <c r="B81" s="1597" t="s">
        <v>1396</v>
      </c>
      <c r="C81" s="1598" t="s">
        <v>1096</v>
      </c>
      <c r="D81" s="1555" t="s">
        <v>1785</v>
      </c>
      <c r="E81" s="1454">
        <v>421498.1</v>
      </c>
      <c r="F81" s="1576">
        <v>1631078.74</v>
      </c>
      <c r="G81" s="282">
        <f>+SUM(E81,F81)/2</f>
        <v>1026288.4199999999</v>
      </c>
      <c r="H81" s="45"/>
      <c r="I81" s="81" t="s">
        <v>1561</v>
      </c>
    </row>
    <row r="82" spans="1:15">
      <c r="A82" s="1455">
        <f>A81+0.01</f>
        <v>6.7099999999999849</v>
      </c>
      <c r="B82" s="1453" t="s">
        <v>969</v>
      </c>
      <c r="C82" s="1453"/>
      <c r="D82" s="1454">
        <v>0</v>
      </c>
      <c r="E82" s="1454">
        <v>0</v>
      </c>
      <c r="F82" s="1576">
        <v>0</v>
      </c>
      <c r="G82" s="282">
        <f t="shared" si="2"/>
        <v>0</v>
      </c>
      <c r="H82" s="45"/>
    </row>
    <row r="83" spans="1:15">
      <c r="A83" s="1455" t="s">
        <v>960</v>
      </c>
      <c r="B83" s="1453" t="s">
        <v>969</v>
      </c>
      <c r="C83" s="1453"/>
      <c r="D83" s="1454">
        <v>0</v>
      </c>
      <c r="E83" s="1521">
        <v>0</v>
      </c>
      <c r="F83" s="1577">
        <v>0</v>
      </c>
      <c r="G83" s="282">
        <f t="shared" si="2"/>
        <v>0</v>
      </c>
      <c r="H83" s="45"/>
    </row>
    <row r="84" spans="1:15">
      <c r="A84" s="1455" t="s">
        <v>965</v>
      </c>
      <c r="B84" s="1453" t="s">
        <v>969</v>
      </c>
      <c r="C84" s="1453"/>
      <c r="D84" s="1454">
        <v>0</v>
      </c>
      <c r="E84" s="1522">
        <v>0</v>
      </c>
      <c r="F84" s="1578">
        <v>0</v>
      </c>
      <c r="G84" s="590">
        <f t="shared" si="2"/>
        <v>0</v>
      </c>
      <c r="H84" s="45"/>
    </row>
    <row r="85" spans="1:15">
      <c r="A85" s="1010">
        <f>+A11+1</f>
        <v>7</v>
      </c>
      <c r="B85" s="1324" t="s">
        <v>118</v>
      </c>
      <c r="C85" s="1324"/>
      <c r="D85" s="1324"/>
      <c r="E85" s="1307">
        <f>SUM(E12:E84)</f>
        <v>27165770.460000001</v>
      </c>
      <c r="F85" s="1579">
        <f>SUM(F12:F84)</f>
        <v>31145988.660000004</v>
      </c>
      <c r="G85" s="1307">
        <f>SUM(G12:G84)</f>
        <v>29155879.560000002</v>
      </c>
      <c r="H85" s="45"/>
    </row>
    <row r="86" spans="1:15">
      <c r="A86" s="588"/>
      <c r="B86" s="45"/>
      <c r="C86" s="45"/>
      <c r="D86" s="45"/>
      <c r="E86" s="45"/>
      <c r="F86" s="1011"/>
      <c r="G86" s="45"/>
    </row>
    <row r="87" spans="1:15">
      <c r="A87" s="45" t="s">
        <v>316</v>
      </c>
      <c r="B87" s="45"/>
      <c r="C87" s="45"/>
      <c r="D87" s="45"/>
      <c r="E87" s="45"/>
      <c r="F87" s="45"/>
      <c r="G87" s="45"/>
    </row>
    <row r="88" spans="1:15" s="715" customFormat="1">
      <c r="A88" s="933" t="s">
        <v>176</v>
      </c>
      <c r="B88" s="1923" t="str">
        <f>+"Reference Appendix A Note "&amp;'Appendix A'!A318</f>
        <v>Reference Appendix A Note M</v>
      </c>
      <c r="C88" s="1923"/>
      <c r="D88" s="1923"/>
      <c r="E88" s="1923"/>
      <c r="F88" s="1923"/>
      <c r="G88" s="1923"/>
      <c r="I88" s="881"/>
      <c r="J88" s="881"/>
      <c r="K88" s="881"/>
      <c r="L88" s="881"/>
      <c r="M88" s="881"/>
      <c r="N88" s="881"/>
      <c r="O88" s="881"/>
    </row>
    <row r="89" spans="1:15">
      <c r="A89" s="933"/>
    </row>
  </sheetData>
  <mergeCells count="5">
    <mergeCell ref="B88:G88"/>
    <mergeCell ref="A1:G1"/>
    <mergeCell ref="A2:G2"/>
    <mergeCell ref="A3:G3"/>
    <mergeCell ref="J14:N19"/>
  </mergeCells>
  <printOptions horizontalCentered="1"/>
  <pageMargins left="0.7" right="0.7" top="0.7" bottom="0.7" header="0.3" footer="0.5"/>
  <pageSetup scale="74" fitToHeight="2" orientation="portrait" r:id="rId1"/>
  <headerFooter>
    <oddFooter>&amp;R&amp;A</oddFooter>
  </headerFooter>
  <ignoredErrors>
    <ignoredError sqref="A8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9"/>
  <sheetViews>
    <sheetView zoomScaleNormal="100" workbookViewId="0">
      <selection sqref="A1:B1"/>
    </sheetView>
  </sheetViews>
  <sheetFormatPr defaultColWidth="8.88671875" defaultRowHeight="13.2"/>
  <cols>
    <col min="1" max="1" width="4.33203125" style="717" customWidth="1"/>
    <col min="2" max="2" width="45.109375" style="44" bestFit="1" customWidth="1"/>
    <col min="3" max="11" width="11.44140625" style="44" bestFit="1" customWidth="1"/>
    <col min="12" max="16" width="11.33203125" style="44" customWidth="1"/>
    <col min="17" max="16384" width="8.88671875" style="44"/>
  </cols>
  <sheetData>
    <row r="1" spans="1:17">
      <c r="A1" s="1926" t="str">
        <f>+'MISO Cover'!C6</f>
        <v>Entergy Arkansas, Inc.</v>
      </c>
      <c r="B1" s="1926"/>
      <c r="C1" s="1926"/>
      <c r="D1" s="1926"/>
      <c r="E1" s="1926"/>
      <c r="F1" s="1926"/>
      <c r="G1" s="1926"/>
      <c r="H1" s="1926"/>
      <c r="I1" s="1926"/>
      <c r="J1" s="1926"/>
      <c r="K1" s="1926"/>
      <c r="L1" s="1926"/>
      <c r="M1" s="1926"/>
      <c r="N1" s="1926"/>
      <c r="O1" s="1926"/>
      <c r="P1" s="1926"/>
      <c r="Q1" s="843"/>
    </row>
    <row r="2" spans="1:17">
      <c r="A2" s="1924" t="s">
        <v>929</v>
      </c>
      <c r="B2" s="1924"/>
      <c r="C2" s="1924"/>
      <c r="D2" s="1924"/>
      <c r="E2" s="1924"/>
      <c r="F2" s="1924"/>
      <c r="G2" s="1924"/>
      <c r="H2" s="1924"/>
      <c r="I2" s="1924"/>
      <c r="J2" s="1924"/>
      <c r="K2" s="1924"/>
      <c r="L2" s="1924"/>
      <c r="M2" s="1924"/>
      <c r="N2" s="1924"/>
      <c r="O2" s="1924"/>
      <c r="P2" s="1924"/>
    </row>
    <row r="3" spans="1:17">
      <c r="A3" s="1924" t="str">
        <f>+'MISO Cover'!K4</f>
        <v>For  the 12 Months Ended 12/31/2016</v>
      </c>
      <c r="B3" s="1924"/>
      <c r="C3" s="1924"/>
      <c r="D3" s="1924"/>
      <c r="E3" s="1924"/>
      <c r="F3" s="1924"/>
      <c r="G3" s="1924"/>
      <c r="H3" s="1924"/>
      <c r="I3" s="1924"/>
      <c r="J3" s="1924"/>
      <c r="K3" s="1924"/>
      <c r="L3" s="1924"/>
      <c r="M3" s="1924"/>
      <c r="N3" s="1924"/>
      <c r="O3" s="1924"/>
      <c r="P3" s="1924"/>
    </row>
    <row r="4" spans="1:17">
      <c r="A4" s="792"/>
    </row>
    <row r="5" spans="1:17" s="794" customFormat="1">
      <c r="A5" s="792" t="s">
        <v>290</v>
      </c>
      <c r="B5" s="794" t="s">
        <v>72</v>
      </c>
      <c r="C5" s="794" t="s">
        <v>119</v>
      </c>
      <c r="D5" s="794" t="s">
        <v>60</v>
      </c>
      <c r="E5" s="794" t="s">
        <v>73</v>
      </c>
      <c r="F5" s="794" t="s">
        <v>71</v>
      </c>
      <c r="G5" s="794" t="s">
        <v>161</v>
      </c>
      <c r="H5" s="794" t="s">
        <v>74</v>
      </c>
      <c r="I5" s="794" t="s">
        <v>174</v>
      </c>
      <c r="J5" s="794" t="s">
        <v>64</v>
      </c>
      <c r="K5" s="794" t="s">
        <v>65</v>
      </c>
      <c r="L5" s="794" t="s">
        <v>76</v>
      </c>
      <c r="M5" s="794" t="s">
        <v>103</v>
      </c>
      <c r="N5" s="794" t="s">
        <v>104</v>
      </c>
      <c r="O5" s="794" t="s">
        <v>162</v>
      </c>
      <c r="P5" s="794" t="s">
        <v>232</v>
      </c>
    </row>
    <row r="6" spans="1:17" s="794" customFormat="1">
      <c r="A6" s="792"/>
      <c r="C6" s="1531" t="s">
        <v>42</v>
      </c>
      <c r="D6" s="1531" t="s">
        <v>32</v>
      </c>
      <c r="E6" s="1531" t="s">
        <v>33</v>
      </c>
      <c r="F6" s="1531" t="s">
        <v>34</v>
      </c>
      <c r="G6" s="1531" t="s">
        <v>35</v>
      </c>
      <c r="H6" s="1531" t="s">
        <v>31</v>
      </c>
      <c r="I6" s="1531" t="s">
        <v>36</v>
      </c>
      <c r="J6" s="1531" t="s">
        <v>37</v>
      </c>
      <c r="K6" s="1531" t="s">
        <v>38</v>
      </c>
      <c r="L6" s="1531" t="s">
        <v>39</v>
      </c>
      <c r="M6" s="1531" t="s">
        <v>40</v>
      </c>
      <c r="N6" s="1531" t="s">
        <v>41</v>
      </c>
      <c r="O6" s="1531" t="s">
        <v>42</v>
      </c>
      <c r="P6" s="1539" t="s">
        <v>434</v>
      </c>
    </row>
    <row r="7" spans="1:17">
      <c r="A7" s="995">
        <v>1</v>
      </c>
      <c r="B7" s="44" t="s">
        <v>545</v>
      </c>
      <c r="C7" s="844"/>
      <c r="D7" s="844"/>
    </row>
    <row r="8" spans="1:17">
      <c r="A8" s="995">
        <f t="shared" ref="A8:A13" si="0">+A7+0.1</f>
        <v>1.1000000000000001</v>
      </c>
      <c r="B8" s="599" t="s">
        <v>303</v>
      </c>
      <c r="C8" s="221">
        <v>14698132.619999999</v>
      </c>
      <c r="D8" s="221">
        <v>14698132.619999999</v>
      </c>
      <c r="E8" s="221">
        <v>14698132.619999999</v>
      </c>
      <c r="F8" s="221">
        <v>14698132.619999999</v>
      </c>
      <c r="G8" s="221">
        <v>14698132.619999999</v>
      </c>
      <c r="H8" s="221">
        <v>14698132.619999999</v>
      </c>
      <c r="I8" s="221">
        <v>14698132.619999999</v>
      </c>
      <c r="J8" s="221">
        <v>14698132.619999999</v>
      </c>
      <c r="K8" s="221">
        <v>14698132.619999999</v>
      </c>
      <c r="L8" s="221">
        <v>14698132.619999999</v>
      </c>
      <c r="M8" s="221">
        <v>14698132.619999999</v>
      </c>
      <c r="N8" s="221">
        <v>14698132.619999999</v>
      </c>
      <c r="O8" s="221">
        <v>14698132.619999999</v>
      </c>
      <c r="P8" s="269">
        <f t="shared" ref="P8:P15" si="1">+SUM(C8:O8)/13</f>
        <v>14698132.620000003</v>
      </c>
    </row>
    <row r="9" spans="1:17">
      <c r="A9" s="995">
        <f t="shared" si="0"/>
        <v>1.2000000000000002</v>
      </c>
      <c r="B9" s="599" t="s">
        <v>304</v>
      </c>
      <c r="C9" s="1451">
        <v>0</v>
      </c>
      <c r="D9" s="1451">
        <v>0</v>
      </c>
      <c r="E9" s="1451">
        <v>0</v>
      </c>
      <c r="F9" s="1451">
        <v>0</v>
      </c>
      <c r="G9" s="1451">
        <v>0</v>
      </c>
      <c r="H9" s="1451">
        <v>0</v>
      </c>
      <c r="I9" s="1451">
        <v>0</v>
      </c>
      <c r="J9" s="1451">
        <v>0</v>
      </c>
      <c r="K9" s="1451">
        <v>0</v>
      </c>
      <c r="L9" s="1451">
        <v>0</v>
      </c>
      <c r="M9" s="1451">
        <v>0</v>
      </c>
      <c r="N9" s="1451">
        <v>0</v>
      </c>
      <c r="O9" s="1451">
        <v>0</v>
      </c>
      <c r="P9" s="269">
        <f t="shared" si="1"/>
        <v>0</v>
      </c>
    </row>
    <row r="10" spans="1:17">
      <c r="A10" s="995">
        <f t="shared" si="0"/>
        <v>1.3000000000000003</v>
      </c>
      <c r="B10" s="599" t="s">
        <v>305</v>
      </c>
      <c r="C10" s="1451">
        <v>1749086.96</v>
      </c>
      <c r="D10" s="1451">
        <v>1749086.96</v>
      </c>
      <c r="E10" s="1451">
        <v>1749086.96</v>
      </c>
      <c r="F10" s="1451">
        <v>1749086.96</v>
      </c>
      <c r="G10" s="1451">
        <v>1749086.96</v>
      </c>
      <c r="H10" s="1451">
        <v>1749086.96</v>
      </c>
      <c r="I10" s="1451">
        <v>1749086.96</v>
      </c>
      <c r="J10" s="1451">
        <v>1749086.96</v>
      </c>
      <c r="K10" s="1451">
        <v>1749086.96</v>
      </c>
      <c r="L10" s="1451">
        <v>1749086.96</v>
      </c>
      <c r="M10" s="1451">
        <v>1749086.96</v>
      </c>
      <c r="N10" s="1451">
        <v>1749086.96</v>
      </c>
      <c r="O10" s="1451">
        <v>1749086.96</v>
      </c>
      <c r="P10" s="269">
        <f t="shared" si="1"/>
        <v>1749086.9600000007</v>
      </c>
    </row>
    <row r="11" spans="1:17">
      <c r="A11" s="1361">
        <f t="shared" si="0"/>
        <v>1.4000000000000004</v>
      </c>
      <c r="B11" s="599" t="s">
        <v>306</v>
      </c>
      <c r="C11" s="1451">
        <v>1749086.88</v>
      </c>
      <c r="D11" s="1451">
        <v>1749086.88</v>
      </c>
      <c r="E11" s="1451">
        <v>1749086.88</v>
      </c>
      <c r="F11" s="1451">
        <v>1749086.88</v>
      </c>
      <c r="G11" s="1451">
        <v>1749086.88</v>
      </c>
      <c r="H11" s="1451">
        <v>1749086.88</v>
      </c>
      <c r="I11" s="1451">
        <v>1749086.88</v>
      </c>
      <c r="J11" s="1451">
        <v>1749086.88</v>
      </c>
      <c r="K11" s="1451">
        <v>1749086.88</v>
      </c>
      <c r="L11" s="1451">
        <v>1749086.88</v>
      </c>
      <c r="M11" s="1451">
        <v>1749086.88</v>
      </c>
      <c r="N11" s="1451">
        <v>1749086.88</v>
      </c>
      <c r="O11" s="1451">
        <v>1749086.88</v>
      </c>
      <c r="P11" s="269">
        <f t="shared" si="1"/>
        <v>1749086.8799999992</v>
      </c>
    </row>
    <row r="12" spans="1:17">
      <c r="A12" s="1361">
        <f t="shared" si="0"/>
        <v>1.5000000000000004</v>
      </c>
      <c r="B12" s="599" t="s">
        <v>307</v>
      </c>
      <c r="C12" s="1451">
        <v>0</v>
      </c>
      <c r="D12" s="1451">
        <v>0</v>
      </c>
      <c r="E12" s="1451">
        <v>0</v>
      </c>
      <c r="F12" s="1451">
        <v>0</v>
      </c>
      <c r="G12" s="1451">
        <v>0</v>
      </c>
      <c r="H12" s="1451">
        <v>0</v>
      </c>
      <c r="I12" s="1451">
        <v>0</v>
      </c>
      <c r="J12" s="1451">
        <v>0</v>
      </c>
      <c r="K12" s="1451">
        <v>0</v>
      </c>
      <c r="L12" s="1451">
        <v>0</v>
      </c>
      <c r="M12" s="1451">
        <v>0</v>
      </c>
      <c r="N12" s="1451">
        <v>0</v>
      </c>
      <c r="O12" s="1451">
        <v>0</v>
      </c>
      <c r="P12" s="269">
        <f t="shared" si="1"/>
        <v>0</v>
      </c>
    </row>
    <row r="13" spans="1:17">
      <c r="A13" s="1450">
        <f t="shared" si="0"/>
        <v>1.6000000000000005</v>
      </c>
      <c r="B13" s="1394" t="s">
        <v>969</v>
      </c>
      <c r="C13" s="1451">
        <v>0</v>
      </c>
      <c r="D13" s="1451">
        <v>0</v>
      </c>
      <c r="E13" s="1451">
        <v>0</v>
      </c>
      <c r="F13" s="1451">
        <v>0</v>
      </c>
      <c r="G13" s="1451">
        <v>0</v>
      </c>
      <c r="H13" s="1451">
        <v>0</v>
      </c>
      <c r="I13" s="1451">
        <v>0</v>
      </c>
      <c r="J13" s="1451">
        <v>0</v>
      </c>
      <c r="K13" s="1451">
        <v>0</v>
      </c>
      <c r="L13" s="1451">
        <v>0</v>
      </c>
      <c r="M13" s="1451">
        <v>0</v>
      </c>
      <c r="N13" s="1451">
        <v>0</v>
      </c>
      <c r="O13" s="1451">
        <v>0</v>
      </c>
      <c r="P13" s="269">
        <f t="shared" si="1"/>
        <v>0</v>
      </c>
    </row>
    <row r="14" spans="1:17">
      <c r="A14" s="1450" t="s">
        <v>960</v>
      </c>
      <c r="B14" s="1394" t="s">
        <v>969</v>
      </c>
      <c r="C14" s="1451">
        <v>0</v>
      </c>
      <c r="D14" s="1451">
        <v>0</v>
      </c>
      <c r="E14" s="1451">
        <v>0</v>
      </c>
      <c r="F14" s="1451">
        <v>0</v>
      </c>
      <c r="G14" s="1451">
        <v>0</v>
      </c>
      <c r="H14" s="1451">
        <v>0</v>
      </c>
      <c r="I14" s="1451">
        <v>0</v>
      </c>
      <c r="J14" s="1451">
        <v>0</v>
      </c>
      <c r="K14" s="1451">
        <v>0</v>
      </c>
      <c r="L14" s="1451">
        <v>0</v>
      </c>
      <c r="M14" s="1451">
        <v>0</v>
      </c>
      <c r="N14" s="1451">
        <v>0</v>
      </c>
      <c r="O14" s="1451">
        <v>0</v>
      </c>
      <c r="P14" s="269">
        <f t="shared" si="1"/>
        <v>0</v>
      </c>
    </row>
    <row r="15" spans="1:17">
      <c r="A15" s="1450" t="s">
        <v>964</v>
      </c>
      <c r="B15" s="1394" t="s">
        <v>969</v>
      </c>
      <c r="C15" s="1533">
        <v>0</v>
      </c>
      <c r="D15" s="1533">
        <v>0</v>
      </c>
      <c r="E15" s="1533">
        <v>0</v>
      </c>
      <c r="F15" s="1533">
        <v>0</v>
      </c>
      <c r="G15" s="1533">
        <v>0</v>
      </c>
      <c r="H15" s="1533">
        <v>0</v>
      </c>
      <c r="I15" s="1533">
        <v>0</v>
      </c>
      <c r="J15" s="1533">
        <v>0</v>
      </c>
      <c r="K15" s="1533">
        <v>0</v>
      </c>
      <c r="L15" s="1533">
        <v>0</v>
      </c>
      <c r="M15" s="1533">
        <v>0</v>
      </c>
      <c r="N15" s="1533">
        <v>0</v>
      </c>
      <c r="O15" s="1533">
        <v>0</v>
      </c>
      <c r="P15" s="591">
        <f t="shared" si="1"/>
        <v>0</v>
      </c>
    </row>
    <row r="16" spans="1:17">
      <c r="A16" s="1361">
        <f>+A7+1</f>
        <v>2</v>
      </c>
      <c r="B16" s="599" t="str">
        <f>+"Total - Generator (Sum of Line "&amp;A7&amp;" Subparts)"</f>
        <v>Total - Generator (Sum of Line 1 Subparts)</v>
      </c>
      <c r="C16" s="732">
        <f t="shared" ref="C16:P16" si="2">SUM(C8:C15)</f>
        <v>18196306.459999997</v>
      </c>
      <c r="D16" s="732">
        <f t="shared" si="2"/>
        <v>18196306.459999997</v>
      </c>
      <c r="E16" s="732">
        <f t="shared" si="2"/>
        <v>18196306.459999997</v>
      </c>
      <c r="F16" s="732">
        <f t="shared" si="2"/>
        <v>18196306.459999997</v>
      </c>
      <c r="G16" s="732">
        <f t="shared" si="2"/>
        <v>18196306.459999997</v>
      </c>
      <c r="H16" s="732">
        <f t="shared" si="2"/>
        <v>18196306.459999997</v>
      </c>
      <c r="I16" s="732">
        <f t="shared" si="2"/>
        <v>18196306.459999997</v>
      </c>
      <c r="J16" s="732">
        <f t="shared" si="2"/>
        <v>18196306.459999997</v>
      </c>
      <c r="K16" s="732">
        <f t="shared" si="2"/>
        <v>18196306.459999997</v>
      </c>
      <c r="L16" s="732">
        <f t="shared" si="2"/>
        <v>18196306.459999997</v>
      </c>
      <c r="M16" s="732">
        <f t="shared" si="2"/>
        <v>18196306.459999997</v>
      </c>
      <c r="N16" s="732">
        <f t="shared" si="2"/>
        <v>18196306.459999997</v>
      </c>
      <c r="O16" s="732">
        <f t="shared" si="2"/>
        <v>18196306.459999997</v>
      </c>
      <c r="P16" s="845">
        <f t="shared" si="2"/>
        <v>18196306.460000005</v>
      </c>
    </row>
    <row r="17" spans="1:16">
      <c r="A17" s="995">
        <f>+A16+1</f>
        <v>3</v>
      </c>
      <c r="B17" s="599"/>
      <c r="C17" s="290"/>
      <c r="D17" s="290"/>
      <c r="E17" s="290"/>
      <c r="F17" s="290"/>
      <c r="G17" s="290"/>
      <c r="H17" s="290"/>
      <c r="I17" s="290"/>
      <c r="J17" s="290"/>
      <c r="K17" s="290"/>
      <c r="L17" s="290"/>
      <c r="M17" s="290"/>
      <c r="N17" s="290"/>
      <c r="O17" s="290"/>
    </row>
    <row r="18" spans="1:16">
      <c r="A18" s="995">
        <f>+A17+1</f>
        <v>4</v>
      </c>
      <c r="B18" s="726" t="s">
        <v>543</v>
      </c>
      <c r="C18" s="290"/>
      <c r="D18" s="290"/>
      <c r="E18" s="290"/>
      <c r="F18" s="290"/>
      <c r="G18" s="290"/>
      <c r="H18" s="290"/>
      <c r="I18" s="290"/>
      <c r="J18" s="290"/>
      <c r="K18" s="290"/>
      <c r="L18" s="290"/>
      <c r="M18" s="290"/>
      <c r="N18" s="290"/>
      <c r="O18" s="290"/>
    </row>
    <row r="19" spans="1:16">
      <c r="A19" s="995">
        <f>+A18+0.1</f>
        <v>4.0999999999999996</v>
      </c>
      <c r="B19" s="599" t="s">
        <v>309</v>
      </c>
      <c r="C19" s="221">
        <v>6274144.8499999996</v>
      </c>
      <c r="D19" s="221">
        <v>6274144.8499999996</v>
      </c>
      <c r="E19" s="221">
        <v>6274144.8499999996</v>
      </c>
      <c r="F19" s="221">
        <v>6274144.8499999996</v>
      </c>
      <c r="G19" s="221">
        <v>6274144.8499999996</v>
      </c>
      <c r="H19" s="221">
        <v>6274144.8499999996</v>
      </c>
      <c r="I19" s="221">
        <v>6274144.8499999996</v>
      </c>
      <c r="J19" s="221">
        <v>6274144.8499999996</v>
      </c>
      <c r="K19" s="221">
        <v>6274144.8499999996</v>
      </c>
      <c r="L19" s="221">
        <v>6274144.8499999996</v>
      </c>
      <c r="M19" s="221">
        <v>6274144.8499999996</v>
      </c>
      <c r="N19" s="221">
        <v>6274144.8499999996</v>
      </c>
      <c r="O19" s="221">
        <v>6274144.8499999996</v>
      </c>
      <c r="P19" s="550">
        <f>+SUM(C19:O19)/13</f>
        <v>6274144.8499999996</v>
      </c>
    </row>
    <row r="20" spans="1:16">
      <c r="A20" s="1452">
        <f>+A19+0.1</f>
        <v>4.1999999999999993</v>
      </c>
      <c r="B20" s="1394" t="s">
        <v>969</v>
      </c>
      <c r="C20" s="221">
        <v>0</v>
      </c>
      <c r="D20" s="221">
        <v>0</v>
      </c>
      <c r="E20" s="221">
        <v>0</v>
      </c>
      <c r="F20" s="221">
        <v>0</v>
      </c>
      <c r="G20" s="221">
        <v>0</v>
      </c>
      <c r="H20" s="221">
        <v>0</v>
      </c>
      <c r="I20" s="221">
        <v>0</v>
      </c>
      <c r="J20" s="221">
        <v>0</v>
      </c>
      <c r="K20" s="221">
        <v>0</v>
      </c>
      <c r="L20" s="221">
        <v>0</v>
      </c>
      <c r="M20" s="221">
        <v>0</v>
      </c>
      <c r="N20" s="221">
        <v>0</v>
      </c>
      <c r="O20" s="221">
        <v>0</v>
      </c>
      <c r="P20" s="550">
        <f>+SUM(C20:O20)/13</f>
        <v>0</v>
      </c>
    </row>
    <row r="21" spans="1:16">
      <c r="A21" s="1452" t="s">
        <v>960</v>
      </c>
      <c r="B21" s="1394" t="s">
        <v>969</v>
      </c>
      <c r="C21" s="221">
        <v>0</v>
      </c>
      <c r="D21" s="221">
        <v>0</v>
      </c>
      <c r="E21" s="221">
        <v>0</v>
      </c>
      <c r="F21" s="221">
        <v>0</v>
      </c>
      <c r="G21" s="221">
        <v>0</v>
      </c>
      <c r="H21" s="221">
        <v>0</v>
      </c>
      <c r="I21" s="221">
        <v>0</v>
      </c>
      <c r="J21" s="221">
        <v>0</v>
      </c>
      <c r="K21" s="221">
        <v>0</v>
      </c>
      <c r="L21" s="221">
        <v>0</v>
      </c>
      <c r="M21" s="221">
        <v>0</v>
      </c>
      <c r="N21" s="221">
        <v>0</v>
      </c>
      <c r="O21" s="221">
        <v>0</v>
      </c>
      <c r="P21" s="550">
        <f>+SUM(C21:O21)/13</f>
        <v>0</v>
      </c>
    </row>
    <row r="22" spans="1:16">
      <c r="A22" s="1452" t="s">
        <v>961</v>
      </c>
      <c r="B22" s="1394" t="s">
        <v>969</v>
      </c>
      <c r="C22" s="221">
        <v>0</v>
      </c>
      <c r="D22" s="221">
        <v>0</v>
      </c>
      <c r="E22" s="221">
        <v>0</v>
      </c>
      <c r="F22" s="221">
        <v>0</v>
      </c>
      <c r="G22" s="221">
        <v>0</v>
      </c>
      <c r="H22" s="221">
        <v>0</v>
      </c>
      <c r="I22" s="221">
        <v>0</v>
      </c>
      <c r="J22" s="221">
        <v>0</v>
      </c>
      <c r="K22" s="221">
        <v>0</v>
      </c>
      <c r="L22" s="221">
        <v>0</v>
      </c>
      <c r="M22" s="221">
        <v>0</v>
      </c>
      <c r="N22" s="221">
        <v>0</v>
      </c>
      <c r="O22" s="221">
        <v>0</v>
      </c>
      <c r="P22" s="591">
        <f>+SUM(C22:O22)/13</f>
        <v>0</v>
      </c>
    </row>
    <row r="23" spans="1:16" s="43" customFormat="1">
      <c r="A23" s="995">
        <f>+A18+1</f>
        <v>5</v>
      </c>
      <c r="B23" s="599" t="str">
        <f>+"Total - Transm Substation (Sum of Line "&amp;A18&amp;" Subparts)"</f>
        <v>Total - Transm Substation (Sum of Line 4 Subparts)</v>
      </c>
      <c r="C23" s="80">
        <f t="shared" ref="C23:O23" si="3">SUM(C19:C22)</f>
        <v>6274144.8499999996</v>
      </c>
      <c r="D23" s="80">
        <f t="shared" si="3"/>
        <v>6274144.8499999996</v>
      </c>
      <c r="E23" s="80">
        <f t="shared" si="3"/>
        <v>6274144.8499999996</v>
      </c>
      <c r="F23" s="80">
        <f t="shared" si="3"/>
        <v>6274144.8499999996</v>
      </c>
      <c r="G23" s="80">
        <f t="shared" si="3"/>
        <v>6274144.8499999996</v>
      </c>
      <c r="H23" s="80">
        <f t="shared" si="3"/>
        <v>6274144.8499999996</v>
      </c>
      <c r="I23" s="80">
        <f t="shared" si="3"/>
        <v>6274144.8499999996</v>
      </c>
      <c r="J23" s="80">
        <f t="shared" si="3"/>
        <v>6274144.8499999996</v>
      </c>
      <c r="K23" s="80">
        <f t="shared" si="3"/>
        <v>6274144.8499999996</v>
      </c>
      <c r="L23" s="80">
        <f t="shared" si="3"/>
        <v>6274144.8499999996</v>
      </c>
      <c r="M23" s="80">
        <f t="shared" si="3"/>
        <v>6274144.8499999996</v>
      </c>
      <c r="N23" s="80">
        <f t="shared" si="3"/>
        <v>6274144.8499999996</v>
      </c>
      <c r="O23" s="80">
        <f t="shared" si="3"/>
        <v>6274144.8499999996</v>
      </c>
      <c r="P23" s="80">
        <f>+SUM(C23:O23)/13</f>
        <v>6274144.8499999996</v>
      </c>
    </row>
    <row r="24" spans="1:16" s="43" customFormat="1">
      <c r="A24" s="995">
        <f>+A23+1</f>
        <v>6</v>
      </c>
      <c r="B24" s="599"/>
      <c r="C24" s="80"/>
      <c r="D24" s="80"/>
      <c r="E24" s="80"/>
      <c r="F24" s="80"/>
      <c r="G24" s="80"/>
      <c r="H24" s="80"/>
      <c r="I24" s="80"/>
      <c r="J24" s="80"/>
      <c r="K24" s="80"/>
      <c r="L24" s="80"/>
      <c r="M24" s="80"/>
      <c r="N24" s="80"/>
      <c r="O24" s="80"/>
      <c r="P24" s="80"/>
    </row>
    <row r="25" spans="1:16" ht="13.8" thickBot="1">
      <c r="A25" s="995">
        <f>+A24+1</f>
        <v>7</v>
      </c>
      <c r="B25" s="219" t="s">
        <v>544</v>
      </c>
      <c r="C25" s="733">
        <f t="shared" ref="C25:P25" si="4">+C16+C23</f>
        <v>24470451.309999995</v>
      </c>
      <c r="D25" s="733">
        <f t="shared" si="4"/>
        <v>24470451.309999995</v>
      </c>
      <c r="E25" s="733">
        <f t="shared" si="4"/>
        <v>24470451.309999995</v>
      </c>
      <c r="F25" s="733">
        <f t="shared" si="4"/>
        <v>24470451.309999995</v>
      </c>
      <c r="G25" s="733">
        <f t="shared" si="4"/>
        <v>24470451.309999995</v>
      </c>
      <c r="H25" s="733">
        <f t="shared" si="4"/>
        <v>24470451.309999995</v>
      </c>
      <c r="I25" s="733">
        <f t="shared" si="4"/>
        <v>24470451.309999995</v>
      </c>
      <c r="J25" s="733">
        <f t="shared" si="4"/>
        <v>24470451.309999995</v>
      </c>
      <c r="K25" s="733">
        <f t="shared" si="4"/>
        <v>24470451.309999995</v>
      </c>
      <c r="L25" s="733">
        <f t="shared" si="4"/>
        <v>24470451.309999995</v>
      </c>
      <c r="M25" s="733">
        <f t="shared" si="4"/>
        <v>24470451.309999995</v>
      </c>
      <c r="N25" s="733">
        <f t="shared" si="4"/>
        <v>24470451.309999995</v>
      </c>
      <c r="O25" s="733">
        <f t="shared" si="4"/>
        <v>24470451.309999995</v>
      </c>
      <c r="P25" s="733">
        <f t="shared" si="4"/>
        <v>24470451.310000002</v>
      </c>
    </row>
    <row r="26" spans="1:16" ht="13.8" thickTop="1">
      <c r="A26" s="995"/>
      <c r="B26" s="599" t="str">
        <f>+"Sum of Lines "&amp;A16&amp;" + "&amp;A23</f>
        <v>Sum of Lines 2 + 5</v>
      </c>
      <c r="C26" s="269"/>
      <c r="D26" s="269"/>
    </row>
    <row r="27" spans="1:16">
      <c r="A27" s="995"/>
      <c r="B27" s="599"/>
      <c r="C27" s="269"/>
      <c r="D27" s="269"/>
    </row>
    <row r="28" spans="1:16">
      <c r="A28" s="45" t="s">
        <v>316</v>
      </c>
    </row>
    <row r="29" spans="1:16">
      <c r="A29" s="813" t="s">
        <v>176</v>
      </c>
      <c r="B29" s="1925" t="str">
        <f>+"Reference Appendix A Note "&amp;'Appendix A'!A318</f>
        <v>Reference Appendix A Note M</v>
      </c>
      <c r="C29" s="1925"/>
      <c r="D29" s="1925"/>
      <c r="E29" s="1925"/>
      <c r="F29" s="1925"/>
      <c r="G29" s="1925"/>
      <c r="H29" s="1925"/>
      <c r="I29" s="1925"/>
      <c r="J29" s="1925"/>
      <c r="K29" s="1925"/>
      <c r="L29" s="1925"/>
      <c r="M29" s="1925"/>
      <c r="N29" s="1925"/>
      <c r="O29" s="1925"/>
      <c r="P29" s="1925"/>
    </row>
  </sheetData>
  <mergeCells count="4">
    <mergeCell ref="A3:P3"/>
    <mergeCell ref="B29:P29"/>
    <mergeCell ref="A1:P1"/>
    <mergeCell ref="A2:P2"/>
  </mergeCells>
  <pageMargins left="0.7" right="0.7" top="0.7" bottom="0.7" header="0.3" footer="0.5"/>
  <pageSetup scale="59" orientation="landscape" r:id="rId1"/>
  <headerFooter>
    <oddFooter>&amp;R&amp;A</oddFooter>
  </headerFooter>
  <ignoredErrors>
    <ignoredError sqref="A29"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89"/>
  <sheetViews>
    <sheetView zoomScaleNormal="100" zoomScaleSheetLayoutView="90" workbookViewId="0">
      <selection sqref="A1:B1"/>
    </sheetView>
  </sheetViews>
  <sheetFormatPr defaultColWidth="9.109375" defaultRowHeight="13.2"/>
  <cols>
    <col min="1" max="1" width="5.44140625" style="180" customWidth="1"/>
    <col min="2" max="2" width="51.44140625" style="179" customWidth="1"/>
    <col min="3" max="3" width="12.44140625" style="179" bestFit="1" customWidth="1"/>
    <col min="4" max="4" width="12.6640625" style="179" customWidth="1"/>
    <col min="5" max="5" width="15.33203125" style="179" bestFit="1" customWidth="1"/>
    <col min="6" max="6" width="11.88671875" style="179" customWidth="1"/>
    <col min="7" max="7" width="11.44140625" style="179" customWidth="1"/>
    <col min="8" max="10" width="10.44140625" style="179" bestFit="1" customWidth="1"/>
    <col min="11" max="11" width="11.44140625" style="179" bestFit="1" customWidth="1"/>
    <col min="12" max="12" width="7.88671875" style="179" bestFit="1" customWidth="1"/>
    <col min="13" max="13" width="10.44140625" style="179" bestFit="1" customWidth="1"/>
    <col min="14" max="14" width="9.109375" style="179"/>
    <col min="15" max="15" width="9.109375" style="44"/>
    <col min="16" max="16384" width="9.109375" style="179"/>
  </cols>
  <sheetData>
    <row r="1" spans="1:15">
      <c r="A1" s="1890" t="str">
        <f>+'MISO Cover'!C6</f>
        <v>Entergy Arkansas, Inc.</v>
      </c>
      <c r="B1" s="1890"/>
      <c r="C1" s="1890"/>
      <c r="D1" s="1890"/>
      <c r="E1" s="1890"/>
      <c r="F1" s="1890"/>
      <c r="G1" s="1890"/>
      <c r="H1" s="1890"/>
      <c r="I1" s="1890"/>
      <c r="O1" s="179"/>
    </row>
    <row r="2" spans="1:15">
      <c r="A2" s="1890" t="s">
        <v>700</v>
      </c>
      <c r="B2" s="1890"/>
      <c r="C2" s="1890"/>
      <c r="D2" s="1890"/>
      <c r="E2" s="1890"/>
      <c r="F2" s="1890"/>
      <c r="G2" s="1890"/>
      <c r="H2" s="1890"/>
      <c r="I2" s="1890"/>
      <c r="O2" s="179"/>
    </row>
    <row r="3" spans="1:15">
      <c r="A3" s="1930" t="str">
        <f>+'MISO Cover'!K4</f>
        <v>For  the 12 Months Ended 12/31/2016</v>
      </c>
      <c r="B3" s="1930"/>
      <c r="C3" s="1930"/>
      <c r="D3" s="1930"/>
      <c r="E3" s="1930"/>
      <c r="F3" s="1930"/>
      <c r="G3" s="1930"/>
      <c r="H3" s="1930"/>
      <c r="I3" s="1930"/>
      <c r="K3" s="850"/>
      <c r="O3" s="179"/>
    </row>
    <row r="4" spans="1:15">
      <c r="B4" s="851"/>
      <c r="C4" s="796"/>
      <c r="D4" s="796"/>
      <c r="E4" s="796"/>
      <c r="F4" s="796"/>
      <c r="G4" s="796"/>
      <c r="H4" s="796"/>
      <c r="I4" s="796"/>
      <c r="O4" s="179"/>
    </row>
    <row r="5" spans="1:15">
      <c r="A5" s="180" t="s">
        <v>290</v>
      </c>
      <c r="B5" s="573" t="s">
        <v>72</v>
      </c>
      <c r="C5" s="573" t="s">
        <v>1131</v>
      </c>
      <c r="D5" s="573" t="s">
        <v>60</v>
      </c>
      <c r="E5" s="573" t="s">
        <v>73</v>
      </c>
      <c r="F5" s="573" t="s">
        <v>71</v>
      </c>
      <c r="G5" s="573" t="s">
        <v>1132</v>
      </c>
      <c r="H5" s="573" t="s">
        <v>74</v>
      </c>
      <c r="I5" s="573" t="s">
        <v>174</v>
      </c>
      <c r="O5" s="179"/>
    </row>
    <row r="6" spans="1:15" s="44" customFormat="1">
      <c r="A6" s="754"/>
      <c r="B6" s="574"/>
      <c r="C6" s="1524"/>
      <c r="D6" s="575"/>
      <c r="E6" s="575"/>
      <c r="F6" s="575"/>
      <c r="G6" s="575"/>
      <c r="H6" s="575"/>
      <c r="I6" s="574"/>
    </row>
    <row r="7" spans="1:15">
      <c r="A7" s="219">
        <v>1</v>
      </c>
      <c r="B7" s="579" t="s">
        <v>487</v>
      </c>
      <c r="C7" s="580" t="s">
        <v>488</v>
      </c>
      <c r="D7" s="663" t="s">
        <v>141</v>
      </c>
      <c r="E7" s="666"/>
      <c r="F7" s="666" t="s">
        <v>178</v>
      </c>
      <c r="G7" s="667" t="s">
        <v>160</v>
      </c>
      <c r="H7" s="584" t="s">
        <v>25</v>
      </c>
      <c r="I7" s="580" t="s">
        <v>177</v>
      </c>
      <c r="O7" s="179"/>
    </row>
    <row r="8" spans="1:15">
      <c r="A8" s="219">
        <f>+A7+0.1</f>
        <v>1.1000000000000001</v>
      </c>
      <c r="B8" s="576" t="s">
        <v>485</v>
      </c>
      <c r="C8" s="214">
        <f>SUM(D8:G8)</f>
        <v>2473375.11</v>
      </c>
      <c r="D8" s="664">
        <v>44000.369999999995</v>
      </c>
      <c r="E8" s="539"/>
      <c r="F8" s="295">
        <v>121111.59</v>
      </c>
      <c r="G8" s="963">
        <f>+H8+I8</f>
        <v>2308263.15</v>
      </c>
      <c r="H8" s="582">
        <v>2262690.52</v>
      </c>
      <c r="I8" s="295">
        <v>45572.63</v>
      </c>
      <c r="O8" s="179"/>
    </row>
    <row r="9" spans="1:15" s="298" customFormat="1" ht="15">
      <c r="A9" s="219">
        <f>+A8+0.1</f>
        <v>1.2000000000000002</v>
      </c>
      <c r="B9" s="577" t="s">
        <v>486</v>
      </c>
      <c r="C9" s="243">
        <f>SUM(D9:G9)</f>
        <v>3915590.6599999964</v>
      </c>
      <c r="D9" s="665"/>
      <c r="E9" s="578"/>
      <c r="F9" s="578"/>
      <c r="G9" s="581">
        <f>+H9+I9</f>
        <v>3915590.6599999964</v>
      </c>
      <c r="H9" s="583">
        <v>3915590.6599999964</v>
      </c>
      <c r="I9" s="578"/>
    </row>
    <row r="10" spans="1:15" s="298" customFormat="1">
      <c r="A10" s="219">
        <f>+A7+1</f>
        <v>2</v>
      </c>
      <c r="B10" s="572" t="s">
        <v>592</v>
      </c>
      <c r="C10" s="1269">
        <f>SUM(C8:C9)</f>
        <v>6388965.7699999958</v>
      </c>
      <c r="D10" s="1270">
        <f>SUM(D8:D9)</f>
        <v>44000.369999999995</v>
      </c>
      <c r="E10" s="1269"/>
      <c r="F10" s="1269">
        <f>SUM(F8:F9)</f>
        <v>121111.59</v>
      </c>
      <c r="G10" s="1269">
        <f>+G8+G9</f>
        <v>6223853.8099999968</v>
      </c>
      <c r="H10" s="1271">
        <f>SUM(H8:H9)</f>
        <v>6178281.179999996</v>
      </c>
      <c r="I10" s="1269">
        <f>SUM(I8:I9)</f>
        <v>45572.63</v>
      </c>
    </row>
    <row r="11" spans="1:15" s="298" customFormat="1">
      <c r="A11" s="219">
        <f>1+A10</f>
        <v>3</v>
      </c>
      <c r="B11" s="572"/>
      <c r="C11" s="571"/>
      <c r="D11" s="571"/>
      <c r="E11" s="571"/>
      <c r="F11" s="571"/>
      <c r="G11" s="571"/>
      <c r="H11" s="571"/>
      <c r="I11" s="571"/>
    </row>
    <row r="12" spans="1:15" s="298" customFormat="1">
      <c r="A12" s="1257">
        <f>1+A11</f>
        <v>4</v>
      </c>
      <c r="B12" s="1272"/>
      <c r="C12" s="522"/>
      <c r="D12" s="1929" t="s">
        <v>835</v>
      </c>
      <c r="E12" s="1929"/>
      <c r="F12" s="1929"/>
      <c r="G12" s="1929"/>
    </row>
    <row r="13" spans="1:15" s="1214" customFormat="1">
      <c r="A13" s="1257">
        <f>1+A12</f>
        <v>5</v>
      </c>
      <c r="B13" s="1272"/>
      <c r="C13" s="522"/>
      <c r="D13" s="1927" t="s">
        <v>141</v>
      </c>
      <c r="E13" s="1927"/>
      <c r="F13" s="1273"/>
      <c r="G13" s="1273"/>
    </row>
    <row r="14" spans="1:15" s="846" customFormat="1">
      <c r="A14" s="1257">
        <f>1+A13</f>
        <v>6</v>
      </c>
      <c r="B14" s="1274" t="s">
        <v>489</v>
      </c>
      <c r="C14" s="626"/>
      <c r="D14" s="628" t="s">
        <v>578</v>
      </c>
      <c r="E14" s="1275" t="s">
        <v>801</v>
      </c>
      <c r="F14" s="1276" t="s">
        <v>149</v>
      </c>
      <c r="G14" s="629" t="s">
        <v>160</v>
      </c>
      <c r="H14" s="1215"/>
      <c r="I14" s="1215"/>
      <c r="J14" s="1214"/>
      <c r="K14" s="1214"/>
      <c r="L14" s="1214"/>
    </row>
    <row r="15" spans="1:15" ht="15.75" customHeight="1">
      <c r="A15" s="932">
        <f>+A14+0.01</f>
        <v>6.01</v>
      </c>
      <c r="B15" s="1590" t="s">
        <v>1397</v>
      </c>
      <c r="C15" s="295">
        <v>252163.02999999997</v>
      </c>
      <c r="D15" s="630"/>
      <c r="E15" s="539"/>
      <c r="F15" s="539"/>
      <c r="G15" s="631">
        <f t="shared" ref="G15:G23" si="0">+C15</f>
        <v>252163.02999999997</v>
      </c>
      <c r="H15" s="627"/>
      <c r="I15" s="627"/>
      <c r="K15" s="44"/>
      <c r="L15" s="44"/>
      <c r="M15" s="44"/>
      <c r="N15" s="44"/>
    </row>
    <row r="16" spans="1:15" s="846" customFormat="1" ht="15.75" customHeight="1">
      <c r="A16" s="932">
        <f t="shared" ref="A16:A60" si="1">+A15+0.01</f>
        <v>6.02</v>
      </c>
      <c r="B16" s="1591" t="s">
        <v>1426</v>
      </c>
      <c r="C16" s="295">
        <v>0</v>
      </c>
      <c r="D16" s="630"/>
      <c r="E16" s="539"/>
      <c r="F16" s="539"/>
      <c r="G16" s="631">
        <f t="shared" si="0"/>
        <v>0</v>
      </c>
    </row>
    <row r="17" spans="1:16" ht="15.75" customHeight="1">
      <c r="A17" s="932">
        <f t="shared" si="1"/>
        <v>6.0299999999999994</v>
      </c>
      <c r="B17" s="1590" t="s">
        <v>1398</v>
      </c>
      <c r="C17" s="295">
        <v>0</v>
      </c>
      <c r="D17" s="630"/>
      <c r="F17" s="539"/>
      <c r="G17" s="631">
        <f t="shared" si="0"/>
        <v>0</v>
      </c>
      <c r="J17" s="847"/>
      <c r="K17" s="547"/>
      <c r="L17" s="547"/>
      <c r="M17" s="547"/>
      <c r="N17" s="547"/>
      <c r="O17" s="547"/>
      <c r="P17" s="847"/>
    </row>
    <row r="18" spans="1:16" s="846" customFormat="1" ht="15.75" customHeight="1">
      <c r="A18" s="932">
        <f t="shared" si="1"/>
        <v>6.0399999999999991</v>
      </c>
      <c r="B18" s="1590" t="s">
        <v>1399</v>
      </c>
      <c r="C18" s="295">
        <v>2181593.04</v>
      </c>
      <c r="D18" s="630"/>
      <c r="E18" s="539"/>
      <c r="F18" s="539"/>
      <c r="G18" s="631">
        <f t="shared" si="0"/>
        <v>2181593.04</v>
      </c>
    </row>
    <row r="19" spans="1:16" s="846" customFormat="1" ht="15.75" customHeight="1">
      <c r="A19" s="932">
        <f t="shared" si="1"/>
        <v>6.0499999999999989</v>
      </c>
      <c r="B19" s="1590" t="s">
        <v>1400</v>
      </c>
      <c r="C19" s="295">
        <v>0</v>
      </c>
      <c r="D19" s="630"/>
      <c r="E19" s="539"/>
      <c r="F19" s="539"/>
      <c r="G19" s="631">
        <f>+C19</f>
        <v>0</v>
      </c>
    </row>
    <row r="20" spans="1:16" s="846" customFormat="1" ht="15.75" customHeight="1">
      <c r="A20" s="932">
        <f t="shared" si="1"/>
        <v>6.0599999999999987</v>
      </c>
      <c r="B20" s="1590" t="s">
        <v>1401</v>
      </c>
      <c r="C20" s="295">
        <v>43876.000000000015</v>
      </c>
      <c r="D20" s="630"/>
      <c r="E20" s="539"/>
      <c r="F20" s="539"/>
      <c r="G20" s="631">
        <f>+C20</f>
        <v>43876.000000000015</v>
      </c>
    </row>
    <row r="21" spans="1:16" s="846" customFormat="1" ht="15.75" customHeight="1">
      <c r="A21" s="932">
        <f t="shared" si="1"/>
        <v>6.0699999999999985</v>
      </c>
      <c r="B21" s="1590" t="s">
        <v>1402</v>
      </c>
      <c r="C21" s="295">
        <v>0</v>
      </c>
      <c r="D21" s="630"/>
      <c r="E21" s="539"/>
      <c r="F21" s="539"/>
      <c r="G21" s="631">
        <f t="shared" si="0"/>
        <v>0</v>
      </c>
    </row>
    <row r="22" spans="1:16" ht="15.75" customHeight="1">
      <c r="A22" s="932">
        <f t="shared" si="1"/>
        <v>6.0799999999999983</v>
      </c>
      <c r="B22" s="1591" t="s">
        <v>1427</v>
      </c>
      <c r="C22" s="295">
        <v>0</v>
      </c>
      <c r="D22" s="630"/>
      <c r="E22" s="539"/>
      <c r="F22" s="539"/>
      <c r="G22" s="631">
        <f t="shared" si="0"/>
        <v>0</v>
      </c>
      <c r="H22" s="181"/>
      <c r="I22" s="846"/>
      <c r="J22" s="846"/>
      <c r="K22" s="44"/>
      <c r="L22" s="44"/>
      <c r="M22" s="44"/>
      <c r="N22" s="44"/>
    </row>
    <row r="23" spans="1:16" ht="15.75" customHeight="1">
      <c r="A23" s="932">
        <f t="shared" si="1"/>
        <v>6.0899999999999981</v>
      </c>
      <c r="B23" s="1590" t="s">
        <v>1403</v>
      </c>
      <c r="C23" s="295">
        <v>0</v>
      </c>
      <c r="D23" s="630"/>
      <c r="E23" s="539"/>
      <c r="F23" s="539"/>
      <c r="G23" s="631">
        <f t="shared" si="0"/>
        <v>0</v>
      </c>
      <c r="H23" s="846"/>
      <c r="I23" s="846"/>
      <c r="J23" s="846"/>
      <c r="K23" s="44"/>
      <c r="L23" s="44"/>
      <c r="M23" s="44"/>
      <c r="N23" s="44"/>
    </row>
    <row r="24" spans="1:16" ht="15.75" customHeight="1">
      <c r="A24" s="932">
        <f t="shared" si="1"/>
        <v>6.0999999999999979</v>
      </c>
      <c r="B24" s="1590" t="s">
        <v>1404</v>
      </c>
      <c r="C24" s="295">
        <v>0</v>
      </c>
      <c r="D24" s="630"/>
      <c r="E24" s="539">
        <f>+C24</f>
        <v>0</v>
      </c>
      <c r="F24" s="539"/>
      <c r="G24" s="631"/>
      <c r="H24" s="848"/>
      <c r="K24" s="44"/>
      <c r="L24" s="44"/>
      <c r="M24" s="44"/>
      <c r="N24" s="44"/>
    </row>
    <row r="25" spans="1:16" ht="15.75" customHeight="1">
      <c r="A25" s="932">
        <f t="shared" si="1"/>
        <v>6.1099999999999977</v>
      </c>
      <c r="B25" s="1591" t="s">
        <v>1428</v>
      </c>
      <c r="C25" s="295">
        <v>0</v>
      </c>
      <c r="D25" s="1277">
        <f>+C25</f>
        <v>0</v>
      </c>
      <c r="E25" s="216"/>
      <c r="F25" s="216"/>
      <c r="G25" s="631"/>
      <c r="K25" s="44"/>
      <c r="L25" s="44"/>
      <c r="M25" s="44"/>
      <c r="N25" s="44"/>
    </row>
    <row r="26" spans="1:16" ht="15.75" customHeight="1">
      <c r="A26" s="932">
        <f t="shared" si="1"/>
        <v>6.1199999999999974</v>
      </c>
      <c r="B26" s="1590" t="s">
        <v>1405</v>
      </c>
      <c r="C26" s="295">
        <v>0</v>
      </c>
      <c r="D26" s="1277"/>
      <c r="E26" s="216">
        <f>+C26</f>
        <v>0</v>
      </c>
      <c r="F26" s="216"/>
      <c r="G26" s="631"/>
      <c r="K26" s="44"/>
      <c r="L26" s="44"/>
      <c r="M26" s="44"/>
      <c r="N26" s="44"/>
    </row>
    <row r="27" spans="1:16" s="846" customFormat="1" ht="15.75" customHeight="1">
      <c r="A27" s="932">
        <f t="shared" si="1"/>
        <v>6.1299999999999972</v>
      </c>
      <c r="B27" s="1591" t="s">
        <v>1429</v>
      </c>
      <c r="C27" s="295">
        <v>0</v>
      </c>
      <c r="D27" s="630"/>
      <c r="E27" s="539"/>
      <c r="F27" s="539"/>
      <c r="G27" s="631">
        <f>+C27</f>
        <v>0</v>
      </c>
      <c r="H27" s="179"/>
      <c r="I27" s="179"/>
      <c r="J27" s="179"/>
    </row>
    <row r="28" spans="1:16" ht="15.75" customHeight="1">
      <c r="A28" s="932">
        <f t="shared" si="1"/>
        <v>6.139999999999997</v>
      </c>
      <c r="B28" s="1590" t="s">
        <v>1406</v>
      </c>
      <c r="C28" s="295">
        <v>0</v>
      </c>
      <c r="D28" s="630"/>
      <c r="E28" s="539"/>
      <c r="F28" s="539"/>
      <c r="G28" s="631">
        <f>+C28</f>
        <v>0</v>
      </c>
      <c r="K28" s="44"/>
      <c r="L28" s="44"/>
      <c r="M28" s="44"/>
      <c r="N28" s="44"/>
    </row>
    <row r="29" spans="1:16" ht="15.75" customHeight="1">
      <c r="A29" s="932">
        <f t="shared" si="1"/>
        <v>6.1499999999999968</v>
      </c>
      <c r="B29" s="1590" t="s">
        <v>1407</v>
      </c>
      <c r="C29" s="295">
        <v>784209.53999999992</v>
      </c>
      <c r="D29" s="630"/>
      <c r="E29" s="539"/>
      <c r="F29" s="539"/>
      <c r="G29" s="631">
        <f>+C29</f>
        <v>784209.53999999992</v>
      </c>
      <c r="H29" s="846"/>
      <c r="I29" s="846"/>
      <c r="J29" s="846"/>
      <c r="K29" s="44"/>
      <c r="L29" s="44"/>
      <c r="M29" s="44"/>
      <c r="N29" s="44"/>
    </row>
    <row r="30" spans="1:16" ht="15.75" customHeight="1">
      <c r="A30" s="932">
        <f t="shared" si="1"/>
        <v>6.1599999999999966</v>
      </c>
      <c r="B30" s="1590" t="s">
        <v>1408</v>
      </c>
      <c r="C30" s="295">
        <v>0</v>
      </c>
      <c r="D30" s="630">
        <f>+C30</f>
        <v>0</v>
      </c>
      <c r="E30" s="539"/>
      <c r="F30" s="216"/>
      <c r="G30" s="1278"/>
      <c r="K30" s="44"/>
      <c r="L30" s="44"/>
      <c r="M30" s="44"/>
      <c r="N30" s="44"/>
    </row>
    <row r="31" spans="1:16" ht="15.75" customHeight="1">
      <c r="A31" s="932">
        <f t="shared" si="1"/>
        <v>6.1699999999999964</v>
      </c>
      <c r="B31" s="1590" t="s">
        <v>1409</v>
      </c>
      <c r="C31" s="295">
        <v>0</v>
      </c>
      <c r="D31" s="630">
        <f>+C31</f>
        <v>0</v>
      </c>
      <c r="E31" s="539"/>
      <c r="F31" s="216"/>
      <c r="G31" s="1279"/>
      <c r="K31" s="44"/>
      <c r="L31" s="44"/>
      <c r="M31" s="44"/>
      <c r="N31" s="44"/>
    </row>
    <row r="32" spans="1:16" ht="15.75" customHeight="1">
      <c r="A32" s="932">
        <f t="shared" si="1"/>
        <v>6.1799999999999962</v>
      </c>
      <c r="B32" s="1590" t="s">
        <v>1410</v>
      </c>
      <c r="C32" s="295">
        <v>0</v>
      </c>
      <c r="D32" s="1277"/>
      <c r="E32" s="216">
        <f>+C32</f>
        <v>0</v>
      </c>
      <c r="F32" s="216"/>
      <c r="G32" s="631"/>
      <c r="K32" s="44"/>
      <c r="L32" s="44"/>
      <c r="M32" s="44"/>
      <c r="N32" s="44"/>
    </row>
    <row r="33" spans="1:14" ht="15.75" customHeight="1">
      <c r="A33" s="932">
        <f t="shared" si="1"/>
        <v>6.1899999999999959</v>
      </c>
      <c r="B33" s="1590" t="s">
        <v>1411</v>
      </c>
      <c r="C33" s="295">
        <v>0</v>
      </c>
      <c r="D33" s="630"/>
      <c r="E33" s="539"/>
      <c r="F33" s="539"/>
      <c r="G33" s="631">
        <f>+C33</f>
        <v>0</v>
      </c>
      <c r="K33" s="44"/>
      <c r="L33" s="44"/>
      <c r="M33" s="44"/>
      <c r="N33" s="44"/>
    </row>
    <row r="34" spans="1:14" ht="15.75" customHeight="1">
      <c r="A34" s="932">
        <f t="shared" si="1"/>
        <v>6.1999999999999957</v>
      </c>
      <c r="B34" s="1590" t="s">
        <v>1412</v>
      </c>
      <c r="C34" s="295">
        <v>0</v>
      </c>
      <c r="D34" s="630"/>
      <c r="E34" s="539"/>
      <c r="F34" s="539"/>
      <c r="G34" s="631">
        <f>+C34</f>
        <v>0</v>
      </c>
      <c r="K34" s="44"/>
      <c r="L34" s="44"/>
      <c r="M34" s="44"/>
      <c r="N34" s="44"/>
    </row>
    <row r="35" spans="1:14" ht="15.75" customHeight="1">
      <c r="A35" s="932">
        <f t="shared" si="1"/>
        <v>6.2099999999999955</v>
      </c>
      <c r="B35" s="1590" t="s">
        <v>1413</v>
      </c>
      <c r="C35" s="295">
        <v>0</v>
      </c>
      <c r="D35" s="630"/>
      <c r="E35" s="539"/>
      <c r="F35" s="539"/>
      <c r="G35" s="631">
        <f>+C35</f>
        <v>0</v>
      </c>
      <c r="K35" s="44"/>
      <c r="L35" s="44"/>
      <c r="M35" s="44"/>
      <c r="N35" s="44"/>
    </row>
    <row r="36" spans="1:14" ht="15.75" customHeight="1">
      <c r="A36" s="932">
        <f t="shared" si="1"/>
        <v>6.2199999999999953</v>
      </c>
      <c r="B36" s="1591" t="s">
        <v>1430</v>
      </c>
      <c r="C36" s="295">
        <v>0</v>
      </c>
      <c r="D36" s="630"/>
      <c r="E36" s="539"/>
      <c r="F36" s="539">
        <f>+C36</f>
        <v>0</v>
      </c>
      <c r="G36" s="1278"/>
      <c r="K36" s="44"/>
      <c r="L36" s="44"/>
      <c r="M36" s="44"/>
      <c r="N36" s="44"/>
    </row>
    <row r="37" spans="1:14" ht="15.75" customHeight="1">
      <c r="A37" s="932">
        <f t="shared" si="1"/>
        <v>6.2299999999999951</v>
      </c>
      <c r="B37" s="1590" t="s">
        <v>1414</v>
      </c>
      <c r="C37" s="295">
        <v>0</v>
      </c>
      <c r="D37" s="630"/>
      <c r="E37" s="539"/>
      <c r="F37" s="539"/>
      <c r="G37" s="631">
        <f>+C37</f>
        <v>0</v>
      </c>
      <c r="K37" s="44"/>
      <c r="L37" s="44"/>
      <c r="M37" s="44"/>
      <c r="N37" s="44"/>
    </row>
    <row r="38" spans="1:14" ht="15.75" customHeight="1">
      <c r="A38" s="932">
        <f t="shared" si="1"/>
        <v>6.2399999999999949</v>
      </c>
      <c r="B38" s="1590" t="s">
        <v>1415</v>
      </c>
      <c r="C38" s="295">
        <v>547452.72</v>
      </c>
      <c r="D38" s="630">
        <f>+C38</f>
        <v>547452.72</v>
      </c>
      <c r="E38" s="539"/>
      <c r="F38" s="539"/>
      <c r="G38" s="1278"/>
      <c r="I38" s="849"/>
      <c r="K38" s="44"/>
      <c r="L38" s="44"/>
      <c r="M38" s="44"/>
      <c r="N38" s="44"/>
    </row>
    <row r="39" spans="1:14" ht="15.75" customHeight="1">
      <c r="A39" s="932">
        <f t="shared" si="1"/>
        <v>6.2499999999999947</v>
      </c>
      <c r="B39" s="1590" t="s">
        <v>1416</v>
      </c>
      <c r="C39" s="295">
        <v>9361163.7300000004</v>
      </c>
      <c r="D39" s="630"/>
      <c r="E39" s="539">
        <f>+C39</f>
        <v>9361163.7300000004</v>
      </c>
      <c r="F39" s="539"/>
      <c r="G39" s="1280"/>
      <c r="K39" s="44"/>
      <c r="L39" s="44"/>
      <c r="M39" s="44"/>
      <c r="N39" s="44"/>
    </row>
    <row r="40" spans="1:14" ht="15.75" customHeight="1">
      <c r="A40" s="932">
        <f t="shared" si="1"/>
        <v>6.2599999999999945</v>
      </c>
      <c r="B40" s="1590" t="s">
        <v>1417</v>
      </c>
      <c r="C40" s="295">
        <v>225547.76</v>
      </c>
      <c r="D40" s="630">
        <f>+C40</f>
        <v>225547.76</v>
      </c>
      <c r="E40" s="539"/>
      <c r="F40" s="539"/>
      <c r="G40" s="1278"/>
      <c r="K40" s="44"/>
      <c r="L40" s="44"/>
      <c r="M40" s="44"/>
      <c r="N40" s="44"/>
    </row>
    <row r="41" spans="1:14" ht="15.75" customHeight="1">
      <c r="A41" s="932">
        <f t="shared" si="1"/>
        <v>6.2699999999999942</v>
      </c>
      <c r="B41" s="1590" t="s">
        <v>1418</v>
      </c>
      <c r="C41" s="295">
        <v>28224721.579999998</v>
      </c>
      <c r="D41" s="630"/>
      <c r="E41" s="539">
        <f>+C41</f>
        <v>28224721.579999998</v>
      </c>
      <c r="F41" s="539"/>
      <c r="G41" s="631"/>
      <c r="H41" s="1933" t="s">
        <v>972</v>
      </c>
      <c r="I41" s="1934"/>
      <c r="K41" s="44"/>
      <c r="L41" s="44"/>
      <c r="M41" s="44"/>
      <c r="N41" s="44"/>
    </row>
    <row r="42" spans="1:14" ht="15.75" customHeight="1">
      <c r="A42" s="932">
        <f t="shared" si="1"/>
        <v>6.279999999999994</v>
      </c>
      <c r="B42" s="1590" t="s">
        <v>1419</v>
      </c>
      <c r="C42" s="295">
        <v>380268.31</v>
      </c>
      <c r="D42" s="630"/>
      <c r="E42" s="539"/>
      <c r="F42" s="539"/>
      <c r="G42" s="631">
        <f>+C42</f>
        <v>380268.31</v>
      </c>
      <c r="H42" s="1383" t="s">
        <v>970</v>
      </c>
      <c r="I42" s="1384" t="s">
        <v>971</v>
      </c>
      <c r="K42" s="44"/>
      <c r="L42" s="44"/>
      <c r="M42" s="44"/>
      <c r="N42" s="44"/>
    </row>
    <row r="43" spans="1:14" ht="15.75" customHeight="1">
      <c r="A43" s="932">
        <f t="shared" si="1"/>
        <v>6.2899999999999938</v>
      </c>
      <c r="B43" s="1590" t="s">
        <v>1420</v>
      </c>
      <c r="C43" s="295">
        <v>447073.70999999996</v>
      </c>
      <c r="D43" s="630"/>
      <c r="E43" s="539"/>
      <c r="F43" s="539"/>
      <c r="G43" s="631">
        <f>+C43</f>
        <v>447073.70999999996</v>
      </c>
      <c r="H43" s="1429">
        <v>530879.57999999996</v>
      </c>
      <c r="I43" s="1429">
        <v>-83805.87000000001</v>
      </c>
      <c r="K43" s="44"/>
      <c r="L43" s="44"/>
      <c r="M43" s="44"/>
      <c r="N43" s="44"/>
    </row>
    <row r="44" spans="1:14" ht="15.75" customHeight="1">
      <c r="A44" s="932">
        <f t="shared" si="1"/>
        <v>6.2999999999999936</v>
      </c>
      <c r="B44" s="1590" t="s">
        <v>1421</v>
      </c>
      <c r="C44" s="295">
        <v>148025.05000000002</v>
      </c>
      <c r="D44" s="630"/>
      <c r="E44" s="539"/>
      <c r="F44" s="539"/>
      <c r="G44" s="631">
        <f>+C44</f>
        <v>148025.05000000002</v>
      </c>
      <c r="K44" s="44"/>
      <c r="L44" s="44"/>
      <c r="M44" s="44"/>
      <c r="N44" s="44"/>
    </row>
    <row r="45" spans="1:14" ht="15.75" customHeight="1">
      <c r="A45" s="932">
        <f t="shared" si="1"/>
        <v>6.3099999999999934</v>
      </c>
      <c r="B45" s="1590" t="s">
        <v>1422</v>
      </c>
      <c r="C45" s="295">
        <v>71442467.729999989</v>
      </c>
      <c r="D45" s="630"/>
      <c r="E45" s="539">
        <f>+C45</f>
        <v>71442467.729999989</v>
      </c>
      <c r="F45" s="539"/>
      <c r="G45" s="631"/>
      <c r="K45" s="44"/>
      <c r="L45" s="44"/>
      <c r="M45" s="44"/>
      <c r="N45" s="44"/>
    </row>
    <row r="46" spans="1:14" ht="15.75" customHeight="1">
      <c r="A46" s="932">
        <f t="shared" si="1"/>
        <v>6.3199999999999932</v>
      </c>
      <c r="B46" s="1590" t="s">
        <v>1423</v>
      </c>
      <c r="C46" s="295">
        <v>0</v>
      </c>
      <c r="D46" s="630"/>
      <c r="E46" s="539"/>
      <c r="F46" s="539"/>
      <c r="G46" s="631">
        <f>+C46</f>
        <v>0</v>
      </c>
      <c r="K46" s="44"/>
      <c r="L46" s="44"/>
      <c r="M46" s="44"/>
      <c r="N46" s="44"/>
    </row>
    <row r="47" spans="1:14" ht="15.75" customHeight="1">
      <c r="A47" s="932">
        <f t="shared" si="1"/>
        <v>6.329999999999993</v>
      </c>
      <c r="B47" s="1590" t="s">
        <v>1424</v>
      </c>
      <c r="C47" s="295">
        <v>26610218.199999999</v>
      </c>
      <c r="D47" s="630"/>
      <c r="E47" s="539"/>
      <c r="F47" s="539"/>
      <c r="G47" s="631">
        <f>+C47</f>
        <v>26610218.199999999</v>
      </c>
      <c r="K47" s="44"/>
      <c r="L47" s="44"/>
      <c r="M47" s="44"/>
      <c r="N47" s="44"/>
    </row>
    <row r="48" spans="1:14" ht="15.75" customHeight="1">
      <c r="A48" s="932">
        <f t="shared" si="1"/>
        <v>6.3399999999999928</v>
      </c>
      <c r="B48" s="1591" t="s">
        <v>1431</v>
      </c>
      <c r="C48" s="295">
        <v>0</v>
      </c>
      <c r="D48" s="630"/>
      <c r="E48" s="539"/>
      <c r="F48" s="539"/>
      <c r="G48" s="631">
        <f>+C48</f>
        <v>0</v>
      </c>
      <c r="K48" s="44"/>
      <c r="L48" s="44"/>
      <c r="M48" s="44"/>
      <c r="N48" s="44"/>
    </row>
    <row r="49" spans="1:15" ht="15.75" customHeight="1">
      <c r="A49" s="932">
        <f t="shared" si="1"/>
        <v>6.3499999999999925</v>
      </c>
      <c r="B49" s="1591" t="s">
        <v>1432</v>
      </c>
      <c r="C49" s="295">
        <v>0</v>
      </c>
      <c r="D49" s="630">
        <f>+C49</f>
        <v>0</v>
      </c>
      <c r="E49" s="539"/>
      <c r="F49" s="539"/>
      <c r="G49" s="1278"/>
      <c r="I49" s="852"/>
      <c r="K49" s="44"/>
      <c r="L49" s="44"/>
      <c r="M49" s="44"/>
      <c r="N49" s="44"/>
    </row>
    <row r="50" spans="1:15" ht="15.75" customHeight="1">
      <c r="A50" s="932">
        <f t="shared" si="1"/>
        <v>6.3599999999999923</v>
      </c>
      <c r="B50" s="1590" t="s">
        <v>1425</v>
      </c>
      <c r="C50" s="295">
        <v>245000</v>
      </c>
      <c r="D50" s="630"/>
      <c r="E50" s="539"/>
      <c r="F50" s="539"/>
      <c r="G50" s="631">
        <f>+C50</f>
        <v>245000</v>
      </c>
      <c r="K50" s="44"/>
      <c r="L50" s="44"/>
      <c r="M50" s="44"/>
      <c r="N50" s="44"/>
    </row>
    <row r="51" spans="1:15" ht="15.75" customHeight="1">
      <c r="A51" s="932">
        <f t="shared" si="1"/>
        <v>6.3699999999999921</v>
      </c>
      <c r="B51" s="1592" t="s">
        <v>1433</v>
      </c>
      <c r="C51" s="295">
        <v>0</v>
      </c>
      <c r="D51" s="630"/>
      <c r="E51" s="539"/>
      <c r="F51" s="539"/>
      <c r="G51" s="631">
        <f>+C51</f>
        <v>0</v>
      </c>
      <c r="K51" s="44"/>
      <c r="L51" s="44"/>
      <c r="M51" s="44"/>
      <c r="N51" s="44"/>
    </row>
    <row r="52" spans="1:15" ht="15.75" customHeight="1">
      <c r="A52" s="932">
        <f>ROUND(+A51+0.01,2)</f>
        <v>6.38</v>
      </c>
      <c r="B52" s="1325" t="s">
        <v>785</v>
      </c>
      <c r="C52" s="295">
        <v>0</v>
      </c>
      <c r="D52" s="630">
        <f>+C52</f>
        <v>0</v>
      </c>
      <c r="E52" s="539"/>
      <c r="F52" s="539"/>
      <c r="G52" s="631"/>
      <c r="K52" s="44"/>
      <c r="L52" s="44"/>
      <c r="M52" s="44"/>
      <c r="N52" s="44"/>
    </row>
    <row r="53" spans="1:15" ht="15.75" customHeight="1">
      <c r="A53" s="932">
        <f t="shared" si="1"/>
        <v>6.39</v>
      </c>
      <c r="B53" s="1325" t="s">
        <v>786</v>
      </c>
      <c r="C53" s="295">
        <v>0</v>
      </c>
      <c r="D53" s="630">
        <f>+C53</f>
        <v>0</v>
      </c>
      <c r="E53" s="539"/>
      <c r="F53" s="539"/>
      <c r="G53" s="631"/>
      <c r="J53" s="846"/>
      <c r="K53" s="43"/>
      <c r="L53" s="43"/>
      <c r="M53" s="43"/>
      <c r="N53" s="43"/>
      <c r="O53" s="43"/>
    </row>
    <row r="54" spans="1:15" ht="15.75" customHeight="1">
      <c r="A54" s="1377">
        <f t="shared" si="1"/>
        <v>6.3999999999999995</v>
      </c>
      <c r="B54" s="1421" t="s">
        <v>1700</v>
      </c>
      <c r="C54" s="295">
        <v>84.429999999999978</v>
      </c>
      <c r="D54" s="582"/>
      <c r="E54" s="1419"/>
      <c r="F54" s="1419"/>
      <c r="G54" s="1422">
        <f>+C54</f>
        <v>84.429999999999978</v>
      </c>
      <c r="H54" s="1935" t="s">
        <v>972</v>
      </c>
      <c r="I54" s="1936"/>
      <c r="J54" s="846" t="s">
        <v>1793</v>
      </c>
      <c r="K54" s="43"/>
      <c r="L54" s="43"/>
      <c r="M54" s="43"/>
      <c r="N54" s="43"/>
      <c r="O54" s="43"/>
    </row>
    <row r="55" spans="1:15" ht="15.75" customHeight="1">
      <c r="A55" s="1377">
        <f t="shared" si="1"/>
        <v>6.4099999999999993</v>
      </c>
      <c r="B55" s="1421" t="s">
        <v>1701</v>
      </c>
      <c r="C55" s="295">
        <v>798966.65999999968</v>
      </c>
      <c r="D55" s="582"/>
      <c r="E55" s="1419"/>
      <c r="F55" s="1419"/>
      <c r="G55" s="1422">
        <f>+C55</f>
        <v>798966.65999999968</v>
      </c>
      <c r="H55" s="1755" t="s">
        <v>970</v>
      </c>
      <c r="I55" s="1756" t="s">
        <v>971</v>
      </c>
      <c r="J55" s="846" t="s">
        <v>1788</v>
      </c>
      <c r="K55" s="43"/>
      <c r="L55" s="43"/>
      <c r="M55" s="43"/>
      <c r="N55" s="43"/>
      <c r="O55" s="43"/>
    </row>
    <row r="56" spans="1:15" ht="15.75" customHeight="1">
      <c r="A56" s="1377">
        <f t="shared" si="1"/>
        <v>6.419999999999999</v>
      </c>
      <c r="B56" s="1421" t="s">
        <v>1702</v>
      </c>
      <c r="C56" s="295">
        <v>952865.10999999987</v>
      </c>
      <c r="D56" s="582"/>
      <c r="E56" s="1419"/>
      <c r="F56" s="1419"/>
      <c r="G56" s="1422">
        <f>+C56</f>
        <v>952865.10999999987</v>
      </c>
      <c r="H56" s="1429">
        <v>1143110.54</v>
      </c>
      <c r="I56" s="1429">
        <v>-190245.43</v>
      </c>
      <c r="J56" s="846" t="s">
        <v>1787</v>
      </c>
      <c r="K56" s="43"/>
      <c r="L56" s="43"/>
      <c r="M56" s="43"/>
      <c r="N56" s="43"/>
      <c r="O56" s="43"/>
    </row>
    <row r="57" spans="1:15" ht="15.75" customHeight="1">
      <c r="A57" s="1377">
        <f t="shared" si="1"/>
        <v>6.4299999999999988</v>
      </c>
      <c r="B57" s="1778" t="s">
        <v>1815</v>
      </c>
      <c r="C57" s="295">
        <v>0</v>
      </c>
      <c r="D57" s="582">
        <f>-$C38/($C$38+$C$39)*G57</f>
        <v>-40711.105919835987</v>
      </c>
      <c r="E57" s="1419">
        <f>-$C39/($C$38+$C$39)*G57</f>
        <v>-696139.25408016401</v>
      </c>
      <c r="F57" s="1419"/>
      <c r="G57" s="1422">
        <f>+'WP17 Rev Support'!C14</f>
        <v>736850.3600000001</v>
      </c>
      <c r="H57" s="1614"/>
      <c r="J57" s="846" t="s">
        <v>1793</v>
      </c>
      <c r="K57" s="43"/>
      <c r="L57" s="43"/>
      <c r="M57" s="43"/>
      <c r="N57" s="43"/>
      <c r="O57" s="43"/>
    </row>
    <row r="58" spans="1:15" ht="15.75" customHeight="1">
      <c r="A58" s="1377">
        <f t="shared" si="1"/>
        <v>6.4399999999999986</v>
      </c>
      <c r="B58" s="1778" t="s">
        <v>1816</v>
      </c>
      <c r="C58" s="295">
        <v>0</v>
      </c>
      <c r="D58" s="582">
        <f>-G58</f>
        <v>-39008.660000000003</v>
      </c>
      <c r="E58" s="1419"/>
      <c r="F58" s="1419"/>
      <c r="G58" s="1422">
        <f>+'WP17 Rev Support'!C24</f>
        <v>39008.660000000003</v>
      </c>
      <c r="H58" s="1614"/>
      <c r="J58" s="846" t="s">
        <v>1793</v>
      </c>
      <c r="K58" s="43"/>
      <c r="L58" s="43"/>
      <c r="M58" s="43"/>
      <c r="N58" s="43"/>
      <c r="O58" s="43"/>
    </row>
    <row r="59" spans="1:15" ht="15.75" customHeight="1">
      <c r="A59" s="1377">
        <f t="shared" si="1"/>
        <v>6.4499999999999984</v>
      </c>
      <c r="B59" s="1778" t="s">
        <v>1817</v>
      </c>
      <c r="C59" s="295">
        <v>0</v>
      </c>
      <c r="D59" s="582"/>
      <c r="E59" s="1419">
        <f>-G59</f>
        <v>-14701276.806312863</v>
      </c>
      <c r="F59" s="1419"/>
      <c r="G59" s="1422">
        <f>+'WP17 Rev Support'!C36</f>
        <v>14701276.806312863</v>
      </c>
      <c r="H59" s="1614"/>
      <c r="J59" s="846" t="s">
        <v>1793</v>
      </c>
      <c r="K59" s="43"/>
      <c r="L59" s="43"/>
      <c r="M59" s="43"/>
      <c r="N59" s="43"/>
      <c r="O59" s="43"/>
    </row>
    <row r="60" spans="1:15" ht="15.75" customHeight="1">
      <c r="A60" s="1377">
        <f t="shared" si="1"/>
        <v>6.4599999999999982</v>
      </c>
      <c r="B60" s="1421" t="s">
        <v>969</v>
      </c>
      <c r="C60" s="1419">
        <v>0</v>
      </c>
      <c r="D60" s="582"/>
      <c r="E60" s="1419"/>
      <c r="F60" s="1419"/>
      <c r="G60" s="1422"/>
      <c r="J60" s="846"/>
      <c r="K60" s="43"/>
      <c r="L60" s="43"/>
      <c r="M60" s="43"/>
      <c r="N60" s="43"/>
      <c r="O60" s="43"/>
    </row>
    <row r="61" spans="1:15" ht="15.75" customHeight="1">
      <c r="A61" s="1377" t="s">
        <v>960</v>
      </c>
      <c r="B61" s="1421" t="s">
        <v>969</v>
      </c>
      <c r="C61" s="1419">
        <v>0</v>
      </c>
      <c r="D61" s="582"/>
      <c r="E61" s="1419"/>
      <c r="F61" s="1419"/>
      <c r="G61" s="1422"/>
      <c r="K61" s="44"/>
      <c r="L61" s="44"/>
      <c r="M61" s="44"/>
      <c r="N61" s="44"/>
    </row>
    <row r="62" spans="1:15" ht="15.75" customHeight="1">
      <c r="A62" s="1377" t="s">
        <v>965</v>
      </c>
      <c r="B62" s="1423" t="s">
        <v>969</v>
      </c>
      <c r="C62" s="1420">
        <v>0</v>
      </c>
      <c r="D62" s="583"/>
      <c r="E62" s="1420"/>
      <c r="F62" s="1420"/>
      <c r="G62" s="1424"/>
      <c r="K62" s="44"/>
      <c r="L62" s="44"/>
      <c r="M62" s="44"/>
      <c r="N62" s="44"/>
    </row>
    <row r="63" spans="1:15" s="846" customFormat="1" ht="15.75" customHeight="1">
      <c r="A63" s="1093">
        <f>+A14+1</f>
        <v>7</v>
      </c>
      <c r="B63" s="1272" t="str">
        <f>+"Total Acct 456  (Sum Ln "&amp;A14&amp;" Subparts)  (3)"</f>
        <v>Total Acct 456  (Sum Ln 6 Subparts)  (3)</v>
      </c>
      <c r="C63" s="1281">
        <f>SUM(C15:C62)</f>
        <v>142645696.59999999</v>
      </c>
      <c r="D63" s="1281">
        <f>SUM(D15:D62)</f>
        <v>693280.71408016398</v>
      </c>
      <c r="E63" s="1281">
        <f>SUM(E15:E62)</f>
        <v>93630936.979606971</v>
      </c>
      <c r="F63" s="1281">
        <f>SUM(F15:F62)</f>
        <v>0</v>
      </c>
      <c r="G63" s="1281">
        <f>SUM(G15:G62)</f>
        <v>48321478.906312853</v>
      </c>
      <c r="I63" s="522"/>
      <c r="J63" s="522"/>
      <c r="K63" s="269"/>
      <c r="L63" s="80"/>
      <c r="M63" s="80"/>
      <c r="N63" s="43"/>
      <c r="O63" s="43"/>
    </row>
    <row r="64" spans="1:15" s="846" customFormat="1" ht="15.75" customHeight="1" thickBot="1">
      <c r="A64" s="1093">
        <f>+A63+1</f>
        <v>8</v>
      </c>
      <c r="B64" s="1094" t="str">
        <f>+"Total (Sum Ln "&amp;A10&amp;" + Ln"&amp;A63&amp;")"</f>
        <v>Total (Sum Ln 2 + Ln7)</v>
      </c>
      <c r="C64" s="1282">
        <f>+C10+C63</f>
        <v>149034662.37</v>
      </c>
      <c r="D64" s="1282">
        <f>+D10+D63</f>
        <v>737281.08408016397</v>
      </c>
      <c r="E64" s="1282">
        <f>+E10+E63</f>
        <v>93630936.979606971</v>
      </c>
      <c r="F64" s="1282">
        <f>+F10+F63</f>
        <v>121111.59</v>
      </c>
      <c r="G64" s="1282">
        <f>+G10+G63</f>
        <v>54545332.716312848</v>
      </c>
      <c r="I64" s="522"/>
      <c r="J64" s="522"/>
      <c r="K64" s="269"/>
      <c r="L64" s="80"/>
      <c r="M64" s="80"/>
      <c r="N64" s="43"/>
      <c r="O64" s="43"/>
    </row>
    <row r="65" spans="1:15" s="846" customFormat="1" ht="15.75" customHeight="1" thickTop="1">
      <c r="A65" s="1094"/>
      <c r="B65" s="931"/>
      <c r="C65" s="931"/>
      <c r="D65" s="931"/>
      <c r="E65" s="931"/>
      <c r="F65" s="931"/>
      <c r="G65" s="931"/>
      <c r="K65" s="44"/>
      <c r="L65" s="43"/>
      <c r="M65" s="43"/>
      <c r="N65" s="43"/>
      <c r="O65" s="43"/>
    </row>
    <row r="66" spans="1:15" s="846" customFormat="1" ht="15.75" customHeight="1">
      <c r="A66" s="1094" t="s">
        <v>316</v>
      </c>
      <c r="C66" s="1214"/>
      <c r="D66" s="1214"/>
      <c r="E66" s="1214"/>
      <c r="F66" s="1214"/>
      <c r="G66" s="1214"/>
      <c r="K66" s="44"/>
      <c r="L66" s="43"/>
      <c r="M66" s="43"/>
      <c r="N66" s="43"/>
      <c r="O66" s="43"/>
    </row>
    <row r="67" spans="1:15" s="846" customFormat="1" ht="15.75" customHeight="1">
      <c r="A67" s="1216" t="s">
        <v>176</v>
      </c>
      <c r="B67" s="1928" t="s">
        <v>874</v>
      </c>
      <c r="C67" s="1928"/>
      <c r="D67" s="1928"/>
      <c r="E67" s="1928"/>
      <c r="F67" s="1928"/>
      <c r="G67" s="1928"/>
      <c r="H67" s="1928"/>
      <c r="I67" s="1928"/>
      <c r="K67" s="44"/>
      <c r="O67" s="43"/>
    </row>
    <row r="68" spans="1:15" s="846" customFormat="1">
      <c r="A68" s="1217" t="s">
        <v>338</v>
      </c>
      <c r="B68" s="1931" t="s">
        <v>1128</v>
      </c>
      <c r="C68" s="1931"/>
      <c r="D68" s="1931"/>
      <c r="E68" s="1931"/>
      <c r="F68" s="1931"/>
      <c r="G68" s="1931"/>
      <c r="K68" s="44"/>
      <c r="O68" s="43"/>
    </row>
    <row r="69" spans="1:15" s="846" customFormat="1">
      <c r="A69" s="1217" t="s">
        <v>339</v>
      </c>
      <c r="B69" s="1095" t="s">
        <v>873</v>
      </c>
      <c r="K69" s="44"/>
      <c r="O69" s="43"/>
    </row>
    <row r="70" spans="1:15" s="846" customFormat="1" ht="26.4" customHeight="1">
      <c r="A70" s="1217" t="s">
        <v>340</v>
      </c>
      <c r="B70" s="1932" t="str">
        <f>+"Revenues from Schedules associated with Attachment GG and MM should appear in the Rev. Credits category above because they are credited in Appendix A - Revenue Requirement Lines "&amp;'Appendix A'!A284&amp;" &amp; "&amp;'Appendix A'!A285&amp;"."</f>
        <v>Revenues from Schedules associated with Attachment GG and MM should appear in the Rev. Credits category above because they are credited in Appendix A - Revenue Requirement Lines 189 &amp; 190.</v>
      </c>
      <c r="C70" s="1932"/>
      <c r="D70" s="1932"/>
      <c r="E70" s="1932"/>
      <c r="F70" s="1932"/>
      <c r="G70" s="1932"/>
      <c r="H70" s="1932"/>
      <c r="K70" s="44"/>
      <c r="O70" s="43"/>
    </row>
    <row r="71" spans="1:15" s="846" customFormat="1" ht="67.95" customHeight="1">
      <c r="A71" s="1217" t="s">
        <v>341</v>
      </c>
      <c r="B71" s="1884" t="s">
        <v>944</v>
      </c>
      <c r="C71" s="1884"/>
      <c r="D71" s="1884"/>
      <c r="E71" s="1884"/>
      <c r="F71" s="1884"/>
      <c r="G71" s="1884"/>
      <c r="H71" s="1884"/>
      <c r="K71" s="44"/>
      <c r="O71" s="43"/>
    </row>
    <row r="72" spans="1:15">
      <c r="A72" s="1566" t="s">
        <v>745</v>
      </c>
      <c r="B72" s="179" t="s">
        <v>1133</v>
      </c>
      <c r="K72" s="44"/>
    </row>
    <row r="73" spans="1:15">
      <c r="A73" s="755"/>
    </row>
    <row r="74" spans="1:15">
      <c r="A74" s="755"/>
    </row>
    <row r="75" spans="1:15">
      <c r="A75" s="755"/>
    </row>
    <row r="76" spans="1:15">
      <c r="A76" s="755"/>
    </row>
    <row r="77" spans="1:15">
      <c r="A77" s="755"/>
    </row>
    <row r="89" ht="14.4" customHeight="1"/>
  </sheetData>
  <sortState ref="B29:E76">
    <sortCondition ref="B29:B76"/>
  </sortState>
  <mergeCells count="11">
    <mergeCell ref="A1:I1"/>
    <mergeCell ref="A2:I2"/>
    <mergeCell ref="D13:E13"/>
    <mergeCell ref="B71:H71"/>
    <mergeCell ref="B67:I67"/>
    <mergeCell ref="D12:G12"/>
    <mergeCell ref="A3:I3"/>
    <mergeCell ref="B68:G68"/>
    <mergeCell ref="B70:H70"/>
    <mergeCell ref="H41:I41"/>
    <mergeCell ref="H54:I54"/>
  </mergeCells>
  <phoneticPr fontId="104" type="noConversion"/>
  <printOptions horizontalCentered="1"/>
  <pageMargins left="0.7" right="0.7" top="0.7" bottom="0.7" header="0.3" footer="0.5"/>
  <pageSetup scale="63" orientation="portrait" r:id="rId1"/>
  <headerFooter>
    <oddFooter>&amp;R&amp;A</oddFooter>
  </headerFooter>
  <ignoredErrors>
    <ignoredError sqref="A52:A66 G10" formula="1"/>
    <ignoredError sqref="A67:A72" numberStoredAsText="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sqref="A1:B1"/>
    </sheetView>
  </sheetViews>
  <sheetFormatPr defaultRowHeight="13.2"/>
  <cols>
    <col min="1" max="1" width="5.33203125" customWidth="1"/>
    <col min="2" max="2" width="4.5546875" customWidth="1"/>
    <col min="3" max="3" width="12.109375" style="1333" customWidth="1"/>
    <col min="4" max="4" width="53.88671875" bestFit="1" customWidth="1"/>
    <col min="5" max="5" width="13.5546875" bestFit="1" customWidth="1"/>
  </cols>
  <sheetData>
    <row r="1" spans="1:10" s="179" customFormat="1">
      <c r="A1" s="1890" t="str">
        <f>+'MISO Cover'!C6</f>
        <v>Entergy Arkansas, Inc.</v>
      </c>
      <c r="B1" s="1890"/>
      <c r="C1" s="1890"/>
      <c r="D1" s="1890"/>
      <c r="E1" s="1890"/>
      <c r="F1" s="1623"/>
      <c r="G1" s="1623"/>
      <c r="H1" s="1623"/>
    </row>
    <row r="2" spans="1:10" s="179" customFormat="1">
      <c r="A2" s="1890" t="s">
        <v>1589</v>
      </c>
      <c r="B2" s="1890"/>
      <c r="C2" s="1890"/>
      <c r="D2" s="1890"/>
      <c r="E2" s="1890"/>
      <c r="F2" s="1623"/>
      <c r="G2" s="1623"/>
      <c r="H2" s="1623"/>
    </row>
    <row r="3" spans="1:10" s="179" customFormat="1">
      <c r="A3" s="1930" t="str">
        <f>+'MISO Cover'!K4</f>
        <v>For  the 12 Months Ended 12/31/2016</v>
      </c>
      <c r="B3" s="1930"/>
      <c r="C3" s="1930"/>
      <c r="D3" s="1930"/>
      <c r="E3" s="1930"/>
      <c r="F3" s="1624"/>
      <c r="G3" s="1624"/>
      <c r="H3" s="1624"/>
      <c r="J3" s="850"/>
    </row>
    <row r="5" spans="1:10">
      <c r="A5" t="s">
        <v>1593</v>
      </c>
      <c r="C5" s="1625" t="s">
        <v>1594</v>
      </c>
      <c r="D5" t="s">
        <v>1590</v>
      </c>
      <c r="E5" t="s">
        <v>1591</v>
      </c>
    </row>
    <row r="6" spans="1:10">
      <c r="A6" s="1626">
        <v>1</v>
      </c>
      <c r="B6" t="s">
        <v>1566</v>
      </c>
    </row>
    <row r="7" spans="1:10">
      <c r="A7" s="1626">
        <f>+A6+1</f>
        <v>2</v>
      </c>
      <c r="C7" s="1333">
        <v>380673.58</v>
      </c>
      <c r="D7" t="s">
        <v>1569</v>
      </c>
      <c r="E7" t="s">
        <v>1570</v>
      </c>
    </row>
    <row r="8" spans="1:10">
      <c r="A8" s="1626">
        <f t="shared" ref="A8:A34" si="0">+A7+1</f>
        <v>3</v>
      </c>
      <c r="C8" s="1333">
        <v>338303.45999999996</v>
      </c>
      <c r="D8" t="s">
        <v>1569</v>
      </c>
      <c r="E8" t="s">
        <v>1571</v>
      </c>
    </row>
    <row r="9" spans="1:10">
      <c r="A9" s="1626">
        <f t="shared" si="0"/>
        <v>4</v>
      </c>
      <c r="C9" s="1333">
        <v>11975.25</v>
      </c>
      <c r="D9" t="s">
        <v>1572</v>
      </c>
      <c r="E9" t="s">
        <v>1570</v>
      </c>
    </row>
    <row r="10" spans="1:10">
      <c r="A10" s="1626">
        <f t="shared" si="0"/>
        <v>5</v>
      </c>
      <c r="C10" s="1333">
        <v>10642.380000000001</v>
      </c>
      <c r="D10" t="s">
        <v>1572</v>
      </c>
      <c r="E10" t="s">
        <v>1571</v>
      </c>
    </row>
    <row r="11" spans="1:10">
      <c r="A11" s="1626">
        <f t="shared" si="0"/>
        <v>6</v>
      </c>
      <c r="C11" s="1333">
        <v>-4428.58</v>
      </c>
      <c r="D11" t="s">
        <v>1569</v>
      </c>
      <c r="E11" t="s">
        <v>1571</v>
      </c>
    </row>
    <row r="12" spans="1:10">
      <c r="A12" s="1626">
        <f>+A11+1</f>
        <v>7</v>
      </c>
      <c r="C12" s="1739">
        <v>-315.73</v>
      </c>
      <c r="D12" s="1738" t="s">
        <v>1572</v>
      </c>
      <c r="E12" t="s">
        <v>1571</v>
      </c>
    </row>
    <row r="13" spans="1:10">
      <c r="A13" s="1626"/>
      <c r="B13" s="1613"/>
      <c r="C13" s="1615">
        <v>16964.059999999998</v>
      </c>
      <c r="D13" s="1613" t="s">
        <v>1698</v>
      </c>
      <c r="E13" t="s">
        <v>1699</v>
      </c>
    </row>
    <row r="14" spans="1:10">
      <c r="A14" s="1626">
        <f>+A12+1</f>
        <v>8</v>
      </c>
      <c r="B14" t="s">
        <v>118</v>
      </c>
      <c r="C14" s="1333">
        <f>SUM(C7:C12)</f>
        <v>736850.3600000001</v>
      </c>
      <c r="D14" t="s">
        <v>1595</v>
      </c>
    </row>
    <row r="15" spans="1:10">
      <c r="A15" s="1626">
        <f t="shared" si="0"/>
        <v>9</v>
      </c>
    </row>
    <row r="16" spans="1:10">
      <c r="A16" s="1626">
        <f t="shared" si="0"/>
        <v>10</v>
      </c>
      <c r="B16" t="s">
        <v>1567</v>
      </c>
    </row>
    <row r="17" spans="1:5">
      <c r="A17" s="1626">
        <f t="shared" si="0"/>
        <v>11</v>
      </c>
      <c r="C17" s="1333">
        <v>16178.63</v>
      </c>
      <c r="D17" t="s">
        <v>1573</v>
      </c>
      <c r="E17" t="s">
        <v>1570</v>
      </c>
    </row>
    <row r="18" spans="1:5">
      <c r="A18" s="1626">
        <f t="shared" si="0"/>
        <v>12</v>
      </c>
      <c r="C18" s="1333">
        <v>2799.44</v>
      </c>
      <c r="D18" t="s">
        <v>1573</v>
      </c>
      <c r="E18" t="s">
        <v>1571</v>
      </c>
    </row>
    <row r="19" spans="1:5">
      <c r="A19" s="1626">
        <f t="shared" si="0"/>
        <v>13</v>
      </c>
      <c r="C19" s="1333">
        <v>507.65</v>
      </c>
      <c r="D19" t="s">
        <v>1574</v>
      </c>
      <c r="E19" t="s">
        <v>1570</v>
      </c>
    </row>
    <row r="20" spans="1:5">
      <c r="A20" s="1626">
        <f t="shared" si="0"/>
        <v>14</v>
      </c>
      <c r="C20" s="1333">
        <v>86.77</v>
      </c>
      <c r="D20" t="s">
        <v>1574</v>
      </c>
      <c r="E20" t="s">
        <v>1571</v>
      </c>
    </row>
    <row r="21" spans="1:5">
      <c r="A21" s="1626">
        <f t="shared" si="0"/>
        <v>15</v>
      </c>
      <c r="C21" s="1333">
        <v>-68.160000000000011</v>
      </c>
      <c r="D21" t="s">
        <v>1573</v>
      </c>
      <c r="E21" t="s">
        <v>1571</v>
      </c>
    </row>
    <row r="22" spans="1:5">
      <c r="A22" s="1626">
        <f t="shared" si="0"/>
        <v>16</v>
      </c>
      <c r="B22" s="1738"/>
      <c r="C22" s="1739">
        <v>19504.330000000002</v>
      </c>
      <c r="D22" s="1738" t="s">
        <v>1574</v>
      </c>
      <c r="E22" t="s">
        <v>1571</v>
      </c>
    </row>
    <row r="23" spans="1:5">
      <c r="A23" s="1626"/>
      <c r="B23" s="1613"/>
      <c r="C23" s="1615">
        <v>556.66000000000031</v>
      </c>
      <c r="D23" s="1613" t="s">
        <v>1698</v>
      </c>
      <c r="E23" t="s">
        <v>1699</v>
      </c>
    </row>
    <row r="24" spans="1:5">
      <c r="A24" s="1626">
        <f>+A22+1</f>
        <v>17</v>
      </c>
      <c r="B24" t="s">
        <v>118</v>
      </c>
      <c r="C24" s="1333">
        <f>SUM(C17:C22)</f>
        <v>39008.660000000003</v>
      </c>
      <c r="D24" t="s">
        <v>1592</v>
      </c>
    </row>
    <row r="25" spans="1:5">
      <c r="A25" s="1626">
        <f t="shared" si="0"/>
        <v>18</v>
      </c>
    </row>
    <row r="26" spans="1:5">
      <c r="A26" s="1626">
        <f t="shared" si="0"/>
        <v>19</v>
      </c>
      <c r="B26" t="s">
        <v>1568</v>
      </c>
    </row>
    <row r="27" spans="1:5">
      <c r="A27" s="1626">
        <f t="shared" si="0"/>
        <v>20</v>
      </c>
      <c r="C27" s="1333">
        <v>5354916.91</v>
      </c>
      <c r="D27" t="s">
        <v>1575</v>
      </c>
      <c r="E27" t="s">
        <v>1576</v>
      </c>
    </row>
    <row r="28" spans="1:5">
      <c r="A28" s="1626">
        <f t="shared" si="0"/>
        <v>21</v>
      </c>
      <c r="C28" s="1333">
        <v>168454.97</v>
      </c>
      <c r="D28" t="s">
        <v>1577</v>
      </c>
      <c r="E28" t="s">
        <v>1576</v>
      </c>
    </row>
    <row r="29" spans="1:5">
      <c r="A29" s="1626">
        <f t="shared" si="0"/>
        <v>22</v>
      </c>
      <c r="C29" s="1333">
        <v>2569571.64</v>
      </c>
      <c r="D29" t="s">
        <v>1575</v>
      </c>
      <c r="E29" t="s">
        <v>1578</v>
      </c>
    </row>
    <row r="30" spans="1:5">
      <c r="A30" s="1626">
        <f t="shared" si="0"/>
        <v>23</v>
      </c>
      <c r="C30" s="1333">
        <v>1518757.7712796046</v>
      </c>
      <c r="D30" t="s">
        <v>1575</v>
      </c>
      <c r="E30" t="s">
        <v>1579</v>
      </c>
    </row>
    <row r="31" spans="1:5">
      <c r="A31" s="1626">
        <f t="shared" si="0"/>
        <v>24</v>
      </c>
      <c r="C31" s="1333">
        <v>80833.61</v>
      </c>
      <c r="D31" t="s">
        <v>1577</v>
      </c>
      <c r="E31" t="s">
        <v>1578</v>
      </c>
    </row>
    <row r="32" spans="1:5">
      <c r="A32" s="1626">
        <f t="shared" si="0"/>
        <v>25</v>
      </c>
      <c r="C32" s="1333">
        <v>47777.081075810318</v>
      </c>
      <c r="D32" t="s">
        <v>1577</v>
      </c>
      <c r="E32" t="s">
        <v>1579</v>
      </c>
    </row>
    <row r="33" spans="1:5">
      <c r="A33" s="1626">
        <f t="shared" si="0"/>
        <v>26</v>
      </c>
      <c r="B33" s="1738"/>
      <c r="C33" s="1739">
        <v>4809662.4561461043</v>
      </c>
      <c r="D33" s="1738" t="s">
        <v>1575</v>
      </c>
      <c r="E33" t="s">
        <v>1580</v>
      </c>
    </row>
    <row r="34" spans="1:5">
      <c r="A34" s="1626">
        <f t="shared" si="0"/>
        <v>27</v>
      </c>
      <c r="B34" s="1738"/>
      <c r="C34" s="1739">
        <v>151302.36781134483</v>
      </c>
      <c r="D34" s="1738" t="s">
        <v>1577</v>
      </c>
      <c r="E34" t="s">
        <v>1580</v>
      </c>
    </row>
    <row r="35" spans="1:5">
      <c r="A35" s="1626"/>
      <c r="B35" s="1613"/>
      <c r="C35" s="1615">
        <v>82833.140000000014</v>
      </c>
      <c r="D35" s="1613" t="s">
        <v>1698</v>
      </c>
      <c r="E35" t="s">
        <v>1699</v>
      </c>
    </row>
    <row r="36" spans="1:5">
      <c r="A36" s="1626">
        <f>+A34+1</f>
        <v>28</v>
      </c>
      <c r="B36" t="s">
        <v>118</v>
      </c>
      <c r="C36" s="1333">
        <f>SUM(C27:C34)</f>
        <v>14701276.806312863</v>
      </c>
      <c r="D36" t="s">
        <v>1592</v>
      </c>
    </row>
    <row r="38" spans="1:5">
      <c r="A38" s="1937" t="s">
        <v>129</v>
      </c>
      <c r="B38" s="1937"/>
    </row>
    <row r="39" spans="1:5">
      <c r="A39" s="1627" t="s">
        <v>176</v>
      </c>
      <c r="B39" t="s">
        <v>1596</v>
      </c>
    </row>
    <row r="40" spans="1:5">
      <c r="A40" s="1627" t="s">
        <v>338</v>
      </c>
      <c r="B40" t="s">
        <v>1588</v>
      </c>
    </row>
  </sheetData>
  <mergeCells count="4">
    <mergeCell ref="A38:B38"/>
    <mergeCell ref="A1:E1"/>
    <mergeCell ref="A2:E2"/>
    <mergeCell ref="A3:E3"/>
  </mergeCells>
  <printOptions horizontalCentered="1"/>
  <pageMargins left="0.7" right="0.7" top="0.75" bottom="0.75" header="0.3" footer="0.5"/>
  <pageSetup orientation="portrait" r:id="rId1"/>
  <headerFooter>
    <oddFooter>&amp;R&amp;A</oddFooter>
  </headerFooter>
  <ignoredErrors>
    <ignoredError sqref="C24 C36 C14" formulaRange="1"/>
    <ignoredError sqref="A39:A40"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S52"/>
  <sheetViews>
    <sheetView workbookViewId="0">
      <selection sqref="A1:B1"/>
    </sheetView>
  </sheetViews>
  <sheetFormatPr defaultColWidth="8.88671875" defaultRowHeight="13.2"/>
  <cols>
    <col min="1" max="1" width="7.6640625" style="44" customWidth="1"/>
    <col min="2" max="2" width="39.5546875" style="44" customWidth="1"/>
    <col min="3" max="3" width="8.33203125" style="43" customWidth="1"/>
    <col min="4" max="4" width="24.5546875" style="1758" customWidth="1"/>
    <col min="5" max="5" width="14.6640625" style="44" customWidth="1"/>
    <col min="6" max="6" width="3.44140625" style="44" customWidth="1"/>
    <col min="7" max="16384" width="8.88671875" style="44"/>
  </cols>
  <sheetData>
    <row r="1" spans="1:19">
      <c r="A1" s="1878" t="str">
        <f>+'MISO Cover'!C6</f>
        <v>Entergy Arkansas, Inc.</v>
      </c>
      <c r="B1" s="1878"/>
      <c r="C1" s="1878"/>
      <c r="D1" s="1878"/>
      <c r="E1" s="1878"/>
    </row>
    <row r="2" spans="1:19">
      <c r="A2" s="1939" t="s">
        <v>1670</v>
      </c>
      <c r="B2" s="1939"/>
      <c r="C2" s="1939"/>
      <c r="D2" s="1939"/>
      <c r="E2" s="1939"/>
    </row>
    <row r="3" spans="1:19">
      <c r="A3" s="1941" t="str">
        <f>+'MISO Cover'!K4</f>
        <v>For  the 12 Months Ended 12/31/2016</v>
      </c>
      <c r="B3" s="1941"/>
      <c r="C3" s="1941"/>
      <c r="D3" s="1941"/>
      <c r="E3" s="1941"/>
      <c r="F3" s="853"/>
      <c r="G3" s="853"/>
      <c r="H3" s="853"/>
      <c r="I3" s="853"/>
      <c r="J3" s="853"/>
      <c r="K3" s="853"/>
      <c r="L3" s="853"/>
    </row>
    <row r="4" spans="1:19">
      <c r="A4" s="43"/>
      <c r="B4" s="585"/>
      <c r="C4" s="1996"/>
      <c r="D4" s="1768"/>
      <c r="E4" s="43"/>
    </row>
    <row r="5" spans="1:19">
      <c r="A5" s="970" t="s">
        <v>290</v>
      </c>
      <c r="B5" s="1822" t="s">
        <v>72</v>
      </c>
      <c r="C5" s="736"/>
      <c r="D5" s="1822" t="s">
        <v>119</v>
      </c>
      <c r="E5" s="1822" t="s">
        <v>60</v>
      </c>
      <c r="F5" s="43"/>
      <c r="G5" s="43"/>
      <c r="H5" s="43"/>
      <c r="I5" s="43"/>
      <c r="J5" s="43"/>
      <c r="K5" s="43"/>
      <c r="L5" s="43"/>
      <c r="M5" s="43"/>
      <c r="N5" s="43"/>
      <c r="O5" s="43"/>
      <c r="P5" s="43"/>
      <c r="Q5" s="43"/>
      <c r="R5" s="43"/>
      <c r="S5" s="43"/>
    </row>
    <row r="6" spans="1:19" ht="15">
      <c r="A6" s="1704"/>
      <c r="D6" s="1940" t="s">
        <v>100</v>
      </c>
      <c r="E6" s="1940"/>
      <c r="F6" s="1608"/>
      <c r="G6" s="43"/>
      <c r="H6" s="43"/>
      <c r="I6" s="43"/>
      <c r="J6" s="43"/>
      <c r="K6" s="43"/>
      <c r="L6" s="43"/>
      <c r="M6" s="43"/>
      <c r="N6" s="43"/>
      <c r="O6" s="43"/>
      <c r="P6" s="43"/>
      <c r="Q6" s="43"/>
      <c r="R6" s="43"/>
      <c r="S6" s="43"/>
    </row>
    <row r="7" spans="1:19">
      <c r="A7" s="1705">
        <v>1</v>
      </c>
      <c r="B7" s="1706" t="s">
        <v>266</v>
      </c>
      <c r="C7" s="1763"/>
      <c r="D7" s="1706" t="s">
        <v>1668</v>
      </c>
      <c r="E7" s="1706" t="s">
        <v>1524</v>
      </c>
      <c r="F7" s="43"/>
      <c r="G7" s="43"/>
      <c r="H7" s="43"/>
      <c r="I7" s="43"/>
      <c r="J7" s="43"/>
      <c r="K7" s="43"/>
      <c r="L7" s="43"/>
      <c r="M7" s="43"/>
      <c r="N7" s="43"/>
      <c r="O7" s="43"/>
      <c r="P7" s="43"/>
      <c r="Q7" s="43"/>
      <c r="R7" s="43"/>
      <c r="S7" s="43"/>
    </row>
    <row r="8" spans="1:19" ht="15">
      <c r="A8" s="1705">
        <f>+A7+1</f>
        <v>2</v>
      </c>
      <c r="B8" s="1707" t="s">
        <v>178</v>
      </c>
      <c r="C8" s="1997"/>
      <c r="D8" s="1706"/>
    </row>
    <row r="9" spans="1:19">
      <c r="A9" s="1705">
        <f>+A8+0.01</f>
        <v>2.0099999999999998</v>
      </c>
      <c r="B9" s="44" t="s">
        <v>240</v>
      </c>
      <c r="D9" s="1767"/>
      <c r="E9" s="1776">
        <v>0</v>
      </c>
      <c r="F9" s="45"/>
      <c r="G9" s="197" t="s">
        <v>1807</v>
      </c>
      <c r="H9" s="197"/>
      <c r="I9" s="45"/>
      <c r="J9" s="45"/>
      <c r="K9" s="45"/>
      <c r="L9" s="45"/>
      <c r="M9" s="45"/>
    </row>
    <row r="10" spans="1:19">
      <c r="A10" s="1759">
        <f>+A9+0.01</f>
        <v>2.0199999999999996</v>
      </c>
      <c r="B10" s="44" t="s">
        <v>241</v>
      </c>
      <c r="D10" s="1766">
        <v>1.35049877971899E-2</v>
      </c>
      <c r="E10" s="1773">
        <v>3961303.92</v>
      </c>
      <c r="F10" s="45"/>
      <c r="G10" s="45"/>
      <c r="H10" s="45"/>
      <c r="I10" s="45"/>
      <c r="J10" s="45"/>
      <c r="K10" s="45"/>
      <c r="L10" s="45"/>
      <c r="M10" s="45"/>
    </row>
    <row r="11" spans="1:19">
      <c r="A11" s="1759">
        <f t="shared" ref="A11" si="0">+A10+0.01</f>
        <v>2.0299999999999994</v>
      </c>
      <c r="B11" s="44" t="s">
        <v>242</v>
      </c>
      <c r="D11" s="1766">
        <v>6.6699840374966096E-2</v>
      </c>
      <c r="E11" s="1774">
        <v>104011.51</v>
      </c>
      <c r="F11" s="45"/>
      <c r="G11" s="45"/>
      <c r="H11" s="45"/>
      <c r="I11" s="45"/>
      <c r="J11" s="45"/>
      <c r="K11" s="45"/>
      <c r="L11" s="45"/>
      <c r="M11" s="45"/>
    </row>
    <row r="12" spans="1:19">
      <c r="A12" s="1759">
        <f t="shared" ref="A12:A22" si="1">+A11+0.01</f>
        <v>2.0399999999999991</v>
      </c>
      <c r="B12" s="44" t="s">
        <v>243</v>
      </c>
      <c r="D12" s="1767">
        <v>0.2</v>
      </c>
      <c r="E12" s="1774">
        <v>2212280.2799999998</v>
      </c>
      <c r="F12" s="45"/>
      <c r="G12" s="45"/>
      <c r="H12" s="45"/>
      <c r="I12" s="45"/>
      <c r="J12" s="45"/>
      <c r="K12" s="45"/>
      <c r="L12" s="45"/>
      <c r="M12" s="45"/>
    </row>
    <row r="13" spans="1:19">
      <c r="A13" s="1759">
        <f t="shared" si="1"/>
        <v>2.0499999999999989</v>
      </c>
      <c r="B13" s="44" t="s">
        <v>244</v>
      </c>
      <c r="D13" s="1767">
        <v>6.6699999999999995E-2</v>
      </c>
      <c r="E13" s="1774">
        <v>259606.8</v>
      </c>
      <c r="F13" s="45"/>
      <c r="G13" s="45"/>
      <c r="H13" s="45"/>
      <c r="I13" s="45"/>
      <c r="J13" s="45"/>
      <c r="K13" s="45"/>
      <c r="L13" s="45"/>
      <c r="M13" s="45"/>
    </row>
    <row r="14" spans="1:19">
      <c r="A14" s="1759">
        <f t="shared" si="1"/>
        <v>2.0599999999999987</v>
      </c>
      <c r="B14" s="44" t="s">
        <v>245</v>
      </c>
      <c r="D14" s="1766">
        <v>0.12</v>
      </c>
      <c r="E14" s="1774">
        <v>0</v>
      </c>
      <c r="F14" s="45"/>
      <c r="G14" s="45"/>
      <c r="H14" s="45"/>
      <c r="I14" s="45"/>
      <c r="J14" s="45"/>
      <c r="K14" s="45"/>
      <c r="L14" s="45"/>
      <c r="M14" s="45"/>
    </row>
    <row r="15" spans="1:19">
      <c r="A15" s="1759">
        <f t="shared" si="1"/>
        <v>2.0699999999999985</v>
      </c>
      <c r="B15" s="44" t="s">
        <v>246</v>
      </c>
      <c r="D15" s="1767">
        <v>6.6699999999999995E-2</v>
      </c>
      <c r="E15" s="1774">
        <v>59038.44</v>
      </c>
      <c r="F15" s="45"/>
      <c r="G15" s="45"/>
      <c r="H15" s="45"/>
      <c r="I15" s="45"/>
      <c r="J15" s="45"/>
      <c r="K15" s="45"/>
      <c r="L15" s="45"/>
      <c r="M15" s="45"/>
    </row>
    <row r="16" spans="1:19">
      <c r="A16" s="1759">
        <f t="shared" si="1"/>
        <v>2.0799999999999983</v>
      </c>
      <c r="B16" s="44" t="s">
        <v>247</v>
      </c>
      <c r="D16" s="1767">
        <v>6.6699999999999995E-2</v>
      </c>
      <c r="E16" s="1774">
        <v>1051823.18</v>
      </c>
      <c r="F16" s="45"/>
      <c r="G16" s="45"/>
      <c r="H16" s="45"/>
      <c r="I16" s="45"/>
      <c r="J16" s="45"/>
      <c r="K16" s="45"/>
      <c r="L16" s="45"/>
      <c r="M16" s="45"/>
    </row>
    <row r="17" spans="1:19">
      <c r="A17" s="1759">
        <f t="shared" si="1"/>
        <v>2.0899999999999981</v>
      </c>
      <c r="B17" s="44" t="s">
        <v>248</v>
      </c>
      <c r="D17" s="1767">
        <v>0.1</v>
      </c>
      <c r="E17" s="1774">
        <v>49705.32</v>
      </c>
      <c r="F17" s="45"/>
      <c r="G17" s="45"/>
      <c r="H17" s="45"/>
      <c r="I17" s="45"/>
      <c r="J17" s="45"/>
      <c r="K17" s="45"/>
      <c r="L17" s="45"/>
      <c r="M17" s="45"/>
    </row>
    <row r="18" spans="1:19">
      <c r="A18" s="932">
        <f t="shared" si="1"/>
        <v>2.0999999999999979</v>
      </c>
      <c r="B18" s="44" t="s">
        <v>249</v>
      </c>
      <c r="D18" s="1767">
        <v>6.6699999999999995E-2</v>
      </c>
      <c r="E18" s="1774">
        <v>0</v>
      </c>
      <c r="F18" s="45"/>
      <c r="G18" s="45"/>
      <c r="H18" s="45"/>
      <c r="I18" s="45"/>
      <c r="J18" s="45"/>
      <c r="K18" s="45"/>
      <c r="L18" s="45"/>
      <c r="M18" s="45"/>
    </row>
    <row r="19" spans="1:19">
      <c r="A19" s="1759">
        <f t="shared" si="1"/>
        <v>2.1099999999999977</v>
      </c>
      <c r="B19" s="44" t="s">
        <v>250</v>
      </c>
      <c r="D19" s="1767">
        <v>0.1</v>
      </c>
      <c r="E19" s="1774">
        <v>2208474.2000000002</v>
      </c>
      <c r="F19" s="45"/>
      <c r="G19" s="45"/>
      <c r="H19" s="45"/>
      <c r="I19" s="45"/>
      <c r="J19" s="45"/>
      <c r="K19" s="45"/>
      <c r="L19" s="45"/>
      <c r="M19" s="45"/>
    </row>
    <row r="20" spans="1:19">
      <c r="A20" s="1759">
        <f t="shared" si="1"/>
        <v>2.1199999999999974</v>
      </c>
      <c r="B20" s="44" t="s">
        <v>251</v>
      </c>
      <c r="D20" s="1767">
        <v>6.6699999999999995E-2</v>
      </c>
      <c r="E20" s="1774">
        <v>1000948.52</v>
      </c>
      <c r="F20" s="45"/>
      <c r="G20" s="45"/>
      <c r="H20" s="45"/>
      <c r="I20" s="45"/>
      <c r="J20" s="45"/>
      <c r="K20" s="45"/>
      <c r="L20" s="45"/>
      <c r="M20" s="45"/>
    </row>
    <row r="21" spans="1:19">
      <c r="A21" s="1759">
        <f t="shared" si="1"/>
        <v>2.1299999999999972</v>
      </c>
      <c r="B21" s="44" t="s">
        <v>252</v>
      </c>
      <c r="D21" s="1767">
        <v>0.1</v>
      </c>
      <c r="E21" s="1775">
        <v>384791.53</v>
      </c>
      <c r="F21" s="45"/>
      <c r="G21" s="45"/>
      <c r="H21" s="45"/>
      <c r="I21" s="45"/>
      <c r="J21" s="45"/>
      <c r="K21" s="45"/>
      <c r="L21" s="45"/>
      <c r="M21" s="45"/>
    </row>
    <row r="22" spans="1:19" ht="15">
      <c r="A22" s="1759">
        <f t="shared" si="1"/>
        <v>2.139999999999997</v>
      </c>
      <c r="B22" s="1772" t="str">
        <f>+"Total "&amp;B8</f>
        <v>Total General Plant</v>
      </c>
      <c r="C22" s="1998"/>
      <c r="D22" s="1767"/>
      <c r="E22" s="845">
        <f>SUM(E9:E21)</f>
        <v>11291983.699999997</v>
      </c>
      <c r="F22" s="45"/>
      <c r="G22" s="45"/>
      <c r="H22" s="45"/>
      <c r="I22" s="45"/>
      <c r="J22" s="45"/>
      <c r="K22" s="45"/>
      <c r="L22" s="45"/>
      <c r="M22" s="45"/>
      <c r="N22" s="43"/>
      <c r="O22" s="43"/>
      <c r="P22" s="43"/>
      <c r="Q22" s="43"/>
      <c r="R22" s="43"/>
      <c r="S22" s="43"/>
    </row>
    <row r="23" spans="1:19" ht="15">
      <c r="A23" s="1705">
        <v>3</v>
      </c>
      <c r="B23" s="1637"/>
      <c r="C23" s="1998"/>
      <c r="D23" s="1767"/>
      <c r="E23" s="1708"/>
      <c r="F23" s="45"/>
      <c r="G23" s="45"/>
      <c r="H23" s="45"/>
      <c r="I23" s="45"/>
      <c r="J23" s="45"/>
      <c r="K23" s="45"/>
      <c r="L23" s="45"/>
      <c r="M23" s="45"/>
      <c r="N23" s="43"/>
      <c r="O23" s="43"/>
      <c r="P23" s="43"/>
      <c r="Q23" s="43"/>
      <c r="R23" s="43"/>
      <c r="S23" s="43"/>
    </row>
    <row r="24" spans="1:19" ht="15">
      <c r="A24" s="1705">
        <v>4</v>
      </c>
      <c r="B24" s="1707" t="s">
        <v>526</v>
      </c>
      <c r="C24" s="1997"/>
      <c r="D24" s="1709"/>
      <c r="F24" s="45"/>
      <c r="G24" s="45"/>
      <c r="H24" s="45"/>
      <c r="I24" s="45"/>
      <c r="J24" s="45"/>
      <c r="K24" s="45"/>
      <c r="L24" s="45"/>
      <c r="M24" s="45"/>
    </row>
    <row r="25" spans="1:19">
      <c r="A25" s="1759">
        <f>+A24+0.01</f>
        <v>4.01</v>
      </c>
      <c r="B25" s="43" t="s">
        <v>281</v>
      </c>
      <c r="D25" s="1769">
        <v>3.3300000000000003E-2</v>
      </c>
      <c r="E25" s="1774">
        <v>14.34</v>
      </c>
      <c r="F25" s="45"/>
      <c r="G25" s="45"/>
      <c r="H25" s="45"/>
      <c r="I25" s="45"/>
      <c r="J25" s="45"/>
      <c r="K25" s="45"/>
      <c r="L25" s="45"/>
      <c r="M25" s="45"/>
    </row>
    <row r="26" spans="1:19">
      <c r="A26" s="1759">
        <f t="shared" ref="A26:A32" si="2">+A25+0.01</f>
        <v>4.0199999999999996</v>
      </c>
      <c r="B26" s="43" t="s">
        <v>282</v>
      </c>
      <c r="D26" s="1769">
        <v>0.02</v>
      </c>
      <c r="E26" s="1774">
        <v>75577.710000000006</v>
      </c>
      <c r="F26" s="45"/>
      <c r="G26" s="45"/>
      <c r="H26" s="45"/>
      <c r="I26" s="45"/>
      <c r="J26" s="45"/>
      <c r="K26" s="45"/>
      <c r="L26" s="45"/>
      <c r="M26" s="45"/>
    </row>
    <row r="27" spans="1:19">
      <c r="A27" s="1759">
        <f t="shared" si="2"/>
        <v>4.0299999999999994</v>
      </c>
      <c r="B27" s="43" t="s">
        <v>283</v>
      </c>
      <c r="D27" s="1769">
        <v>0.2</v>
      </c>
      <c r="E27" s="1774">
        <v>8717997</v>
      </c>
      <c r="F27" s="45"/>
      <c r="G27" s="45"/>
      <c r="H27" s="45"/>
      <c r="I27" s="45"/>
      <c r="J27" s="45"/>
      <c r="K27" s="45"/>
      <c r="L27" s="45"/>
      <c r="M27" s="45"/>
    </row>
    <row r="28" spans="1:19">
      <c r="A28" s="1759">
        <f t="shared" si="2"/>
        <v>4.0399999999999991</v>
      </c>
      <c r="B28" s="43" t="s">
        <v>284</v>
      </c>
      <c r="D28" s="1769">
        <v>0.1</v>
      </c>
      <c r="E28" s="1774">
        <v>2058692.55</v>
      </c>
      <c r="F28" s="45"/>
      <c r="G28" s="45"/>
      <c r="H28" s="45"/>
      <c r="I28" s="45"/>
      <c r="J28" s="45"/>
      <c r="K28" s="45"/>
      <c r="L28" s="45"/>
      <c r="M28" s="45"/>
    </row>
    <row r="29" spans="1:19">
      <c r="A29" s="1759">
        <f t="shared" si="2"/>
        <v>4.0499999999999989</v>
      </c>
      <c r="B29" s="43" t="s">
        <v>1525</v>
      </c>
      <c r="D29" s="1767">
        <v>6.6699999999999995E-2</v>
      </c>
      <c r="E29" s="1774">
        <v>4281081.53</v>
      </c>
      <c r="F29" s="45"/>
      <c r="G29" s="45"/>
      <c r="H29" s="45"/>
      <c r="I29" s="45"/>
      <c r="J29" s="45"/>
      <c r="K29" s="45"/>
      <c r="L29" s="45"/>
      <c r="M29" s="45"/>
      <c r="N29" s="43"/>
      <c r="O29" s="43"/>
      <c r="P29" s="43"/>
      <c r="Q29" s="43"/>
      <c r="R29" s="43"/>
      <c r="S29" s="43"/>
    </row>
    <row r="30" spans="1:19">
      <c r="A30" s="1759">
        <f t="shared" si="2"/>
        <v>4.0599999999999987</v>
      </c>
      <c r="B30" s="43" t="s">
        <v>1526</v>
      </c>
      <c r="D30" s="1767">
        <v>0.05</v>
      </c>
      <c r="E30" s="1774">
        <v>776660.74</v>
      </c>
      <c r="F30" s="45"/>
      <c r="G30" s="45"/>
      <c r="H30" s="45"/>
      <c r="I30" s="45"/>
      <c r="J30" s="45"/>
      <c r="K30" s="45"/>
      <c r="L30" s="45"/>
      <c r="M30" s="45"/>
      <c r="N30" s="43"/>
      <c r="O30" s="43"/>
      <c r="P30" s="43"/>
      <c r="Q30" s="43"/>
      <c r="R30" s="43"/>
      <c r="S30" s="43"/>
    </row>
    <row r="31" spans="1:19">
      <c r="A31" s="1759">
        <f t="shared" si="2"/>
        <v>4.0699999999999985</v>
      </c>
      <c r="B31" s="1609" t="s">
        <v>1768</v>
      </c>
      <c r="C31" s="1999" t="s">
        <v>338</v>
      </c>
      <c r="D31" s="1767">
        <v>3.0300000000000001E-2</v>
      </c>
      <c r="E31" s="1775">
        <v>378943.51</v>
      </c>
      <c r="F31" s="45"/>
      <c r="G31" s="1643"/>
      <c r="H31" s="45" t="s">
        <v>1792</v>
      </c>
      <c r="I31" s="45"/>
      <c r="J31" s="45"/>
      <c r="K31" s="45"/>
      <c r="L31" s="45"/>
      <c r="M31" s="45"/>
    </row>
    <row r="32" spans="1:19" ht="15">
      <c r="A32" s="1759">
        <f t="shared" si="2"/>
        <v>4.0799999999999983</v>
      </c>
      <c r="B32" s="599" t="str">
        <f>+"Total "&amp;B24</f>
        <v>Total Intangibles</v>
      </c>
      <c r="C32" s="2000"/>
      <c r="D32" s="1770"/>
      <c r="E32" s="904">
        <f>SUM(E25:E31)</f>
        <v>16288967.380000003</v>
      </c>
      <c r="F32" s="45"/>
      <c r="G32" s="45"/>
      <c r="H32" s="45"/>
      <c r="I32" s="45"/>
      <c r="J32" s="45"/>
      <c r="K32" s="45"/>
      <c r="L32" s="45"/>
      <c r="M32" s="45"/>
      <c r="N32" s="43"/>
      <c r="O32" s="43"/>
      <c r="P32" s="43"/>
      <c r="Q32" s="43"/>
      <c r="R32" s="43"/>
      <c r="S32" s="43"/>
    </row>
    <row r="33" spans="1:19">
      <c r="A33" s="1705">
        <f>+A24+1</f>
        <v>5</v>
      </c>
      <c r="B33" s="585"/>
      <c r="C33" s="1996"/>
      <c r="D33" s="1771"/>
      <c r="F33" s="45"/>
      <c r="G33" s="45"/>
      <c r="H33" s="45"/>
      <c r="I33" s="45"/>
      <c r="J33" s="45"/>
      <c r="K33" s="45"/>
      <c r="L33" s="45"/>
      <c r="M33" s="45"/>
    </row>
    <row r="34" spans="1:19" ht="15">
      <c r="A34" s="1705">
        <f>+A33+1</f>
        <v>6</v>
      </c>
      <c r="B34" s="1707" t="s">
        <v>141</v>
      </c>
      <c r="C34" s="1997"/>
      <c r="D34" s="1763"/>
      <c r="F34" s="43"/>
      <c r="G34" s="43"/>
    </row>
    <row r="35" spans="1:19">
      <c r="A35" s="1705">
        <f>+A34+0.01</f>
        <v>6.01</v>
      </c>
      <c r="B35" s="44" t="s">
        <v>253</v>
      </c>
      <c r="D35" s="1767"/>
      <c r="E35" s="1774"/>
      <c r="F35" s="43"/>
      <c r="G35" s="43"/>
    </row>
    <row r="36" spans="1:19">
      <c r="A36" s="1705">
        <f t="shared" ref="A36:A48" si="3">+A35+0.01</f>
        <v>6.02</v>
      </c>
      <c r="B36" s="44" t="s">
        <v>254</v>
      </c>
      <c r="D36" s="1766">
        <v>1.16965965207429E-2</v>
      </c>
      <c r="E36" s="1774">
        <v>124838.81</v>
      </c>
      <c r="F36" s="43"/>
      <c r="G36" s="43"/>
    </row>
    <row r="37" spans="1:19">
      <c r="A37" s="1705">
        <f t="shared" si="3"/>
        <v>6.0299999999999994</v>
      </c>
      <c r="B37" s="44" t="s">
        <v>255</v>
      </c>
      <c r="D37" s="1766">
        <v>1.16965965207429E-2</v>
      </c>
      <c r="E37" s="1774">
        <v>501175.07</v>
      </c>
      <c r="F37" s="43"/>
      <c r="G37" s="43"/>
    </row>
    <row r="38" spans="1:19">
      <c r="A38" s="1705">
        <f t="shared" si="3"/>
        <v>6.0399999999999991</v>
      </c>
      <c r="B38" s="44" t="s">
        <v>256</v>
      </c>
      <c r="D38" s="1766">
        <v>1.4603622535543001E-2</v>
      </c>
      <c r="E38" s="1774">
        <v>1002519.8</v>
      </c>
      <c r="F38" s="43"/>
      <c r="G38" s="43"/>
    </row>
    <row r="39" spans="1:19">
      <c r="A39" s="1705">
        <f t="shared" si="3"/>
        <v>6.0499999999999989</v>
      </c>
      <c r="B39" s="44" t="s">
        <v>257</v>
      </c>
      <c r="D39" s="1766">
        <v>1.7919483019698101E-2</v>
      </c>
      <c r="E39" s="1774">
        <v>14063126.6995601</v>
      </c>
      <c r="F39" s="43"/>
      <c r="G39" s="43"/>
    </row>
    <row r="40" spans="1:19">
      <c r="A40" s="1705">
        <f t="shared" si="3"/>
        <v>6.0599999999999987</v>
      </c>
      <c r="B40" s="44" t="s">
        <v>258</v>
      </c>
      <c r="D40" s="1766">
        <v>2.5939122357472401E-2</v>
      </c>
      <c r="E40" s="1774">
        <v>3710218.0012095999</v>
      </c>
      <c r="F40" s="43"/>
      <c r="G40" s="43"/>
    </row>
    <row r="41" spans="1:19">
      <c r="A41" s="1705">
        <f t="shared" si="3"/>
        <v>6.0699999999999985</v>
      </c>
      <c r="B41" s="44" t="s">
        <v>259</v>
      </c>
      <c r="D41" s="1766">
        <v>2.6264982553675199E-2</v>
      </c>
      <c r="E41" s="1774">
        <v>10903579.3816949</v>
      </c>
      <c r="F41" s="43"/>
      <c r="G41" s="43"/>
    </row>
    <row r="42" spans="1:19">
      <c r="A42" s="1705">
        <f t="shared" si="3"/>
        <v>6.0799999999999983</v>
      </c>
      <c r="B42" s="44" t="s">
        <v>260</v>
      </c>
      <c r="D42" s="1766">
        <v>2.0626223320899899E-2</v>
      </c>
      <c r="E42" s="1774">
        <v>6658297.59762243</v>
      </c>
      <c r="F42" s="43"/>
      <c r="G42" s="43"/>
    </row>
    <row r="43" spans="1:19">
      <c r="A43" s="1705">
        <f t="shared" si="3"/>
        <v>6.0899999999999981</v>
      </c>
      <c r="B43" s="44" t="s">
        <v>261</v>
      </c>
      <c r="D43" s="1766">
        <v>2.0626223320899899E-2</v>
      </c>
      <c r="E43" s="1774">
        <v>379573.21</v>
      </c>
      <c r="F43" s="43"/>
      <c r="G43" s="43"/>
    </row>
    <row r="44" spans="1:19">
      <c r="A44" s="932">
        <f t="shared" si="3"/>
        <v>6.0999999999999979</v>
      </c>
      <c r="B44" s="44" t="s">
        <v>262</v>
      </c>
      <c r="D44" s="1766">
        <v>2.0626223320899899E-2</v>
      </c>
      <c r="E44" s="1774">
        <v>1010015.34</v>
      </c>
      <c r="F44" s="43"/>
      <c r="G44" s="43"/>
    </row>
    <row r="45" spans="1:19">
      <c r="A45" s="1705">
        <f t="shared" si="3"/>
        <v>6.1099999999999977</v>
      </c>
      <c r="B45" s="44" t="s">
        <v>263</v>
      </c>
      <c r="D45" s="1766">
        <v>1.8200000000000001E-2</v>
      </c>
      <c r="E45" s="1774">
        <v>343.32</v>
      </c>
      <c r="F45" s="43"/>
      <c r="G45" s="43"/>
    </row>
    <row r="46" spans="1:19">
      <c r="A46" s="1705">
        <f t="shared" si="3"/>
        <v>6.1199999999999974</v>
      </c>
      <c r="B46" s="44" t="s">
        <v>264</v>
      </c>
      <c r="D46" s="1767">
        <v>1.29770685823407E-2</v>
      </c>
      <c r="E46" s="1774">
        <v>828.6</v>
      </c>
      <c r="F46" s="43"/>
      <c r="G46" s="43"/>
    </row>
    <row r="47" spans="1:19">
      <c r="A47" s="1705">
        <f t="shared" si="3"/>
        <v>6.1299999999999972</v>
      </c>
      <c r="B47" s="44" t="s">
        <v>265</v>
      </c>
      <c r="D47" s="1767">
        <v>1.35398935644545E-2</v>
      </c>
      <c r="E47" s="1775">
        <v>25724.52</v>
      </c>
      <c r="F47" s="43"/>
      <c r="G47" s="43"/>
    </row>
    <row r="48" spans="1:19" ht="15">
      <c r="A48" s="1705">
        <f t="shared" si="3"/>
        <v>6.139999999999997</v>
      </c>
      <c r="B48" s="297" t="str">
        <f>+"Total "&amp;B34</f>
        <v>Total Transmission</v>
      </c>
      <c r="C48" s="2000"/>
      <c r="D48" s="1757"/>
      <c r="E48" s="845">
        <f>SUM(E35:E47)</f>
        <v>38380240.350087039</v>
      </c>
      <c r="F48" s="43"/>
      <c r="G48" s="43"/>
      <c r="H48" s="43"/>
      <c r="I48" s="43"/>
      <c r="J48" s="43"/>
      <c r="K48" s="43"/>
      <c r="L48" s="43"/>
      <c r="M48" s="43"/>
      <c r="N48" s="43"/>
      <c r="O48" s="43"/>
      <c r="P48" s="43"/>
      <c r="Q48" s="43"/>
      <c r="R48" s="43"/>
      <c r="S48" s="43"/>
    </row>
    <row r="49" spans="1:19">
      <c r="A49" s="1704"/>
      <c r="B49" s="43"/>
      <c r="D49" s="1757"/>
      <c r="F49" s="43"/>
      <c r="G49" s="43"/>
    </row>
    <row r="50" spans="1:19">
      <c r="A50" s="43" t="s">
        <v>316</v>
      </c>
      <c r="D50" s="1757"/>
    </row>
    <row r="51" spans="1:19" ht="111.6" customHeight="1">
      <c r="A51" s="933" t="s">
        <v>176</v>
      </c>
      <c r="B51" s="1857" t="s">
        <v>1669</v>
      </c>
      <c r="C51" s="1857"/>
      <c r="D51" s="1857"/>
      <c r="E51" s="1857"/>
    </row>
    <row r="52" spans="1:19" ht="26.4" customHeight="1">
      <c r="A52" s="933" t="s">
        <v>338</v>
      </c>
      <c r="B52" s="1938" t="s">
        <v>1527</v>
      </c>
      <c r="C52" s="1938"/>
      <c r="D52" s="1938"/>
      <c r="E52" s="1938"/>
      <c r="F52" s="43"/>
      <c r="G52" s="43"/>
      <c r="H52" s="43"/>
      <c r="I52" s="43"/>
      <c r="J52" s="43"/>
      <c r="K52" s="43"/>
      <c r="L52" s="43"/>
      <c r="M52" s="43"/>
      <c r="N52" s="43"/>
      <c r="O52" s="43"/>
      <c r="P52" s="43"/>
      <c r="Q52" s="43"/>
      <c r="R52" s="43"/>
      <c r="S52" s="43"/>
    </row>
  </sheetData>
  <mergeCells count="6">
    <mergeCell ref="B52:E52"/>
    <mergeCell ref="A2:E2"/>
    <mergeCell ref="D6:E6"/>
    <mergeCell ref="A1:E1"/>
    <mergeCell ref="B51:E51"/>
    <mergeCell ref="A3:E3"/>
  </mergeCells>
  <printOptions horizontalCentered="1"/>
  <pageMargins left="0.7" right="0.7" top="0.7" bottom="0.7" header="0.3" footer="0.5"/>
  <pageSetup scale="90" orientation="portrait" r:id="rId1"/>
  <headerFooter>
    <oddFooter>&amp;R&amp;A</oddFooter>
  </headerFooter>
  <ignoredErrors>
    <ignoredError sqref="C31 A51:A5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selection sqref="A1:D1"/>
    </sheetView>
  </sheetViews>
  <sheetFormatPr defaultColWidth="8.88671875" defaultRowHeight="13.2"/>
  <cols>
    <col min="1" max="1" width="7.6640625" style="44" customWidth="1"/>
    <col min="2" max="2" width="47.44140625" style="44" customWidth="1"/>
    <col min="3" max="4" width="12.6640625" style="44" customWidth="1"/>
    <col min="5" max="16384" width="8.88671875" style="44"/>
  </cols>
  <sheetData>
    <row r="1" spans="1:17">
      <c r="A1" s="1878" t="s">
        <v>175</v>
      </c>
      <c r="B1" s="1878"/>
      <c r="C1" s="1878"/>
      <c r="D1" s="1878"/>
    </row>
    <row r="2" spans="1:17" ht="25.95" customHeight="1">
      <c r="A2" s="1942" t="s">
        <v>1867</v>
      </c>
      <c r="B2" s="1942"/>
      <c r="C2" s="1942"/>
      <c r="D2" s="1942"/>
    </row>
    <row r="3" spans="1:17">
      <c r="A3" s="1941" t="s">
        <v>1515</v>
      </c>
      <c r="B3" s="1941"/>
      <c r="C3" s="1941"/>
      <c r="D3" s="1941"/>
      <c r="E3" s="853"/>
      <c r="F3" s="853"/>
      <c r="G3" s="853"/>
      <c r="H3" s="853"/>
      <c r="I3" s="853"/>
      <c r="J3" s="853"/>
    </row>
    <row r="4" spans="1:17">
      <c r="A4" s="43"/>
      <c r="B4" s="585"/>
      <c r="C4" s="585"/>
      <c r="D4" s="43"/>
    </row>
    <row r="5" spans="1:17">
      <c r="A5" s="970" t="s">
        <v>290</v>
      </c>
      <c r="B5" s="1822" t="s">
        <v>72</v>
      </c>
      <c r="C5" s="1822" t="s">
        <v>119</v>
      </c>
      <c r="D5" s="1822" t="s">
        <v>60</v>
      </c>
      <c r="E5" s="43"/>
      <c r="F5" s="43"/>
      <c r="G5" s="43"/>
      <c r="H5" s="43"/>
      <c r="I5" s="43"/>
      <c r="J5" s="43"/>
      <c r="K5" s="43"/>
      <c r="L5" s="43"/>
      <c r="M5" s="43"/>
      <c r="N5" s="43"/>
      <c r="O5" s="43"/>
      <c r="P5" s="43"/>
      <c r="Q5" s="43"/>
    </row>
    <row r="6" spans="1:17" ht="15">
      <c r="A6" s="1807"/>
      <c r="C6" s="1940" t="s">
        <v>1604</v>
      </c>
      <c r="D6" s="1940"/>
      <c r="E6" s="1608"/>
      <c r="F6" s="43"/>
      <c r="G6" s="43"/>
      <c r="H6" s="43"/>
      <c r="I6" s="43"/>
      <c r="J6" s="43"/>
      <c r="K6" s="43"/>
      <c r="L6" s="43"/>
      <c r="M6" s="43"/>
      <c r="N6" s="43"/>
      <c r="O6" s="43"/>
      <c r="P6" s="43"/>
      <c r="Q6" s="43"/>
    </row>
    <row r="7" spans="1:17">
      <c r="A7" s="1808">
        <v>1</v>
      </c>
      <c r="B7" s="1706" t="s">
        <v>266</v>
      </c>
      <c r="C7" s="1706" t="s">
        <v>1668</v>
      </c>
      <c r="D7" s="1706" t="s">
        <v>1524</v>
      </c>
      <c r="E7" s="43"/>
      <c r="F7" s="43"/>
      <c r="G7" s="43"/>
      <c r="H7" s="43"/>
      <c r="I7" s="43"/>
      <c r="J7" s="43"/>
      <c r="K7" s="43"/>
      <c r="L7" s="43"/>
      <c r="M7" s="43"/>
      <c r="N7" s="43"/>
      <c r="O7" s="43"/>
      <c r="P7" s="43"/>
      <c r="Q7" s="43"/>
    </row>
    <row r="8" spans="1:17" ht="15">
      <c r="A8" s="1808">
        <f>+A7+1</f>
        <v>2</v>
      </c>
      <c r="B8" s="1707" t="s">
        <v>1848</v>
      </c>
      <c r="C8" s="1821"/>
    </row>
    <row r="9" spans="1:17">
      <c r="A9" s="1808">
        <f>+A8+0.01</f>
        <v>2.0099999999999998</v>
      </c>
      <c r="B9" s="44" t="s">
        <v>1849</v>
      </c>
      <c r="C9" s="1767">
        <v>0</v>
      </c>
      <c r="D9" s="269">
        <v>0</v>
      </c>
    </row>
    <row r="10" spans="1:17">
      <c r="A10" s="1808">
        <f t="shared" ref="A10:A27" si="0">+A9+0.01</f>
        <v>2.0199999999999996</v>
      </c>
      <c r="B10" s="44" t="s">
        <v>1850</v>
      </c>
      <c r="C10" s="1766">
        <v>7.4999999999999997E-3</v>
      </c>
      <c r="D10" s="242">
        <v>26573.16</v>
      </c>
    </row>
    <row r="11" spans="1:17">
      <c r="A11" s="1808">
        <f t="shared" si="0"/>
        <v>2.0299999999999994</v>
      </c>
      <c r="B11" s="44" t="s">
        <v>1851</v>
      </c>
      <c r="C11" s="1766">
        <v>1.77E-2</v>
      </c>
      <c r="D11" s="269">
        <v>429568.35000000003</v>
      </c>
    </row>
    <row r="12" spans="1:17">
      <c r="A12" s="1808">
        <f t="shared" si="0"/>
        <v>2.0399999999999991</v>
      </c>
      <c r="B12" s="44" t="s">
        <v>1852</v>
      </c>
      <c r="C12" s="1767">
        <v>1.6799999999999999E-2</v>
      </c>
      <c r="D12" s="269">
        <v>7010658.7599999988</v>
      </c>
    </row>
    <row r="13" spans="1:17">
      <c r="A13" s="1808">
        <f t="shared" si="0"/>
        <v>2.0499999999999989</v>
      </c>
      <c r="B13" s="44" t="s">
        <v>1853</v>
      </c>
      <c r="C13" s="1767">
        <v>3.0600000000000002E-2</v>
      </c>
      <c r="D13" s="269">
        <v>18506644.949999999</v>
      </c>
    </row>
    <row r="14" spans="1:17">
      <c r="A14" s="1808">
        <f t="shared" si="0"/>
        <v>2.0599999999999987</v>
      </c>
      <c r="B14" s="44" t="s">
        <v>1854</v>
      </c>
      <c r="C14" s="1766">
        <v>3.39E-2</v>
      </c>
      <c r="D14" s="269">
        <v>16496020.410000002</v>
      </c>
    </row>
    <row r="15" spans="1:17">
      <c r="A15" s="1808">
        <f t="shared" si="0"/>
        <v>2.0699999999999985</v>
      </c>
      <c r="B15" s="44" t="s">
        <v>1855</v>
      </c>
      <c r="C15" s="1767">
        <v>3.39E-2</v>
      </c>
      <c r="D15" s="269">
        <v>14480.159999999998</v>
      </c>
    </row>
    <row r="16" spans="1:17">
      <c r="A16" s="1808">
        <f t="shared" si="0"/>
        <v>2.0799999999999983</v>
      </c>
      <c r="B16" s="44" t="s">
        <v>1856</v>
      </c>
      <c r="C16" s="1767">
        <v>3.39E-2</v>
      </c>
      <c r="D16" s="269">
        <v>2175898.56</v>
      </c>
    </row>
    <row r="17" spans="1:17">
      <c r="A17" s="1808">
        <f t="shared" si="0"/>
        <v>2.0899999999999981</v>
      </c>
      <c r="B17" s="44" t="s">
        <v>1857</v>
      </c>
      <c r="C17" s="1767">
        <v>2.0559999999999998E-2</v>
      </c>
      <c r="D17" s="269">
        <v>2062999.79</v>
      </c>
    </row>
    <row r="18" spans="1:17">
      <c r="A18" s="932">
        <f t="shared" si="0"/>
        <v>2.0999999999999979</v>
      </c>
      <c r="B18" s="44" t="s">
        <v>1858</v>
      </c>
      <c r="C18" s="1767">
        <v>1.8200000000000001E-2</v>
      </c>
      <c r="D18" s="269">
        <v>2843565.5599999996</v>
      </c>
    </row>
    <row r="19" spans="1:17">
      <c r="A19" s="1808">
        <f t="shared" si="0"/>
        <v>2.1099999999999977</v>
      </c>
      <c r="B19" s="44" t="s">
        <v>1859</v>
      </c>
      <c r="C19" s="1767">
        <v>3.32E-2</v>
      </c>
      <c r="D19" s="269">
        <v>25255747.969999999</v>
      </c>
    </row>
    <row r="20" spans="1:17">
      <c r="A20" s="1808">
        <f t="shared" si="0"/>
        <v>2.1199999999999974</v>
      </c>
      <c r="B20" s="44" t="s">
        <v>1860</v>
      </c>
      <c r="C20" s="1767">
        <v>2.18E-2</v>
      </c>
      <c r="D20" s="269">
        <v>3430268.2199999997</v>
      </c>
    </row>
    <row r="21" spans="1:17">
      <c r="A21" s="1808">
        <f t="shared" si="0"/>
        <v>2.1299999999999972</v>
      </c>
      <c r="B21" s="44" t="s">
        <v>1861</v>
      </c>
      <c r="C21" s="1767">
        <v>3.1799999999999995E-2</v>
      </c>
      <c r="D21" s="269">
        <v>4231302.6899999995</v>
      </c>
    </row>
    <row r="22" spans="1:17">
      <c r="A22" s="1808">
        <f t="shared" si="0"/>
        <v>2.139999999999997</v>
      </c>
      <c r="B22" s="44" t="s">
        <v>1862</v>
      </c>
      <c r="C22" s="1767">
        <v>3.2000000000000001E-2</v>
      </c>
      <c r="D22" s="269">
        <v>4284638.580000001</v>
      </c>
    </row>
    <row r="23" spans="1:17">
      <c r="A23" s="1808">
        <f t="shared" si="0"/>
        <v>2.1499999999999968</v>
      </c>
      <c r="B23" s="44" t="s">
        <v>1863</v>
      </c>
      <c r="C23" s="1767">
        <v>3.2000000000000001E-2</v>
      </c>
      <c r="D23" s="550">
        <v>5824.32</v>
      </c>
    </row>
    <row r="24" spans="1:17">
      <c r="A24" s="1808">
        <f t="shared" si="0"/>
        <v>2.1599999999999966</v>
      </c>
      <c r="B24" s="44" t="s">
        <v>1864</v>
      </c>
      <c r="C24" s="1767">
        <v>7.1999999999999995E-2</v>
      </c>
      <c r="D24" s="550">
        <v>2943565.2299999995</v>
      </c>
    </row>
    <row r="25" spans="1:17">
      <c r="A25" s="1808">
        <f t="shared" si="0"/>
        <v>2.1699999999999964</v>
      </c>
      <c r="B25" s="44" t="s">
        <v>1865</v>
      </c>
      <c r="C25" s="1767">
        <v>2.7E-2</v>
      </c>
      <c r="D25" s="550">
        <v>2472486.9</v>
      </c>
    </row>
    <row r="26" spans="1:17">
      <c r="A26" s="1808">
        <f t="shared" si="0"/>
        <v>2.1799999999999962</v>
      </c>
      <c r="B26" s="44" t="s">
        <v>1866</v>
      </c>
      <c r="C26" s="1767">
        <v>2.7E-2</v>
      </c>
      <c r="D26" s="591">
        <v>108653.6</v>
      </c>
      <c r="F26" s="44" t="s">
        <v>1871</v>
      </c>
    </row>
    <row r="27" spans="1:17">
      <c r="A27" s="1808">
        <f t="shared" si="0"/>
        <v>2.1899999999999959</v>
      </c>
      <c r="B27" s="1772" t="str">
        <f>+"Total "&amp;B8</f>
        <v>Total Distribution Plant</v>
      </c>
      <c r="C27" s="518"/>
      <c r="D27" s="845">
        <f>SUM(D9:D26)</f>
        <v>92298897.209999993</v>
      </c>
      <c r="E27" s="43"/>
      <c r="F27" s="904">
        <f>D27-'WP04 Support'!D11</f>
        <v>0</v>
      </c>
      <c r="G27" s="43"/>
      <c r="H27" s="43"/>
      <c r="I27" s="43"/>
      <c r="J27" s="43"/>
      <c r="K27" s="43"/>
      <c r="L27" s="43"/>
      <c r="M27" s="43"/>
      <c r="N27" s="43"/>
      <c r="O27" s="43"/>
      <c r="P27" s="43"/>
      <c r="Q27" s="43"/>
    </row>
    <row r="28" spans="1:17" ht="15">
      <c r="A28" s="1808">
        <v>3</v>
      </c>
      <c r="B28" s="1637"/>
      <c r="C28" s="518"/>
      <c r="D28" s="1708"/>
      <c r="E28" s="43"/>
      <c r="F28" s="43"/>
      <c r="G28" s="43"/>
      <c r="H28" s="43"/>
      <c r="I28" s="43"/>
      <c r="J28" s="43"/>
      <c r="K28" s="43"/>
      <c r="L28" s="43"/>
      <c r="M28" s="43"/>
      <c r="N28" s="43"/>
      <c r="O28" s="43"/>
      <c r="P28" s="43"/>
      <c r="Q28" s="43"/>
    </row>
    <row r="29" spans="1:17">
      <c r="A29" s="1807"/>
      <c r="B29" s="43"/>
      <c r="C29" s="43"/>
    </row>
    <row r="30" spans="1:17">
      <c r="A30" s="43"/>
      <c r="C30" s="43"/>
    </row>
    <row r="31" spans="1:17" ht="25.95" customHeight="1">
      <c r="A31" s="933"/>
      <c r="B31" s="1857"/>
      <c r="C31" s="1857"/>
      <c r="D31" s="1857"/>
    </row>
    <row r="32" spans="1:17" ht="27" customHeight="1">
      <c r="A32" s="933"/>
      <c r="B32" s="1938"/>
      <c r="C32" s="1938"/>
      <c r="D32" s="1938"/>
      <c r="E32" s="43"/>
      <c r="F32" s="43"/>
      <c r="G32" s="43"/>
      <c r="H32" s="43"/>
      <c r="I32" s="43"/>
      <c r="J32" s="43"/>
      <c r="K32" s="43"/>
      <c r="L32" s="43"/>
      <c r="M32" s="43"/>
      <c r="N32" s="43"/>
      <c r="O32" s="43"/>
      <c r="P32" s="43"/>
      <c r="Q32" s="43"/>
    </row>
  </sheetData>
  <mergeCells count="6">
    <mergeCell ref="B32:D32"/>
    <mergeCell ref="A1:D1"/>
    <mergeCell ref="A2:D2"/>
    <mergeCell ref="A3:D3"/>
    <mergeCell ref="C6:D6"/>
    <mergeCell ref="B31:D31"/>
  </mergeCells>
  <printOptions horizontalCentered="1"/>
  <pageMargins left="0.7" right="0.7" top="0.7" bottom="0.7" header="0.3" footer="0.5"/>
  <pageSetup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Y345"/>
  <sheetViews>
    <sheetView tabSelected="1" zoomScale="90" zoomScaleNormal="90" zoomScaleSheetLayoutView="90" workbookViewId="0">
      <selection sqref="A1:H1"/>
    </sheetView>
  </sheetViews>
  <sheetFormatPr defaultColWidth="11.5546875" defaultRowHeight="15"/>
  <cols>
    <col min="1" max="1" width="7" style="2" customWidth="1"/>
    <col min="2" max="2" width="2.109375" style="2" customWidth="1"/>
    <col min="3" max="3" width="45" style="222" customWidth="1"/>
    <col min="4" max="5" width="19.5546875" style="279" customWidth="1"/>
    <col min="6" max="6" width="49.5546875" style="279" bestFit="1" customWidth="1"/>
    <col min="7" max="7" width="18.6640625" style="279" customWidth="1"/>
    <col min="8" max="8" width="18.88671875" style="279" bestFit="1" customWidth="1"/>
    <col min="9" max="9" width="11.5546875" style="279"/>
    <col min="10" max="10" width="15.33203125" style="1712" customWidth="1"/>
    <col min="11" max="11" width="15.88671875" style="279" customWidth="1"/>
    <col min="12" max="16384" width="11.5546875" style="279"/>
  </cols>
  <sheetData>
    <row r="1" spans="1:64" ht="23.25" customHeight="1">
      <c r="A1" s="1837" t="str">
        <f>+"ATTACHMENT O - "&amp;'MISO Cover'!C6</f>
        <v>ATTACHMENT O - Entergy Arkansas, Inc.</v>
      </c>
      <c r="B1" s="1837"/>
      <c r="C1" s="1837"/>
      <c r="D1" s="1837"/>
      <c r="E1" s="1837"/>
      <c r="F1" s="1837"/>
      <c r="G1" s="1837"/>
      <c r="H1" s="1837"/>
      <c r="J1" s="1978"/>
    </row>
    <row r="2" spans="1:64" ht="17.25" customHeight="1">
      <c r="A2" s="67"/>
      <c r="C2" s="2"/>
    </row>
    <row r="3" spans="1:64" s="483" customFormat="1" ht="17.399999999999999">
      <c r="A3" s="1838" t="str">
        <f>+'MISO Cover'!K4</f>
        <v>For  the 12 Months Ended 12/31/2016</v>
      </c>
      <c r="B3" s="1838"/>
      <c r="C3" s="1838"/>
      <c r="D3" s="1838"/>
      <c r="E3" s="1838"/>
      <c r="F3" s="1838"/>
      <c r="G3" s="1838"/>
      <c r="H3" s="1838"/>
      <c r="I3" s="223"/>
      <c r="J3" s="1979"/>
      <c r="K3" s="470"/>
      <c r="L3" s="470"/>
      <c r="M3" s="470"/>
      <c r="N3" s="1980"/>
      <c r="O3" s="1980"/>
      <c r="P3" s="1980"/>
      <c r="Q3" s="1980"/>
      <c r="R3" s="1980"/>
      <c r="S3" s="1980"/>
      <c r="T3" s="1980"/>
      <c r="U3" s="1980"/>
      <c r="V3" s="1980"/>
      <c r="W3" s="1980"/>
      <c r="X3" s="1980"/>
      <c r="Y3" s="1980"/>
      <c r="Z3" s="1980"/>
      <c r="AA3" s="1980"/>
      <c r="AB3" s="1980"/>
      <c r="AC3" s="1980"/>
      <c r="AD3" s="1980"/>
      <c r="AE3" s="1980"/>
      <c r="AF3" s="1980"/>
      <c r="AG3" s="1980"/>
      <c r="AH3" s="1980"/>
      <c r="AI3" s="1980"/>
      <c r="AJ3" s="1980"/>
      <c r="AK3" s="1980"/>
      <c r="AL3" s="1980"/>
      <c r="AM3" s="1980"/>
      <c r="AN3" s="1980"/>
      <c r="AO3" s="1980"/>
      <c r="AP3" s="1980"/>
      <c r="AQ3" s="1980"/>
      <c r="AR3" s="1980"/>
      <c r="AS3" s="1980"/>
      <c r="AT3" s="1980"/>
      <c r="AU3" s="1980"/>
      <c r="AV3" s="1980"/>
      <c r="AW3" s="1980"/>
      <c r="AX3" s="1980"/>
      <c r="AY3" s="1980"/>
      <c r="AZ3" s="1980"/>
      <c r="BA3" s="1980"/>
      <c r="BB3" s="1980"/>
      <c r="BC3" s="1980"/>
      <c r="BD3" s="1980"/>
      <c r="BE3" s="1980"/>
      <c r="BF3" s="1980"/>
      <c r="BG3" s="1980"/>
      <c r="BH3" s="1980"/>
      <c r="BI3" s="1980"/>
      <c r="BJ3" s="1980"/>
      <c r="BK3" s="1980"/>
      <c r="BL3" s="1980"/>
    </row>
    <row r="4" spans="1:64" ht="16.5" customHeight="1" thickBot="1">
      <c r="A4" s="39"/>
      <c r="C4" s="2"/>
      <c r="J4" s="1711"/>
    </row>
    <row r="5" spans="1:64" s="1" customFormat="1" ht="22.8">
      <c r="A5" s="489" t="s">
        <v>139</v>
      </c>
      <c r="B5" s="490"/>
      <c r="C5" s="490"/>
      <c r="D5" s="490"/>
      <c r="E5" s="491" t="s">
        <v>129</v>
      </c>
      <c r="F5" s="492" t="s">
        <v>286</v>
      </c>
      <c r="G5" s="486" t="s">
        <v>1115</v>
      </c>
      <c r="H5" s="941" t="s">
        <v>337</v>
      </c>
      <c r="J5" s="1711"/>
    </row>
    <row r="6" spans="1:64" s="37" customFormat="1" ht="15.6">
      <c r="A6" s="1129" t="s">
        <v>72</v>
      </c>
      <c r="B6" s="484" t="s">
        <v>119</v>
      </c>
      <c r="C6" s="484" t="s">
        <v>60</v>
      </c>
      <c r="D6" s="484" t="s">
        <v>73</v>
      </c>
      <c r="E6" s="481" t="s">
        <v>71</v>
      </c>
      <c r="F6" s="482" t="s">
        <v>161</v>
      </c>
      <c r="G6" s="482" t="s">
        <v>74</v>
      </c>
      <c r="H6" s="1517" t="s">
        <v>174</v>
      </c>
      <c r="J6" s="1711"/>
    </row>
    <row r="7" spans="1:64">
      <c r="A7" s="77"/>
      <c r="B7" s="1463"/>
      <c r="C7" s="1464"/>
      <c r="D7" s="1464"/>
      <c r="E7" s="1465"/>
      <c r="F7" s="942"/>
      <c r="G7" s="1461"/>
      <c r="H7" s="1462"/>
    </row>
    <row r="8" spans="1:64" s="280" customFormat="1" ht="16.2" thickBot="1">
      <c r="A8" s="1130" t="s">
        <v>91</v>
      </c>
      <c r="B8" s="260"/>
      <c r="C8" s="258"/>
      <c r="D8" s="258"/>
      <c r="E8" s="1065" t="str">
        <f>"(Note "&amp;A$330&amp;")"</f>
        <v>(Note Y)</v>
      </c>
      <c r="F8" s="259"/>
      <c r="G8" s="487"/>
      <c r="H8" s="488"/>
      <c r="J8" s="1712"/>
    </row>
    <row r="9" spans="1:64" s="280" customFormat="1" ht="15.6">
      <c r="A9" s="103"/>
      <c r="B9" s="104"/>
      <c r="C9" s="104"/>
      <c r="D9" s="104"/>
      <c r="E9" s="105"/>
      <c r="F9" s="131"/>
      <c r="G9" s="106"/>
      <c r="H9" s="1134"/>
      <c r="J9" s="1712"/>
    </row>
    <row r="10" spans="1:64" ht="15.6">
      <c r="A10" s="107"/>
      <c r="B10" s="5" t="s">
        <v>92</v>
      </c>
      <c r="C10" s="9"/>
      <c r="D10" s="9"/>
      <c r="E10" s="110"/>
      <c r="F10" s="137"/>
      <c r="G10" s="71"/>
      <c r="H10" s="1135"/>
    </row>
    <row r="11" spans="1:64">
      <c r="A11" s="77">
        <v>1</v>
      </c>
      <c r="B11" s="33"/>
      <c r="C11" s="15" t="s">
        <v>68</v>
      </c>
      <c r="D11" s="109"/>
      <c r="E11" s="36"/>
      <c r="F11" s="137" t="str">
        <f>+"WP03 W&amp;S Line "&amp;'WP03 W&amp;S'!A10&amp;" Column "&amp;'WP03 W&amp;S'!C5</f>
        <v>WP03 W&amp;S Line 2 Column B</v>
      </c>
      <c r="G11" s="102">
        <f>'WP03 W&amp;S'!C10</f>
        <v>11674377.959999995</v>
      </c>
      <c r="H11" s="1136">
        <f>'WP03 W&amp;S'!C10</f>
        <v>11674377.959999995</v>
      </c>
    </row>
    <row r="12" spans="1:64">
      <c r="A12" s="77">
        <f>+A11+1</f>
        <v>2</v>
      </c>
      <c r="B12" s="33"/>
      <c r="C12" s="477" t="s">
        <v>529</v>
      </c>
      <c r="D12" s="937"/>
      <c r="E12" s="76" t="str">
        <f>"(Note "&amp;A$337&amp;")"</f>
        <v>(Note FF)</v>
      </c>
      <c r="F12" s="138" t="str">
        <f>+"WP02 Support Line "&amp;'WP02 Support'!A18&amp;" Column "&amp;'WP02 Support'!D5</f>
        <v>WP02 Support Line 5 Column C</v>
      </c>
      <c r="G12" s="690">
        <f>+'WP02 Support'!D18</f>
        <v>40496.21</v>
      </c>
      <c r="H12" s="1137">
        <f>+'WP02 Support'!D18</f>
        <v>40496.21</v>
      </c>
    </row>
    <row r="13" spans="1:64">
      <c r="A13" s="77">
        <f>+A12+1</f>
        <v>3</v>
      </c>
      <c r="B13" s="33"/>
      <c r="C13" s="15" t="s">
        <v>528</v>
      </c>
      <c r="D13" s="109"/>
      <c r="E13" s="36"/>
      <c r="F13" s="938" t="str">
        <f>"(Line "&amp;A11&amp;" + Line "&amp;A12&amp;")"</f>
        <v>(Line 1 + Line 2)</v>
      </c>
      <c r="G13" s="762">
        <f>+G11+G12</f>
        <v>11714874.169999996</v>
      </c>
      <c r="H13" s="1136">
        <f>+H11+H12</f>
        <v>11714874.169999996</v>
      </c>
    </row>
    <row r="14" spans="1:64">
      <c r="A14" s="77"/>
      <c r="B14" s="33"/>
      <c r="C14" s="15"/>
      <c r="D14" s="109"/>
      <c r="E14" s="36"/>
      <c r="F14" s="137"/>
      <c r="G14" s="469"/>
      <c r="H14" s="1136"/>
    </row>
    <row r="15" spans="1:64">
      <c r="A15" s="77">
        <f>+A13+1</f>
        <v>4</v>
      </c>
      <c r="B15" s="33"/>
      <c r="C15" s="15" t="s">
        <v>69</v>
      </c>
      <c r="D15" s="15"/>
      <c r="E15" s="36"/>
      <c r="F15" s="137" t="str">
        <f>+"WP03 W&amp;S Line "&amp;'WP03 W&amp;S'!A27&amp;" Column "&amp;'WP03 W&amp;S'!C5</f>
        <v>WP03 W&amp;S Line 5 Column B</v>
      </c>
      <c r="G15" s="102">
        <f>'WP03 W&amp;S'!C27</f>
        <v>211147271.09000012</v>
      </c>
      <c r="H15" s="1136">
        <f>'WP03 W&amp;S'!C27</f>
        <v>211147271.09000012</v>
      </c>
    </row>
    <row r="16" spans="1:64">
      <c r="A16" s="77">
        <f>+A15+1</f>
        <v>5</v>
      </c>
      <c r="B16" s="33"/>
      <c r="C16" s="477" t="s">
        <v>531</v>
      </c>
      <c r="D16" s="937"/>
      <c r="E16" s="76" t="str">
        <f>"(Note "&amp;A$337&amp;")"</f>
        <v>(Note FF)</v>
      </c>
      <c r="F16" s="138" t="str">
        <f>+"WP02 Support Line "&amp;'WP02 Support'!A28&amp;" Column "&amp;'WP02 Support'!D5</f>
        <v>WP02 Support Line 8 Column C</v>
      </c>
      <c r="G16" s="690">
        <f>+'WP02 Support'!D28</f>
        <v>40496.21</v>
      </c>
      <c r="H16" s="1137">
        <f>+'WP02 Support'!D28</f>
        <v>40496.21</v>
      </c>
    </row>
    <row r="17" spans="1:10">
      <c r="A17" s="77">
        <f>+A16+1</f>
        <v>6</v>
      </c>
      <c r="B17" s="33"/>
      <c r="C17" s="15" t="s">
        <v>530</v>
      </c>
      <c r="D17" s="109"/>
      <c r="E17" s="36"/>
      <c r="F17" s="50" t="str">
        <f>"(Line "&amp;A15&amp;" + Line "&amp;A16&amp;")"</f>
        <v>(Line 4 + Line 5)</v>
      </c>
      <c r="G17" s="102">
        <f>+G15+G16</f>
        <v>211187767.30000013</v>
      </c>
      <c r="H17" s="1136">
        <f>+H15+H16</f>
        <v>211187767.30000013</v>
      </c>
      <c r="J17" s="279"/>
    </row>
    <row r="18" spans="1:10">
      <c r="A18" s="77"/>
      <c r="B18" s="33"/>
      <c r="C18" s="15"/>
      <c r="D18" s="15"/>
      <c r="E18" s="36"/>
      <c r="F18" s="137"/>
      <c r="G18" s="102"/>
      <c r="H18" s="1136"/>
      <c r="J18" s="279"/>
    </row>
    <row r="19" spans="1:10">
      <c r="A19" s="77">
        <f>+A17+1</f>
        <v>7</v>
      </c>
      <c r="B19" s="33"/>
      <c r="C19" s="15" t="s">
        <v>533</v>
      </c>
      <c r="D19" s="15"/>
      <c r="E19" s="36"/>
      <c r="F19" s="137" t="str">
        <f>+"WP03 W&amp;S Line "&amp;'WP03 W&amp;S'!A33&amp;" Column "&amp;'WP03 W&amp;S'!C5</f>
        <v>WP03 W&amp;S Line 8 Column B</v>
      </c>
      <c r="G19" s="102">
        <f>'WP03 W&amp;S'!C33</f>
        <v>36750268.700000025</v>
      </c>
      <c r="H19" s="1136">
        <f>'WP03 W&amp;S'!C33</f>
        <v>36750268.700000025</v>
      </c>
      <c r="J19" s="279"/>
    </row>
    <row r="20" spans="1:10">
      <c r="A20" s="77">
        <f>+A19+1</f>
        <v>8</v>
      </c>
      <c r="B20" s="33"/>
      <c r="C20" s="477" t="s">
        <v>527</v>
      </c>
      <c r="D20" s="937"/>
      <c r="E20" s="76" t="str">
        <f>"(Note "&amp;A$337&amp;")"</f>
        <v>(Note FF)</v>
      </c>
      <c r="F20" s="138" t="str">
        <f>+"WP02 Support Line "&amp;'WP02 Support'!A38&amp;" Column "&amp;'WP02 Support'!D5</f>
        <v>WP02 Support Line 11 Column C</v>
      </c>
      <c r="G20" s="690">
        <f>+'WP02 Support'!D38</f>
        <v>0</v>
      </c>
      <c r="H20" s="1137">
        <f>+'WP02 Support'!D38</f>
        <v>0</v>
      </c>
      <c r="J20" s="279"/>
    </row>
    <row r="21" spans="1:10">
      <c r="A21" s="77">
        <f>+A20+1</f>
        <v>9</v>
      </c>
      <c r="B21" s="33"/>
      <c r="C21" s="15" t="s">
        <v>788</v>
      </c>
      <c r="D21" s="109"/>
      <c r="E21" s="36"/>
      <c r="F21" s="50" t="str">
        <f>"(Line "&amp;A19&amp;" + Line "&amp;A20&amp;")"</f>
        <v>(Line 7 + Line 8)</v>
      </c>
      <c r="G21" s="102">
        <f>+G19+G20</f>
        <v>36750268.700000025</v>
      </c>
      <c r="H21" s="1136">
        <f>+H19+H20</f>
        <v>36750268.700000025</v>
      </c>
      <c r="J21" s="279"/>
    </row>
    <row r="22" spans="1:10">
      <c r="A22" s="77"/>
      <c r="B22" s="33"/>
      <c r="C22" s="15"/>
      <c r="D22" s="15"/>
      <c r="E22" s="36"/>
      <c r="F22" s="137"/>
      <c r="G22" s="102"/>
      <c r="H22" s="1136"/>
      <c r="J22" s="279"/>
    </row>
    <row r="23" spans="1:10">
      <c r="A23" s="77">
        <f>+A21+1</f>
        <v>10</v>
      </c>
      <c r="B23" s="33"/>
      <c r="C23" s="299" t="s">
        <v>532</v>
      </c>
      <c r="D23" s="300"/>
      <c r="E23" s="301"/>
      <c r="F23" s="942" t="str">
        <f>"(Line "&amp;A17&amp;" - Line "&amp;A21&amp;")"</f>
        <v>(Line 6 - Line 9)</v>
      </c>
      <c r="G23" s="944">
        <f>+G17-G21</f>
        <v>174437498.60000011</v>
      </c>
      <c r="H23" s="1138">
        <f>+H17-H21</f>
        <v>174437498.60000011</v>
      </c>
      <c r="J23" s="279"/>
    </row>
    <row r="24" spans="1:10" ht="16.2" thickBot="1">
      <c r="A24" s="77">
        <f>+A23+1</f>
        <v>11</v>
      </c>
      <c r="B24" s="3" t="s">
        <v>106</v>
      </c>
      <c r="C24" s="3"/>
      <c r="D24" s="19"/>
      <c r="E24" s="53"/>
      <c r="F24" s="943" t="str">
        <f>"(Line "&amp;A13&amp;" / Line "&amp;A23&amp;")"</f>
        <v>(Line 3 / Line 10)</v>
      </c>
      <c r="G24" s="1466">
        <f>IF(G23=0,0,+G13/G23)</f>
        <v>6.7158003663324653E-2</v>
      </c>
      <c r="H24" s="1515">
        <f>IF(H23=0,0,+H13/H23)</f>
        <v>6.7158003663324653E-2</v>
      </c>
      <c r="J24" s="279"/>
    </row>
    <row r="25" spans="1:10" ht="16.2" thickTop="1">
      <c r="A25" s="77"/>
      <c r="B25" s="33"/>
      <c r="C25" s="5"/>
      <c r="D25" s="9"/>
      <c r="E25" s="110"/>
      <c r="F25" s="144"/>
      <c r="G25" s="88"/>
      <c r="H25" s="1139"/>
      <c r="J25" s="279"/>
    </row>
    <row r="26" spans="1:10" ht="15.6">
      <c r="A26" s="114"/>
      <c r="B26" s="5" t="s">
        <v>114</v>
      </c>
      <c r="C26" s="9"/>
      <c r="D26" s="15"/>
      <c r="E26" s="15"/>
      <c r="F26" s="133"/>
      <c r="G26" s="89"/>
      <c r="H26" s="1140"/>
      <c r="J26" s="279"/>
    </row>
    <row r="27" spans="1:10">
      <c r="A27" s="77">
        <f>+A24+1</f>
        <v>12</v>
      </c>
      <c r="B27" s="15"/>
      <c r="C27" s="15" t="s">
        <v>317</v>
      </c>
      <c r="D27" s="471"/>
      <c r="E27" s="36" t="str">
        <f>"(Notes "&amp;A$307&amp;" "&amp;"&amp; "&amp;A$324&amp;")"</f>
        <v>(Notes B &amp; S)</v>
      </c>
      <c r="F27" s="137" t="str">
        <f>+"WP04 PIS Line "&amp;'WP04 PIS'!$A$23&amp;", Line "&amp;'WP04 PIS'!$A$21&amp;" Column "&amp;'WP04 PIS'!$L$5</f>
        <v>WP04 PIS Line 18, Line 16 Column K</v>
      </c>
      <c r="G27" s="102">
        <f>+'WP04 PIS'!L23</f>
        <v>10048429599.908463</v>
      </c>
      <c r="H27" s="1136">
        <f>+'WP04 PIS'!L21</f>
        <v>10443915388.299999</v>
      </c>
      <c r="J27" s="279"/>
    </row>
    <row r="28" spans="1:10">
      <c r="A28" s="77">
        <f>+A27+1</f>
        <v>13</v>
      </c>
      <c r="B28" s="9"/>
      <c r="C28" s="477" t="s">
        <v>318</v>
      </c>
      <c r="D28" s="68"/>
      <c r="E28" s="76" t="str">
        <f>"(Notes "&amp;A$307&amp;" "&amp;"&amp; "&amp;A$324&amp;")"</f>
        <v>(Notes B &amp; S)</v>
      </c>
      <c r="F28" s="138" t="str">
        <f>+"WP04 PIS Line "&amp;'WP04 PIS'!$A$42&amp;", Line "&amp;'WP04 PIS'!$A$40&amp;" Column "&amp;'WP04 PIS'!$L$5</f>
        <v>WP04 PIS Line 37, Line 35 Column K</v>
      </c>
      <c r="G28" s="690">
        <f>+'WP04 PIS'!L42</f>
        <v>4448301865.8461542</v>
      </c>
      <c r="H28" s="1137">
        <f>+'WP04 PIS'!L40</f>
        <v>4545099080</v>
      </c>
      <c r="J28" s="279"/>
    </row>
    <row r="29" spans="1:10">
      <c r="A29" s="77">
        <f>+A28+1</f>
        <v>14</v>
      </c>
      <c r="B29" s="15"/>
      <c r="C29" s="15" t="s">
        <v>319</v>
      </c>
      <c r="D29" s="15"/>
      <c r="E29" s="36"/>
      <c r="F29" s="137" t="str">
        <f>"(Line "&amp;A27&amp;" - Line "&amp;A28&amp;")"</f>
        <v>(Line 12 - Line 13)</v>
      </c>
      <c r="G29" s="102">
        <f>+G27-G28</f>
        <v>5600127734.0623083</v>
      </c>
      <c r="H29" s="1136">
        <f>+H27-H28</f>
        <v>5898816308.2999992</v>
      </c>
      <c r="J29" s="279"/>
    </row>
    <row r="30" spans="1:10">
      <c r="A30" s="114"/>
      <c r="B30" s="15"/>
      <c r="C30" s="15"/>
      <c r="D30" s="15"/>
      <c r="E30" s="36"/>
      <c r="F30" s="133"/>
      <c r="G30" s="681"/>
      <c r="H30" s="1141"/>
      <c r="J30" s="279"/>
    </row>
    <row r="31" spans="1:10">
      <c r="A31" s="77">
        <f>+A29+1</f>
        <v>15</v>
      </c>
      <c r="B31" s="15"/>
      <c r="C31" s="15" t="str">
        <f>+B50</f>
        <v>TOTAL Plant In Service - Transmission</v>
      </c>
      <c r="D31" s="471"/>
      <c r="E31" s="36"/>
      <c r="F31" s="138" t="str">
        <f>"(Line "&amp;A50&amp;")"</f>
        <v>(Line 27)</v>
      </c>
      <c r="G31" s="681">
        <f>+G50</f>
        <v>1919746888.6364429</v>
      </c>
      <c r="H31" s="1141">
        <f>+H50</f>
        <v>2127333553.8409162</v>
      </c>
      <c r="J31" s="279"/>
    </row>
    <row r="32" spans="1:10" ht="16.2" thickBot="1">
      <c r="A32" s="77">
        <f>+A31+1</f>
        <v>16</v>
      </c>
      <c r="B32" s="163" t="s">
        <v>61</v>
      </c>
      <c r="C32" s="163"/>
      <c r="D32" s="472"/>
      <c r="E32" s="473"/>
      <c r="F32" s="134" t="str">
        <f>"(Line "&amp;A31&amp;" / Line "&amp;A27&amp;")"</f>
        <v>(Line 15 / Line 12)</v>
      </c>
      <c r="G32" s="1466">
        <f>IF(G27=0,0,+G31/G27)</f>
        <v>0.19104944404983751</v>
      </c>
      <c r="H32" s="1466">
        <f>IF(H27=0,0,+H31/H27)</f>
        <v>0.20369119001328787</v>
      </c>
      <c r="J32" s="279"/>
    </row>
    <row r="33" spans="1:10" ht="15.6" thickTop="1">
      <c r="A33" s="114"/>
      <c r="B33" s="9"/>
      <c r="C33" s="9"/>
      <c r="D33" s="9"/>
      <c r="E33" s="36"/>
      <c r="F33" s="133"/>
      <c r="G33" s="89"/>
      <c r="H33" s="1140"/>
    </row>
    <row r="34" spans="1:10">
      <c r="A34" s="77">
        <f>+A32+1</f>
        <v>17</v>
      </c>
      <c r="B34" s="33"/>
      <c r="C34" s="61" t="str">
        <f>+B63</f>
        <v>TOTAL Net Property, Plant &amp; Equipment - Transmission</v>
      </c>
      <c r="D34" s="9"/>
      <c r="E34" s="36" t="str">
        <f>"(Notes "&amp;A$307&amp;" &amp; "&amp;A$324&amp;")"</f>
        <v>(Notes B &amp; S)</v>
      </c>
      <c r="F34" s="138" t="str">
        <f>"(Line "&amp;A63&amp;")"</f>
        <v>(Line 35)</v>
      </c>
      <c r="G34" s="681">
        <f>+G63</f>
        <v>1416996309.896831</v>
      </c>
      <c r="H34" s="1141">
        <f>+H63</f>
        <v>1615840630.0472505</v>
      </c>
    </row>
    <row r="35" spans="1:10" ht="16.2" thickBot="1">
      <c r="A35" s="77">
        <f>+A34+1</f>
        <v>18</v>
      </c>
      <c r="B35" s="163" t="s">
        <v>111</v>
      </c>
      <c r="C35" s="163"/>
      <c r="D35" s="472"/>
      <c r="E35" s="473"/>
      <c r="F35" s="134" t="str">
        <f>"(Line "&amp;A34&amp;" / Line "&amp;A29&amp;")"</f>
        <v>(Line 17 / Line 14)</v>
      </c>
      <c r="G35" s="1466">
        <f>IF(G29=0,0,+G34/G29)</f>
        <v>0.25302928382830797</v>
      </c>
      <c r="H35" s="1466">
        <f>IF(H29=0,0,+H34/H29)</f>
        <v>0.27392624987722752</v>
      </c>
    </row>
    <row r="36" spans="1:10" ht="16.2" thickTop="1">
      <c r="A36" s="127"/>
      <c r="B36" s="33"/>
      <c r="C36" s="5"/>
      <c r="D36" s="9"/>
      <c r="E36" s="110"/>
      <c r="F36" s="144"/>
      <c r="G36" s="88"/>
      <c r="H36" s="1142"/>
    </row>
    <row r="37" spans="1:10" s="280" customFormat="1" ht="16.2" customHeight="1">
      <c r="A37" s="1131" t="s">
        <v>110</v>
      </c>
      <c r="B37" s="262"/>
      <c r="C37" s="263"/>
      <c r="D37" s="263"/>
      <c r="E37" s="264"/>
      <c r="F37" s="265"/>
      <c r="G37" s="266"/>
      <c r="H37" s="1143"/>
      <c r="J37" s="1712"/>
    </row>
    <row r="38" spans="1:10" s="280" customFormat="1" ht="15.6">
      <c r="A38" s="113"/>
      <c r="B38" s="20"/>
      <c r="C38" s="9"/>
      <c r="D38" s="9"/>
      <c r="E38" s="52"/>
      <c r="F38" s="133"/>
      <c r="G38" s="90"/>
      <c r="H38" s="1144"/>
      <c r="J38" s="1712"/>
    </row>
    <row r="39" spans="1:10" ht="15.6">
      <c r="A39" s="114"/>
      <c r="B39" s="5" t="str">
        <f>"Plant In Service "</f>
        <v xml:space="preserve">Plant In Service </v>
      </c>
      <c r="C39" s="9"/>
      <c r="D39" s="9"/>
      <c r="E39" s="110"/>
      <c r="F39" s="137"/>
      <c r="G39" s="71"/>
      <c r="H39" s="1145"/>
    </row>
    <row r="40" spans="1:10" ht="15.6">
      <c r="A40" s="114">
        <f>+A35+1</f>
        <v>19</v>
      </c>
      <c r="B40" s="5"/>
      <c r="C40" s="9" t="s">
        <v>505</v>
      </c>
      <c r="D40" s="9"/>
      <c r="E40" s="36" t="str">
        <f>"(Notes "&amp;A$307&amp;" &amp; "&amp;A$324&amp;")"</f>
        <v>(Notes B &amp; S)</v>
      </c>
      <c r="F40" s="137" t="str">
        <f>+"WP04 PIS Line "&amp;'WP04 PIS'!$A$23&amp;", Line "&amp;'WP04 PIS'!$A$21&amp;" Column "&amp;'WP04 PIS'!$G$5</f>
        <v>WP04 PIS Line 18, Line 16 Column F</v>
      </c>
      <c r="G40" s="102">
        <f>+'WP04 PIS'!G23</f>
        <v>1879107153.9115384</v>
      </c>
      <c r="H40" s="1136">
        <f>+'WP04 PIS'!G21</f>
        <v>2003998510.73</v>
      </c>
      <c r="I40" s="1039"/>
    </row>
    <row r="41" spans="1:10" ht="15.6">
      <c r="A41" s="114">
        <f>+A40+1</f>
        <v>20</v>
      </c>
      <c r="B41" s="5"/>
      <c r="C41" s="68" t="s">
        <v>506</v>
      </c>
      <c r="D41" s="68"/>
      <c r="E41" s="1057" t="str">
        <f>"(Notes "&amp;A$307&amp;" &amp; "&amp;A$324&amp;")"</f>
        <v>(Notes B &amp; S)</v>
      </c>
      <c r="F41" s="278" t="str">
        <f>+"WP05 CapAds Line "&amp;'WP05 CapAds'!$A$22&amp;" Column "&amp;'WP05 CapAds'!$D$6</f>
        <v>WP05 CapAds Line 16 Column C</v>
      </c>
      <c r="G41" s="690"/>
      <c r="H41" s="1137">
        <f>+'WP05 CapAds'!D22</f>
        <v>81005436.569722578</v>
      </c>
    </row>
    <row r="42" spans="1:10" ht="14.4" customHeight="1">
      <c r="A42" s="114">
        <f>+A41+1</f>
        <v>21</v>
      </c>
      <c r="B42" s="33"/>
      <c r="C42" s="61" t="s">
        <v>43</v>
      </c>
      <c r="D42" s="9"/>
      <c r="E42" s="1040"/>
      <c r="F42" s="137" t="str">
        <f>"(Line"&amp;A40&amp;" + Line "&amp;A41&amp;")"</f>
        <v>(Line19 + Line 20)</v>
      </c>
      <c r="G42" s="102">
        <f>+G40+G41</f>
        <v>1879107153.9115384</v>
      </c>
      <c r="H42" s="1136">
        <f>+H40+H41</f>
        <v>2085003947.2997227</v>
      </c>
    </row>
    <row r="43" spans="1:10" ht="15.6">
      <c r="A43" s="77"/>
      <c r="B43" s="33"/>
      <c r="C43" s="5"/>
      <c r="D43" s="9"/>
      <c r="E43" s="36"/>
      <c r="F43" s="137"/>
      <c r="G43" s="74"/>
      <c r="H43" s="1146"/>
    </row>
    <row r="44" spans="1:10">
      <c r="A44" s="77">
        <f>+A42+1</f>
        <v>22</v>
      </c>
      <c r="B44" s="33"/>
      <c r="C44" s="61" t="s">
        <v>198</v>
      </c>
      <c r="D44" s="9"/>
      <c r="E44" s="36" t="str">
        <f>"(Notes "&amp;A$307&amp;" &amp; "&amp;A$324&amp;")"</f>
        <v>(Notes B &amp; S)</v>
      </c>
      <c r="F44" s="137" t="str">
        <f>+"WP04 PIS Line "&amp;'WP04 PIS'!$A$23&amp;", Line "&amp;'WP04 PIS'!$A$21&amp;" Column "&amp;'WP04 PIS'!$K$5</f>
        <v>WP04 PIS Line 18, Line 16 Column J</v>
      </c>
      <c r="G44" s="102">
        <f>+'WP04 PIS'!K23</f>
        <v>200452804.35846153</v>
      </c>
      <c r="H44" s="1136">
        <f>+'WP04 PIS'!K21</f>
        <v>218385828.43000001</v>
      </c>
    </row>
    <row r="45" spans="1:10">
      <c r="A45" s="77">
        <f>+A44+1</f>
        <v>23</v>
      </c>
      <c r="B45" s="33"/>
      <c r="C45" s="61" t="s">
        <v>271</v>
      </c>
      <c r="D45" s="9"/>
      <c r="E45" s="36" t="str">
        <f>"(Notes "&amp;A$307&amp;" &amp; "&amp;A$324&amp;")"</f>
        <v>(Notes B &amp; S)</v>
      </c>
      <c r="F45" s="138" t="str">
        <f>+"WP04 PIS Line "&amp;'WP04 PIS'!$A$23&amp;", Line "&amp;'WP04 PIS'!$A$21&amp;" Column "&amp;'WP04 PIS'!$C$5</f>
        <v>WP04 PIS Line 18, Line 16 Column B</v>
      </c>
      <c r="G45" s="690">
        <f>+'WP04 PIS'!C23</f>
        <v>404683329.95307702</v>
      </c>
      <c r="H45" s="1137">
        <f>+'WP04 PIS'!C21</f>
        <v>411912933.18000001</v>
      </c>
    </row>
    <row r="46" spans="1:10">
      <c r="A46" s="77">
        <f>+A45+1</f>
        <v>24</v>
      </c>
      <c r="B46" s="33"/>
      <c r="C46" s="299" t="s">
        <v>270</v>
      </c>
      <c r="D46" s="302"/>
      <c r="E46" s="303"/>
      <c r="F46" s="137" t="str">
        <f>"(Line"&amp;A44&amp;" + Line "&amp;A45&amp;")"</f>
        <v>(Line22 + Line 23)</v>
      </c>
      <c r="G46" s="102">
        <f>SUM(G44:G45)</f>
        <v>605136134.31153858</v>
      </c>
      <c r="H46" s="1136">
        <f>SUM(H44:H45)</f>
        <v>630298761.61000001</v>
      </c>
    </row>
    <row r="47" spans="1:10">
      <c r="A47" s="77">
        <f>+A46+1</f>
        <v>25</v>
      </c>
      <c r="B47" s="33"/>
      <c r="C47" s="58" t="s">
        <v>115</v>
      </c>
      <c r="D47" s="61"/>
      <c r="E47" s="110"/>
      <c r="F47" s="138" t="str">
        <f>"(Line "&amp;A$24&amp;")"</f>
        <v>(Line 11)</v>
      </c>
      <c r="G47" s="83">
        <f>+G24</f>
        <v>6.7158003663324653E-2</v>
      </c>
      <c r="H47" s="1147">
        <f>H$24</f>
        <v>6.7158003663324653E-2</v>
      </c>
    </row>
    <row r="48" spans="1:10">
      <c r="A48" s="77">
        <f>+A47+1</f>
        <v>26</v>
      </c>
      <c r="B48" s="15"/>
      <c r="C48" s="299" t="s">
        <v>272</v>
      </c>
      <c r="D48" s="305"/>
      <c r="E48" s="301"/>
      <c r="F48" s="137" t="str">
        <f>"(Line "&amp;A46&amp;" * Line "&amp;A47&amp;")"</f>
        <v>(Line 24 * Line 25)</v>
      </c>
      <c r="G48" s="102">
        <f>+G46*G47</f>
        <v>40639734.724904425</v>
      </c>
      <c r="H48" s="1136">
        <f>+H46*H47</f>
        <v>42329606.541193374</v>
      </c>
    </row>
    <row r="49" spans="1:10" ht="15.6">
      <c r="A49" s="114"/>
      <c r="B49" s="15"/>
      <c r="C49" s="5"/>
      <c r="D49" s="15"/>
      <c r="E49" s="36"/>
      <c r="F49" s="133"/>
      <c r="G49" s="102"/>
      <c r="H49" s="1136"/>
    </row>
    <row r="50" spans="1:10" s="1" customFormat="1" ht="16.2" thickBot="1">
      <c r="A50" s="77">
        <f>+A48+1</f>
        <v>27</v>
      </c>
      <c r="B50" s="163" t="s">
        <v>320</v>
      </c>
      <c r="C50" s="163"/>
      <c r="D50" s="163"/>
      <c r="E50" s="164"/>
      <c r="F50" s="474" t="str">
        <f>"(Line "&amp;A42&amp;" + Line "&amp;A48&amp;")"</f>
        <v>(Line 21 + Line 26)</v>
      </c>
      <c r="G50" s="619">
        <f>+G48+G42</f>
        <v>1919746888.6364429</v>
      </c>
      <c r="H50" s="1148">
        <f>+H48+H42</f>
        <v>2127333553.8409162</v>
      </c>
      <c r="J50" s="1711"/>
    </row>
    <row r="51" spans="1:10" ht="15.6" thickTop="1">
      <c r="A51" s="114"/>
      <c r="B51" s="15"/>
      <c r="C51" s="15"/>
      <c r="D51" s="15"/>
      <c r="E51" s="36"/>
      <c r="F51" s="133"/>
      <c r="G51" s="681"/>
      <c r="H51" s="1141"/>
      <c r="I51" s="1751"/>
    </row>
    <row r="52" spans="1:10" ht="15.6">
      <c r="A52" s="77"/>
      <c r="B52" s="5" t="s">
        <v>88</v>
      </c>
      <c r="C52" s="5"/>
      <c r="D52" s="50"/>
      <c r="E52" s="110"/>
      <c r="F52" s="137"/>
      <c r="G52" s="102"/>
      <c r="H52" s="1136"/>
    </row>
    <row r="53" spans="1:10" s="280" customFormat="1">
      <c r="A53" s="77">
        <f>+A50+1</f>
        <v>28</v>
      </c>
      <c r="B53" s="33"/>
      <c r="C53" s="61" t="s">
        <v>169</v>
      </c>
      <c r="D53" s="34"/>
      <c r="E53" s="36" t="str">
        <f>"(Notes "&amp;A$307&amp;" &amp; "&amp;A$324&amp;")"</f>
        <v>(Notes B &amp; S)</v>
      </c>
      <c r="F53" s="137" t="str">
        <f>+"WP04 PIS Line "&amp;'WP04 PIS'!$A$42&amp;", Line "&amp;'WP04 PIS'!$A$40&amp;" Column "&amp;'WP04 PIS'!$G$5</f>
        <v>WP04 PIS Line 37, Line 35 Column F</v>
      </c>
      <c r="G53" s="761">
        <f>+'WP04 PIS'!G42</f>
        <v>475677922.76923078</v>
      </c>
      <c r="H53" s="1137">
        <f>+'WP04 PIS'!G40</f>
        <v>483750388</v>
      </c>
      <c r="J53" s="1712"/>
    </row>
    <row r="54" spans="1:10" s="280" customFormat="1">
      <c r="A54" s="77"/>
      <c r="B54" s="33"/>
      <c r="C54" s="61"/>
      <c r="D54" s="34"/>
      <c r="E54" s="15"/>
      <c r="F54" s="137"/>
      <c r="G54" s="762"/>
      <c r="H54" s="1136"/>
      <c r="J54" s="1712"/>
    </row>
    <row r="55" spans="1:10">
      <c r="A55" s="77">
        <f>+A53+1</f>
        <v>29</v>
      </c>
      <c r="B55" s="33"/>
      <c r="C55" s="61" t="s">
        <v>137</v>
      </c>
      <c r="D55" s="9"/>
      <c r="E55" s="36" t="str">
        <f>"(Notes "&amp;A$307&amp;", "&amp;A$324&amp;" &amp; "&amp;A$343&amp;")"</f>
        <v>(Notes B, S &amp; LL)</v>
      </c>
      <c r="F55" s="137" t="str">
        <f>+"WP04 PIS Line "&amp;'WP04 PIS'!$A$42&amp;", Line "&amp;'WP04 PIS'!$A$40&amp;" Column "&amp;'WP04 PIS'!$K$5</f>
        <v>WP04 PIS Line 37, Line 35 Column J</v>
      </c>
      <c r="G55" s="102">
        <f>+'WP04 PIS'!K42</f>
        <v>66340044.307692304</v>
      </c>
      <c r="H55" s="1136">
        <f>+'WP04 PIS'!K40</f>
        <v>68029004</v>
      </c>
      <c r="J55" s="469" t="s">
        <v>1626</v>
      </c>
    </row>
    <row r="56" spans="1:10">
      <c r="A56" s="77">
        <f>+A55+1</f>
        <v>30</v>
      </c>
      <c r="B56" s="33"/>
      <c r="C56" s="63" t="s">
        <v>168</v>
      </c>
      <c r="D56" s="68"/>
      <c r="E56" s="76" t="str">
        <f>"(Notes "&amp;A$307&amp;" &amp; "&amp;A$324&amp;")"</f>
        <v>(Notes B &amp; S)</v>
      </c>
      <c r="F56" s="138" t="str">
        <f>+"WP04 PIS Line "&amp;'WP04 PIS'!$A$42&amp;", Line "&amp;'WP04 PIS'!$A$40&amp;" Column "&amp;'WP04 PIS'!$C$5</f>
        <v>WP04 PIS Line 37, Line 35 Column B</v>
      </c>
      <c r="G56" s="690">
        <f>+'WP04 PIS'!C42</f>
        <v>336778787.30769229</v>
      </c>
      <c r="H56" s="1137">
        <f>+'WP04 PIS'!C40</f>
        <v>345064511</v>
      </c>
    </row>
    <row r="57" spans="1:10">
      <c r="A57" s="77">
        <f>+A56+1</f>
        <v>31</v>
      </c>
      <c r="B57" s="33"/>
      <c r="C57" s="61" t="s">
        <v>499</v>
      </c>
      <c r="D57" s="9"/>
      <c r="E57" s="110"/>
      <c r="F57" s="137" t="str">
        <f>"(Sum Line "&amp;A55&amp;" + Line "&amp;A56&amp;")"</f>
        <v>(Sum Line 29 + Line 30)</v>
      </c>
      <c r="G57" s="102">
        <f>SUM(G55:G56)</f>
        <v>403118831.61538458</v>
      </c>
      <c r="H57" s="1136">
        <f>SUM(H55:H56)</f>
        <v>413093515</v>
      </c>
    </row>
    <row r="58" spans="1:10">
      <c r="A58" s="77">
        <f>+A57+1</f>
        <v>32</v>
      </c>
      <c r="B58" s="33"/>
      <c r="C58" s="61" t="str">
        <f>+C47</f>
        <v>Wage &amp; Salary Allocation Factor</v>
      </c>
      <c r="D58" s="9"/>
      <c r="E58" s="110"/>
      <c r="F58" s="138" t="str">
        <f>"(Line "&amp;A$24&amp;")"</f>
        <v>(Line 11)</v>
      </c>
      <c r="G58" s="83">
        <f>+G24</f>
        <v>6.7158003663324653E-2</v>
      </c>
      <c r="H58" s="1147">
        <f>H$24</f>
        <v>6.7158003663324653E-2</v>
      </c>
    </row>
    <row r="59" spans="1:10">
      <c r="A59" s="77">
        <f>+A58+1</f>
        <v>33</v>
      </c>
      <c r="B59" s="15"/>
      <c r="C59" s="299" t="s">
        <v>273</v>
      </c>
      <c r="D59" s="305"/>
      <c r="E59" s="303"/>
      <c r="F59" s="137" t="str">
        <f>"(Line "&amp;A57&amp;" * Line "&amp;A58&amp;")"</f>
        <v>(Line 31 * Line 32)</v>
      </c>
      <c r="G59" s="102">
        <f>+G58*G57</f>
        <v>27072655.970381152</v>
      </c>
      <c r="H59" s="1136">
        <f>+H58*H57</f>
        <v>27742535.793665659</v>
      </c>
    </row>
    <row r="60" spans="1:10">
      <c r="A60" s="114"/>
      <c r="B60" s="15"/>
      <c r="C60" s="15"/>
      <c r="D60" s="15"/>
      <c r="E60" s="36"/>
      <c r="F60" s="133"/>
      <c r="G60" s="710"/>
      <c r="H60" s="1149"/>
    </row>
    <row r="61" spans="1:10" ht="16.2" thickBot="1">
      <c r="A61" s="77">
        <f>+A59+1</f>
        <v>34</v>
      </c>
      <c r="B61" s="163" t="s">
        <v>321</v>
      </c>
      <c r="C61" s="163"/>
      <c r="D61" s="163"/>
      <c r="E61" s="164"/>
      <c r="F61" s="474" t="str">
        <f>"(Line "&amp;A53&amp;" + Line "&amp;A59&amp;")"</f>
        <v>(Line 28 + Line 33)</v>
      </c>
      <c r="G61" s="619">
        <f>+G59+G53</f>
        <v>502750578.73961192</v>
      </c>
      <c r="H61" s="1148">
        <f>+H59+H53</f>
        <v>511492923.79366565</v>
      </c>
    </row>
    <row r="62" spans="1:10" ht="15.6" thickTop="1">
      <c r="A62" s="114"/>
      <c r="B62" s="15"/>
      <c r="C62" s="15"/>
      <c r="D62" s="15"/>
      <c r="E62" s="36"/>
      <c r="F62" s="133"/>
      <c r="G62" s="681"/>
      <c r="H62" s="1141"/>
    </row>
    <row r="63" spans="1:10" ht="16.2" thickBot="1">
      <c r="A63" s="77">
        <f>+A61+1</f>
        <v>35</v>
      </c>
      <c r="B63" s="163" t="s">
        <v>322</v>
      </c>
      <c r="C63" s="163"/>
      <c r="D63" s="163"/>
      <c r="E63" s="164"/>
      <c r="F63" s="474" t="str">
        <f>"(Line "&amp;A50&amp;" - Line "&amp;A61&amp;")"</f>
        <v>(Line 27 - Line 34)</v>
      </c>
      <c r="G63" s="619">
        <f>+G50-G61</f>
        <v>1416996309.896831</v>
      </c>
      <c r="H63" s="1148">
        <f>+H50-H61</f>
        <v>1615840630.0472505</v>
      </c>
    </row>
    <row r="64" spans="1:10" ht="15.6" thickTop="1">
      <c r="A64" s="114"/>
      <c r="B64" s="15"/>
      <c r="C64" s="15"/>
      <c r="D64" s="15"/>
      <c r="E64" s="36"/>
      <c r="F64" s="133"/>
      <c r="G64" s="70"/>
      <c r="H64" s="1150"/>
    </row>
    <row r="65" spans="1:19" ht="15.6">
      <c r="A65" s="1131" t="s">
        <v>436</v>
      </c>
      <c r="B65" s="262"/>
      <c r="C65" s="263"/>
      <c r="D65" s="263"/>
      <c r="E65" s="264"/>
      <c r="F65" s="265"/>
      <c r="G65" s="266"/>
      <c r="H65" s="1143"/>
    </row>
    <row r="66" spans="1:19" ht="15.6">
      <c r="A66" s="115"/>
      <c r="B66" s="116"/>
      <c r="C66" s="116"/>
      <c r="D66" s="116"/>
      <c r="E66" s="28"/>
      <c r="F66" s="136"/>
      <c r="G66" s="87"/>
      <c r="H66" s="1140"/>
    </row>
    <row r="67" spans="1:19" ht="15.6">
      <c r="A67" s="111"/>
      <c r="B67" s="5" t="s">
        <v>150</v>
      </c>
      <c r="C67" s="1054"/>
      <c r="D67" s="1054"/>
      <c r="E67" s="476" t="str">
        <f>"(Note "&amp;A$334&amp;")"</f>
        <v>(Note CC)</v>
      </c>
      <c r="F67" s="133"/>
      <c r="G67" s="87"/>
      <c r="H67" s="1140"/>
    </row>
    <row r="68" spans="1:19" ht="15.6">
      <c r="A68" s="111">
        <f>+A63+1</f>
        <v>36</v>
      </c>
      <c r="B68" s="116"/>
      <c r="C68" s="9" t="s">
        <v>141</v>
      </c>
      <c r="D68" s="9"/>
      <c r="E68" s="36" t="str">
        <f>"(Note "&amp;A$341&amp;")"</f>
        <v>(Note JJ)</v>
      </c>
      <c r="F68" s="133" t="str">
        <f>+"WP06 ADIT Line "&amp;'WP06 ADIT'!$A$13&amp;" Columns "&amp;'WP06 ADIT'!$G$5&amp;", "&amp;'WP06 ADIT'!$K$5</f>
        <v>WP06 ADIT Line 7 Columns F, J</v>
      </c>
      <c r="G68" s="681">
        <f>+'WP06 ADIT'!G$13</f>
        <v>-23781138.68</v>
      </c>
      <c r="H68" s="1141">
        <f>+'WP06 ADIT'!K13</f>
        <v>-22688369.619999997</v>
      </c>
    </row>
    <row r="69" spans="1:19" ht="15.6">
      <c r="A69" s="111">
        <f t="shared" ref="A69:A75" si="0">+A68+1</f>
        <v>37</v>
      </c>
      <c r="B69" s="116"/>
      <c r="C69" s="9" t="s">
        <v>164</v>
      </c>
      <c r="D69" s="9"/>
      <c r="E69" s="36" t="str">
        <f>"(Note "&amp;A$341&amp;")"</f>
        <v>(Note JJ)</v>
      </c>
      <c r="F69" s="133" t="str">
        <f>+"WP06 ADIT Line "&amp;'WP06 ADIT'!$A$13&amp;" Columns "&amp;'WP06 ADIT'!$H$5&amp;", "&amp;'WP06 ADIT'!$L$5</f>
        <v>WP06 ADIT Line 7 Columns G, K</v>
      </c>
      <c r="G69" s="681">
        <f>+'WP06 ADIT'!H13</f>
        <v>-1398275343.0558748</v>
      </c>
      <c r="H69" s="1141">
        <f>+'WP06 ADIT'!L13</f>
        <v>-1428946959.1417501</v>
      </c>
    </row>
    <row r="70" spans="1:19" ht="15.6">
      <c r="A70" s="111">
        <f t="shared" si="0"/>
        <v>38</v>
      </c>
      <c r="B70" s="116"/>
      <c r="C70" s="58" t="str">
        <f>+B32</f>
        <v>Gross Plant Allocator</v>
      </c>
      <c r="D70" s="14"/>
      <c r="E70" s="33"/>
      <c r="F70" s="137" t="str">
        <f>"(Line "&amp;A$32&amp;")"</f>
        <v>(Line 16)</v>
      </c>
      <c r="G70" s="94">
        <f>+G$32</f>
        <v>0.19104944404983751</v>
      </c>
      <c r="H70" s="1151">
        <f>+H$32</f>
        <v>0.20369119001328787</v>
      </c>
    </row>
    <row r="71" spans="1:19" ht="15.6">
      <c r="A71" s="111">
        <f t="shared" si="0"/>
        <v>39</v>
      </c>
      <c r="B71" s="116"/>
      <c r="C71" s="58" t="str">
        <f>+"Total Transmission Allocated "&amp;C69</f>
        <v>Total Transmission Allocated Plant</v>
      </c>
      <c r="D71" s="9"/>
      <c r="E71" s="36"/>
      <c r="F71" s="137" t="str">
        <f>"(Line "&amp;A69&amp;" * Line "&amp;A70&amp;")"</f>
        <v>(Line 37 * Line 38)</v>
      </c>
      <c r="G71" s="662">
        <f>+G69*G70</f>
        <v>-267139726.91942072</v>
      </c>
      <c r="H71" s="1152">
        <f>+H69*H70</f>
        <v>-291063906.57345212</v>
      </c>
    </row>
    <row r="72" spans="1:19" ht="15.6">
      <c r="A72" s="111">
        <f t="shared" si="0"/>
        <v>40</v>
      </c>
      <c r="B72" s="116"/>
      <c r="C72" s="9" t="s">
        <v>149</v>
      </c>
      <c r="D72" s="9"/>
      <c r="E72" s="36" t="str">
        <f>"(Note "&amp;A$341&amp;")"</f>
        <v>(Note JJ)</v>
      </c>
      <c r="F72" s="133" t="str">
        <f>+"WP06 ADIT Line "&amp;'WP06 ADIT'!$A$13&amp;" Columns "&amp;'WP06 ADIT'!$I$5&amp;", "&amp;'WP06 ADIT'!$M$5</f>
        <v>WP06 ADIT Line 7 Columns H, L</v>
      </c>
      <c r="G72" s="681">
        <f>+'WP06 ADIT'!I13</f>
        <v>-127336002.30000001</v>
      </c>
      <c r="H72" s="1141">
        <f>+'WP06 ADIT'!M13</f>
        <v>-134250861</v>
      </c>
    </row>
    <row r="73" spans="1:19" ht="15.6">
      <c r="A73" s="111">
        <f t="shared" si="0"/>
        <v>41</v>
      </c>
      <c r="B73" s="116"/>
      <c r="C73" s="9" t="s">
        <v>115</v>
      </c>
      <c r="D73" s="9"/>
      <c r="E73" s="52"/>
      <c r="F73" s="133" t="str">
        <f>"(Line "&amp;A$24&amp;")"</f>
        <v>(Line 11)</v>
      </c>
      <c r="G73" s="270">
        <f>+G$24</f>
        <v>6.7158003663324653E-2</v>
      </c>
      <c r="H73" s="1147">
        <f>H$24</f>
        <v>6.7158003663324653E-2</v>
      </c>
    </row>
    <row r="74" spans="1:19">
      <c r="A74" s="111">
        <f t="shared" si="0"/>
        <v>42</v>
      </c>
      <c r="B74" s="117"/>
      <c r="C74" s="25" t="str">
        <f>+"Total Transmission Allocated "&amp;C72</f>
        <v>Total Transmission Allocated Labor</v>
      </c>
      <c r="D74" s="68"/>
      <c r="E74" s="76"/>
      <c r="F74" s="138" t="str">
        <f>"(Line "&amp;A72&amp;" * Line "&amp;A73&amp;")"</f>
        <v>(Line 40 * Line 41)</v>
      </c>
      <c r="G74" s="945">
        <f>+G72*G73</f>
        <v>-8551631.7089365181</v>
      </c>
      <c r="H74" s="1153">
        <f>+H72*H73</f>
        <v>-9016019.8148424886</v>
      </c>
      <c r="K74" s="280"/>
      <c r="L74" s="280"/>
    </row>
    <row r="75" spans="1:19" s="280" customFormat="1">
      <c r="A75" s="111">
        <f t="shared" si="0"/>
        <v>43</v>
      </c>
      <c r="B75" s="9" t="s">
        <v>993</v>
      </c>
      <c r="C75" s="9"/>
      <c r="D75" s="15"/>
      <c r="F75" s="137" t="str">
        <f>"(Line "&amp;A68&amp;" + Line "&amp;A71&amp;" + Line "&amp;A74&amp;")"</f>
        <v>(Line 36 + Line 39 + Line 42)</v>
      </c>
      <c r="G75" s="102">
        <f>+G68+G71+G74</f>
        <v>-299472497.30835724</v>
      </c>
      <c r="H75" s="1136">
        <f>+H68+H71+H74</f>
        <v>-322768296.00829458</v>
      </c>
      <c r="J75" s="1712"/>
    </row>
    <row r="76" spans="1:19">
      <c r="A76" s="114"/>
      <c r="B76" s="15"/>
      <c r="C76" s="58"/>
      <c r="D76" s="15"/>
      <c r="E76" s="36"/>
      <c r="F76" s="133"/>
      <c r="G76" s="92"/>
      <c r="H76" s="1154"/>
      <c r="K76" s="280"/>
      <c r="L76" s="280"/>
    </row>
    <row r="77" spans="1:19">
      <c r="A77" s="114">
        <f>+A75+1</f>
        <v>44</v>
      </c>
      <c r="B77" s="15" t="s">
        <v>523</v>
      </c>
      <c r="C77" s="58"/>
      <c r="D77" s="15"/>
      <c r="E77" s="36" t="str">
        <f>"(Note "&amp;A314&amp;")"</f>
        <v>(Note I)</v>
      </c>
      <c r="F77" s="139" t="s">
        <v>702</v>
      </c>
      <c r="G77" s="224">
        <v>0</v>
      </c>
      <c r="H77" s="1155">
        <v>0</v>
      </c>
      <c r="J77" s="1712" t="s">
        <v>1666</v>
      </c>
      <c r="K77" s="280"/>
      <c r="L77" s="280"/>
      <c r="M77" s="280"/>
      <c r="N77" s="280"/>
      <c r="O77" s="280"/>
      <c r="P77" s="280"/>
      <c r="Q77" s="280"/>
      <c r="R77" s="280"/>
      <c r="S77" s="280"/>
    </row>
    <row r="78" spans="1:19">
      <c r="A78" s="114"/>
      <c r="B78" s="15"/>
      <c r="C78" s="58"/>
      <c r="D78" s="15"/>
      <c r="E78" s="36"/>
      <c r="F78" s="133"/>
      <c r="G78" s="92"/>
      <c r="H78" s="1154"/>
      <c r="K78" s="280"/>
      <c r="L78" s="280"/>
    </row>
    <row r="79" spans="1:19" ht="15.6">
      <c r="A79" s="77"/>
      <c r="B79" s="37" t="s">
        <v>736</v>
      </c>
      <c r="C79" s="9"/>
      <c r="D79" s="9"/>
      <c r="E79" s="36"/>
      <c r="F79" s="142"/>
      <c r="G79" s="89"/>
      <c r="H79" s="1140"/>
      <c r="K79" s="280"/>
      <c r="L79" s="280"/>
    </row>
    <row r="80" spans="1:19" ht="15.6">
      <c r="A80" s="77">
        <f>+A77+1</f>
        <v>45</v>
      </c>
      <c r="B80" s="41"/>
      <c r="C80" s="9" t="s">
        <v>141</v>
      </c>
      <c r="D80" s="9"/>
      <c r="E80" s="36" t="str">
        <f>"(Notes "&amp;A$337&amp;" &amp; "&amp;A$342&amp;")"</f>
        <v>(Notes FF &amp; KK)</v>
      </c>
      <c r="F80" s="133" t="str">
        <f>+"WP02 Support Line "&amp;'WP02 Support'!A$87&amp;" Column "&amp;'WP02 Support'!F$41</f>
        <v>WP02 Support Line 27 Column E</v>
      </c>
      <c r="G80" s="681">
        <f>+'WP02 Support'!F87</f>
        <v>0</v>
      </c>
      <c r="H80" s="1141">
        <f>+'WP02 Support'!F87</f>
        <v>0</v>
      </c>
      <c r="K80" s="280"/>
      <c r="L80" s="280"/>
    </row>
    <row r="81" spans="1:12">
      <c r="A81" s="77">
        <f>+A80+1</f>
        <v>46</v>
      </c>
      <c r="B81" s="117"/>
      <c r="C81" s="9" t="s">
        <v>164</v>
      </c>
      <c r="D81" s="9"/>
      <c r="E81" s="36" t="str">
        <f>"(Notes "&amp;A$337&amp;" &amp; "&amp;A$342&amp;")"</f>
        <v>(Notes FF &amp; KK)</v>
      </c>
      <c r="F81" s="133" t="str">
        <f>+"WP02 Support Line "&amp;'WP02 Support'!A$87&amp;" Column "&amp;'WP02 Support'!G$41</f>
        <v>WP02 Support Line 27 Column F</v>
      </c>
      <c r="G81" s="681">
        <f>+'WP02 Support'!G87</f>
        <v>0</v>
      </c>
      <c r="H81" s="1141">
        <f>+'WP02 Support'!G87</f>
        <v>0</v>
      </c>
      <c r="K81" s="280"/>
      <c r="L81" s="280"/>
    </row>
    <row r="82" spans="1:12">
      <c r="A82" s="77">
        <f t="shared" ref="A82:A87" si="1">+A81+1</f>
        <v>47</v>
      </c>
      <c r="B82" s="33"/>
      <c r="C82" s="58" t="s">
        <v>93</v>
      </c>
      <c r="D82" s="14"/>
      <c r="E82" s="33"/>
      <c r="F82" s="137" t="str">
        <f>"(Line "&amp;A$35&amp;")"</f>
        <v>(Line 18)</v>
      </c>
      <c r="G82" s="94">
        <f>+G$35</f>
        <v>0.25302928382830797</v>
      </c>
      <c r="H82" s="1151">
        <f>+H$35</f>
        <v>0.27392624987722752</v>
      </c>
      <c r="K82" s="280"/>
      <c r="L82" s="280"/>
    </row>
    <row r="83" spans="1:12">
      <c r="A83" s="77">
        <f t="shared" si="1"/>
        <v>48</v>
      </c>
      <c r="B83" s="117"/>
      <c r="C83" s="58" t="str">
        <f>+"Total Transmission Allocated "&amp;C81</f>
        <v>Total Transmission Allocated Plant</v>
      </c>
      <c r="D83" s="9"/>
      <c r="E83" s="36"/>
      <c r="F83" s="137" t="str">
        <f>"(Line "&amp;A81&amp;" * Line "&amp;A82&amp;")"</f>
        <v>(Line 46 * Line 47)</v>
      </c>
      <c r="G83" s="662">
        <f>+G81*G82</f>
        <v>0</v>
      </c>
      <c r="H83" s="1152">
        <f>+H81*H82</f>
        <v>0</v>
      </c>
      <c r="K83" s="280"/>
      <c r="L83" s="280"/>
    </row>
    <row r="84" spans="1:12">
      <c r="A84" s="77">
        <f t="shared" si="1"/>
        <v>49</v>
      </c>
      <c r="B84" s="117"/>
      <c r="C84" s="9" t="s">
        <v>149</v>
      </c>
      <c r="D84" s="9"/>
      <c r="E84" s="36" t="str">
        <f>"(Notes "&amp;A$337&amp;" &amp; "&amp;A$342&amp;")"</f>
        <v>(Notes FF &amp; KK)</v>
      </c>
      <c r="F84" s="133" t="str">
        <f>+"WP02 Support Line "&amp;'WP02 Support'!A$87&amp;" Column "&amp;'WP02 Support'!H$41</f>
        <v>WP02 Support Line 27 Column G</v>
      </c>
      <c r="G84" s="681">
        <f>+'WP02 Support'!H87</f>
        <v>256812781.84230763</v>
      </c>
      <c r="H84" s="1141">
        <f>+'WP02 Support'!H87</f>
        <v>256812781.84230763</v>
      </c>
      <c r="K84" s="280"/>
      <c r="L84" s="280"/>
    </row>
    <row r="85" spans="1:12" s="280" customFormat="1" ht="15.6">
      <c r="A85" s="77">
        <f t="shared" si="1"/>
        <v>50</v>
      </c>
      <c r="B85" s="51"/>
      <c r="C85" s="9" t="s">
        <v>115</v>
      </c>
      <c r="D85" s="9"/>
      <c r="E85" s="52"/>
      <c r="F85" s="133" t="str">
        <f>"(Line "&amp;A$24&amp;")"</f>
        <v>(Line 11)</v>
      </c>
      <c r="G85" s="270">
        <f>+G$24</f>
        <v>6.7158003663324653E-2</v>
      </c>
      <c r="H85" s="1147">
        <f>H$24</f>
        <v>6.7158003663324653E-2</v>
      </c>
      <c r="J85" s="1712"/>
    </row>
    <row r="86" spans="1:12">
      <c r="A86" s="77">
        <f t="shared" si="1"/>
        <v>51</v>
      </c>
      <c r="B86" s="117"/>
      <c r="C86" s="25" t="str">
        <f>+"Total Transmission Allocated "&amp;C84</f>
        <v>Total Transmission Allocated Labor</v>
      </c>
      <c r="D86" s="68"/>
      <c r="E86" s="76"/>
      <c r="F86" s="138" t="str">
        <f>"(Line "&amp;A84&amp;" * Line "&amp;A85&amp;")"</f>
        <v>(Line 49 * Line 50)</v>
      </c>
      <c r="G86" s="945">
        <f>+G84*G85</f>
        <v>17247033.74375429</v>
      </c>
      <c r="H86" s="1153">
        <f>+H84*H85</f>
        <v>17247033.74375429</v>
      </c>
      <c r="K86" s="280"/>
      <c r="L86" s="280"/>
    </row>
    <row r="87" spans="1:12">
      <c r="A87" s="114">
        <f t="shared" si="1"/>
        <v>52</v>
      </c>
      <c r="B87" s="15" t="s">
        <v>323</v>
      </c>
      <c r="C87" s="15"/>
      <c r="D87" s="15"/>
      <c r="E87" s="36" t="str">
        <f>"(Note "&amp;A$327&amp;")"</f>
        <v>(Note V)</v>
      </c>
      <c r="F87" s="137" t="str">
        <f>"(Line "&amp;A80&amp;" + Line "&amp;A83&amp;" + Line "&amp;A86&amp;")"</f>
        <v>(Line 45 + Line 48 + Line 51)</v>
      </c>
      <c r="G87" s="662">
        <f>+G80+G83+G86</f>
        <v>17247033.74375429</v>
      </c>
      <c r="H87" s="1152">
        <f>+H80+H83+H86</f>
        <v>17247033.74375429</v>
      </c>
      <c r="K87" s="280"/>
      <c r="L87" s="280"/>
    </row>
    <row r="88" spans="1:12" ht="15.6">
      <c r="A88" s="77"/>
      <c r="B88" s="5"/>
      <c r="C88" s="9"/>
      <c r="D88" s="84"/>
      <c r="E88" s="36"/>
      <c r="F88" s="137"/>
      <c r="G88" s="91"/>
      <c r="H88" s="1156"/>
      <c r="K88" s="280"/>
      <c r="L88" s="280"/>
    </row>
    <row r="89" spans="1:12" ht="15.6">
      <c r="A89" s="77"/>
      <c r="B89" s="41" t="s">
        <v>87</v>
      </c>
      <c r="C89" s="15"/>
      <c r="D89" s="15"/>
      <c r="E89" s="36"/>
      <c r="F89" s="143"/>
      <c r="G89" s="93"/>
      <c r="H89" s="1157"/>
      <c r="K89" s="280"/>
      <c r="L89" s="280"/>
    </row>
    <row r="90" spans="1:12">
      <c r="A90" s="77">
        <f>+A87+1</f>
        <v>53</v>
      </c>
      <c r="B90" s="117"/>
      <c r="C90" s="58" t="s">
        <v>78</v>
      </c>
      <c r="D90" s="9"/>
      <c r="E90" s="36" t="str">
        <f>"(Note "&amp;A$342&amp;")"</f>
        <v>(Note KK)</v>
      </c>
      <c r="F90" s="15" t="str">
        <f>+"WP07 M&amp;S Line "&amp;'WP07 M&amp;S'!A9&amp;" Column "&amp;'WP07 M&amp;S'!Q$6</f>
        <v>WP07 M&amp;S Line 2 Column P</v>
      </c>
      <c r="G90" s="682">
        <f>'WP07 M&amp;S'!Q9</f>
        <v>20525384.257599771</v>
      </c>
      <c r="H90" s="1158">
        <f>'WP07 M&amp;S'!Q9</f>
        <v>20525384.257599771</v>
      </c>
      <c r="K90" s="280"/>
      <c r="L90" s="280"/>
    </row>
    <row r="91" spans="1:12">
      <c r="A91" s="114">
        <f>+A90+1</f>
        <v>54</v>
      </c>
      <c r="B91" s="15"/>
      <c r="C91" s="15" t="s">
        <v>650</v>
      </c>
      <c r="D91" s="9"/>
      <c r="E91" s="36" t="str">
        <f>"(Notes "&amp;A$306&amp;" &amp; "&amp;A$342&amp;")"</f>
        <v>(Notes A &amp; KK)</v>
      </c>
      <c r="F91" s="15" t="str">
        <f>+"WP07 M&amp;S Line "&amp;'WP07 M&amp;S'!A10&amp;" Column "&amp;'WP07 M&amp;S'!Q$6</f>
        <v>WP07 M&amp;S Line 3 Column P</v>
      </c>
      <c r="G91" s="695">
        <f>'WP07 M&amp;S'!Q10</f>
        <v>18359332.237223078</v>
      </c>
      <c r="H91" s="1159">
        <f>'WP07 M&amp;S'!Q10</f>
        <v>18359332.237223078</v>
      </c>
      <c r="K91" s="280"/>
      <c r="L91" s="280"/>
    </row>
    <row r="92" spans="1:12" s="280" customFormat="1" ht="15.6">
      <c r="A92" s="114">
        <f>+A91+1</f>
        <v>55</v>
      </c>
      <c r="B92" s="51"/>
      <c r="C92" s="9" t="s">
        <v>115</v>
      </c>
      <c r="D92" s="9"/>
      <c r="E92" s="52"/>
      <c r="F92" s="15" t="str">
        <f>"(Line "&amp;A$24&amp;")"</f>
        <v>(Line 11)</v>
      </c>
      <c r="G92" s="270">
        <f>+G$24</f>
        <v>6.7158003663324653E-2</v>
      </c>
      <c r="H92" s="1147">
        <f>H$24</f>
        <v>6.7158003663324653E-2</v>
      </c>
      <c r="J92" s="1712"/>
    </row>
    <row r="93" spans="1:12">
      <c r="A93" s="77">
        <f>+A92+1</f>
        <v>56</v>
      </c>
      <c r="B93" s="117"/>
      <c r="C93" s="58" t="s">
        <v>122</v>
      </c>
      <c r="D93" s="9"/>
      <c r="E93" s="36"/>
      <c r="F93" s="138" t="str">
        <f>"(Line "&amp;A91&amp;" * Line "&amp;A92&amp;")"</f>
        <v>(Line 54 * Line 55)</v>
      </c>
      <c r="G93" s="682">
        <f>+G91*G92</f>
        <v>1232976.1016436219</v>
      </c>
      <c r="H93" s="1158">
        <f>+H91*H92</f>
        <v>1232976.1016436219</v>
      </c>
      <c r="K93" s="280"/>
      <c r="L93" s="280"/>
    </row>
    <row r="94" spans="1:12" ht="15.6">
      <c r="A94" s="77">
        <f>+A93+1</f>
        <v>57</v>
      </c>
      <c r="B94" s="117"/>
      <c r="C94" s="306" t="s">
        <v>86</v>
      </c>
      <c r="D94" s="307"/>
      <c r="E94" s="308"/>
      <c r="F94" s="137" t="str">
        <f>"(Line "&amp;A93&amp;" + Line "&amp;A90&amp;")"</f>
        <v>(Line 56 + Line 53)</v>
      </c>
      <c r="G94" s="683">
        <f>+G90+G93</f>
        <v>21758360.359243393</v>
      </c>
      <c r="H94" s="1160">
        <f>+H90+H93</f>
        <v>21758360.359243393</v>
      </c>
      <c r="K94" s="280"/>
      <c r="L94" s="280"/>
    </row>
    <row r="95" spans="1:12">
      <c r="A95" s="77"/>
      <c r="B95" s="117"/>
      <c r="C95" s="9"/>
      <c r="D95" s="9"/>
      <c r="E95" s="36"/>
      <c r="F95" s="142"/>
      <c r="G95" s="89"/>
      <c r="H95" s="1140"/>
      <c r="K95" s="280"/>
      <c r="L95" s="280"/>
    </row>
    <row r="96" spans="1:12" ht="15.6">
      <c r="A96" s="77"/>
      <c r="B96" s="41" t="s">
        <v>89</v>
      </c>
      <c r="C96" s="9"/>
      <c r="D96" s="9"/>
      <c r="E96" s="36"/>
      <c r="F96" s="142"/>
      <c r="G96" s="89"/>
      <c r="H96" s="1140"/>
      <c r="K96" s="280"/>
      <c r="L96" s="280"/>
    </row>
    <row r="97" spans="1:20" ht="15.6">
      <c r="A97" s="77">
        <f>+A94+1</f>
        <v>58</v>
      </c>
      <c r="B97" s="41"/>
      <c r="C97" s="9" t="s">
        <v>141</v>
      </c>
      <c r="D97" s="9"/>
      <c r="E97" s="36" t="str">
        <f>"(Note "&amp;A$342&amp;")"</f>
        <v>(Note KK)</v>
      </c>
      <c r="F97" s="133" t="str">
        <f>+"WP08 Prepay Line "&amp;'WP08 Prepay'!A$61&amp;" Column "&amp;'WP08 Prepay'!F$5</f>
        <v>WP08 Prepay Line 8 Column E</v>
      </c>
      <c r="G97" s="681">
        <f>+'WP08 Prepay'!F$61</f>
        <v>0</v>
      </c>
      <c r="H97" s="1141">
        <f>+'WP08 Prepay'!F61</f>
        <v>0</v>
      </c>
      <c r="K97" s="280"/>
      <c r="L97" s="280"/>
    </row>
    <row r="98" spans="1:20">
      <c r="A98" s="77">
        <f>+A97+1</f>
        <v>59</v>
      </c>
      <c r="B98" s="117"/>
      <c r="C98" s="9" t="s">
        <v>164</v>
      </c>
      <c r="D98" s="9"/>
      <c r="E98" s="36" t="str">
        <f>"(Note "&amp;A$342&amp;")"</f>
        <v>(Note KK)</v>
      </c>
      <c r="F98" s="133" t="str">
        <f>+"WP08 Prepay Line "&amp;'WP08 Prepay'!A61&amp;" Column "&amp;'WP08 Prepay'!G$5</f>
        <v>WP08 Prepay Line 8 Column F</v>
      </c>
      <c r="G98" s="681">
        <f>+'WP08 Prepay'!G61</f>
        <v>4587490.8123076865</v>
      </c>
      <c r="H98" s="1141">
        <f>+'WP08 Prepay'!G61</f>
        <v>4587490.8123076865</v>
      </c>
      <c r="K98" s="280"/>
      <c r="L98" s="280"/>
    </row>
    <row r="99" spans="1:20">
      <c r="A99" s="77">
        <f t="shared" ref="A99:A104" si="2">+A98+1</f>
        <v>60</v>
      </c>
      <c r="B99" s="33"/>
      <c r="C99" s="58" t="s">
        <v>93</v>
      </c>
      <c r="D99" s="14"/>
      <c r="E99" s="33"/>
      <c r="F99" s="137" t="str">
        <f>"(Line "&amp;A$35&amp;")"</f>
        <v>(Line 18)</v>
      </c>
      <c r="G99" s="94">
        <f>+G$35</f>
        <v>0.25302928382830797</v>
      </c>
      <c r="H99" s="1151">
        <f>+H$35</f>
        <v>0.27392624987722752</v>
      </c>
      <c r="K99" s="280"/>
      <c r="L99" s="280"/>
    </row>
    <row r="100" spans="1:20">
      <c r="A100" s="77">
        <f t="shared" si="2"/>
        <v>61</v>
      </c>
      <c r="B100" s="117"/>
      <c r="C100" s="58" t="str">
        <f>+"Total Transmission Allocated "&amp;C98</f>
        <v>Total Transmission Allocated Plant</v>
      </c>
      <c r="D100" s="9"/>
      <c r="E100" s="36"/>
      <c r="F100" s="137" t="str">
        <f>"(Line "&amp;A98&amp;" * Line "&amp;A99&amp;")"</f>
        <v>(Line 59 * Line 60)</v>
      </c>
      <c r="G100" s="662">
        <f>+G98*G99</f>
        <v>1160769.5148071568</v>
      </c>
      <c r="H100" s="1152">
        <f>+H98*H99</f>
        <v>1256634.1545616807</v>
      </c>
      <c r="K100" s="280"/>
      <c r="L100" s="280"/>
    </row>
    <row r="101" spans="1:20">
      <c r="A101" s="77">
        <f t="shared" si="2"/>
        <v>62</v>
      </c>
      <c r="B101" s="117"/>
      <c r="C101" s="9" t="s">
        <v>149</v>
      </c>
      <c r="D101" s="9"/>
      <c r="E101" s="36" t="str">
        <f>"(Note "&amp;A$342&amp;")"</f>
        <v>(Note KK)</v>
      </c>
      <c r="F101" s="133" t="str">
        <f>+"WP08 Prepay Line "&amp;'WP08 Prepay'!A$61&amp;" Column "&amp;'WP08 Prepay'!H$5</f>
        <v>WP08 Prepay Line 8 Column G</v>
      </c>
      <c r="G101" s="681">
        <f>+'WP08 Prepay'!H61</f>
        <v>632429.36538461538</v>
      </c>
      <c r="H101" s="1141">
        <f>+'WP08 Prepay'!H61</f>
        <v>632429.36538461538</v>
      </c>
      <c r="K101" s="280"/>
      <c r="L101" s="280"/>
    </row>
    <row r="102" spans="1:20" s="280" customFormat="1" ht="15.6">
      <c r="A102" s="114">
        <f t="shared" si="2"/>
        <v>63</v>
      </c>
      <c r="B102" s="51"/>
      <c r="C102" s="9" t="s">
        <v>115</v>
      </c>
      <c r="D102" s="9"/>
      <c r="E102" s="52"/>
      <c r="F102" s="133" t="str">
        <f>"(Line "&amp;A$24&amp;")"</f>
        <v>(Line 11)</v>
      </c>
      <c r="G102" s="270">
        <f>+G$24</f>
        <v>6.7158003663324653E-2</v>
      </c>
      <c r="H102" s="1147">
        <f>H$24</f>
        <v>6.7158003663324653E-2</v>
      </c>
      <c r="J102" s="1712"/>
    </row>
    <row r="103" spans="1:20">
      <c r="A103" s="77">
        <f t="shared" si="2"/>
        <v>64</v>
      </c>
      <c r="B103" s="117"/>
      <c r="C103" s="25" t="str">
        <f>+"Total Transmission Allocated "&amp;C101</f>
        <v>Total Transmission Allocated Labor</v>
      </c>
      <c r="D103" s="68"/>
      <c r="E103" s="76"/>
      <c r="F103" s="138" t="str">
        <f>"(Line "&amp;A101&amp;" * Line "&amp;A102&amp;")"</f>
        <v>(Line 62 * Line 63)</v>
      </c>
      <c r="G103" s="945">
        <f>+G101*G102</f>
        <v>42472.693637294084</v>
      </c>
      <c r="H103" s="1153">
        <f>+H101*H102</f>
        <v>42472.693637294084</v>
      </c>
      <c r="K103" s="280"/>
      <c r="L103" s="280"/>
    </row>
    <row r="104" spans="1:20">
      <c r="A104" s="77">
        <f t="shared" si="2"/>
        <v>65</v>
      </c>
      <c r="B104" s="58" t="s">
        <v>324</v>
      </c>
      <c r="C104" s="58"/>
      <c r="D104" s="34"/>
      <c r="E104" s="476" t="str">
        <f>"(Note "&amp;A$306&amp;")"</f>
        <v>(Note A)</v>
      </c>
      <c r="F104" s="137" t="str">
        <f>"(Line "&amp;A97&amp;" + Line "&amp;A100&amp;" + Line "&amp;A103&amp;")"</f>
        <v>(Line 58 + Line 61 + Line 64)</v>
      </c>
      <c r="G104" s="662">
        <f>+G97+G100+G103</f>
        <v>1203242.2084444507</v>
      </c>
      <c r="H104" s="1152">
        <f>+H97+H100+H103</f>
        <v>1299106.8481989747</v>
      </c>
      <c r="K104" s="280"/>
      <c r="L104" s="280"/>
    </row>
    <row r="105" spans="1:20">
      <c r="A105" s="77"/>
      <c r="B105" s="117"/>
      <c r="C105" s="15"/>
      <c r="D105" s="9"/>
      <c r="E105" s="33"/>
      <c r="F105" s="137"/>
      <c r="G105" s="92"/>
      <c r="H105" s="1154"/>
      <c r="K105" s="280"/>
      <c r="L105" s="280"/>
    </row>
    <row r="106" spans="1:20">
      <c r="A106" s="77">
        <f>+A104+1</f>
        <v>66</v>
      </c>
      <c r="B106" s="61" t="s">
        <v>325</v>
      </c>
      <c r="C106" s="9"/>
      <c r="D106" s="84"/>
      <c r="E106" s="36" t="str">
        <f>"(Notes "&amp;A$307&amp;" &amp; "&amp;A$308&amp;")"</f>
        <v>(Notes B &amp; C)</v>
      </c>
      <c r="F106" s="1055" t="str">
        <f>+"WP09 PHFU Line "&amp;'WP09 PHFU'!A11&amp;" Columns "&amp;'WP09 PHFU'!P5&amp;", "&amp;'WP09 PHFU'!O5</f>
        <v>WP09 PHFU Line 5 Columns O, N</v>
      </c>
      <c r="G106" s="71">
        <f>+'WP09 PHFU'!P11</f>
        <v>532590.6399999999</v>
      </c>
      <c r="H106" s="1145">
        <f>+'WP09 PHFU'!O11</f>
        <v>532590.64</v>
      </c>
      <c r="K106" s="280"/>
      <c r="L106" s="280"/>
    </row>
    <row r="107" spans="1:20">
      <c r="A107" s="77"/>
      <c r="B107" s="117"/>
      <c r="C107" s="58"/>
      <c r="D107" s="9"/>
      <c r="E107" s="33"/>
      <c r="F107" s="143"/>
      <c r="G107" s="89"/>
      <c r="H107" s="1140"/>
      <c r="K107" s="280"/>
      <c r="L107" s="280"/>
    </row>
    <row r="108" spans="1:20" ht="15.6">
      <c r="A108" s="77"/>
      <c r="B108" s="41" t="s">
        <v>90</v>
      </c>
      <c r="C108" s="15"/>
      <c r="D108" s="9"/>
      <c r="E108" s="36"/>
      <c r="F108" s="143"/>
      <c r="G108" s="89"/>
      <c r="H108" s="1140"/>
      <c r="K108" s="280"/>
      <c r="L108" s="280"/>
    </row>
    <row r="109" spans="1:20">
      <c r="A109" s="77">
        <f>+A106+1</f>
        <v>67</v>
      </c>
      <c r="B109" s="117"/>
      <c r="C109" s="58" t="s">
        <v>121</v>
      </c>
      <c r="D109" s="14"/>
      <c r="E109" s="36"/>
      <c r="F109" s="137" t="str">
        <f>"(Line "&amp;A$156&amp;")"</f>
        <v>(Line 102)</v>
      </c>
      <c r="G109" s="662">
        <f>+G156</f>
        <v>30863522.995313648</v>
      </c>
      <c r="H109" s="1152">
        <f>+H156</f>
        <v>31009891.341068812</v>
      </c>
      <c r="K109" s="280"/>
      <c r="L109" s="280"/>
      <c r="M109" s="280"/>
      <c r="N109" s="280"/>
      <c r="O109" s="280"/>
      <c r="P109" s="280"/>
      <c r="Q109" s="280"/>
      <c r="R109" s="280"/>
      <c r="S109" s="280"/>
      <c r="T109" s="280"/>
    </row>
    <row r="110" spans="1:20">
      <c r="A110" s="77">
        <f>+A109+1</f>
        <v>68</v>
      </c>
      <c r="B110" s="117"/>
      <c r="C110" s="14" t="s">
        <v>147</v>
      </c>
      <c r="D110" s="14"/>
      <c r="E110" s="36" t="str">
        <f>"(Note "&amp;A$313&amp;")"</f>
        <v>(Note H)</v>
      </c>
      <c r="F110" s="949"/>
      <c r="G110" s="693">
        <v>0</v>
      </c>
      <c r="H110" s="1172">
        <v>0</v>
      </c>
      <c r="J110" s="1712" t="s">
        <v>1671</v>
      </c>
      <c r="K110" s="280"/>
      <c r="L110" s="280"/>
    </row>
    <row r="111" spans="1:20" s="1" customFormat="1" ht="15.6">
      <c r="A111" s="77">
        <f>+A110+1</f>
        <v>69</v>
      </c>
      <c r="B111" s="118"/>
      <c r="C111" s="946" t="s">
        <v>77</v>
      </c>
      <c r="D111" s="947"/>
      <c r="E111" s="948"/>
      <c r="F111" s="137" t="str">
        <f>"(Line "&amp;A109&amp;" * Line "&amp;A110&amp;")"</f>
        <v>(Line 67 * Line 68)</v>
      </c>
      <c r="G111" s="662">
        <f>+G109*G110</f>
        <v>0</v>
      </c>
      <c r="H111" s="1152">
        <f>+H109*H110</f>
        <v>0</v>
      </c>
      <c r="J111" s="1711"/>
      <c r="K111" s="37"/>
      <c r="L111" s="37"/>
    </row>
    <row r="112" spans="1:20" s="1" customFormat="1" ht="15.6">
      <c r="A112" s="77"/>
      <c r="B112" s="118"/>
      <c r="C112" s="41"/>
      <c r="D112" s="1056"/>
      <c r="E112" s="206"/>
      <c r="F112" s="137"/>
      <c r="G112" s="684"/>
      <c r="H112" s="1162"/>
      <c r="J112" s="1711"/>
      <c r="K112" s="37"/>
      <c r="L112" s="37"/>
    </row>
    <row r="113" spans="1:14" s="1" customFormat="1" ht="15.6">
      <c r="A113" s="119"/>
      <c r="B113" s="41" t="s">
        <v>154</v>
      </c>
      <c r="C113" s="38"/>
      <c r="D113" s="56"/>
      <c r="E113" s="38"/>
      <c r="F113" s="132"/>
      <c r="G113" s="684"/>
      <c r="H113" s="1162"/>
      <c r="J113" s="1711"/>
      <c r="K113" s="37"/>
      <c r="L113" s="37"/>
    </row>
    <row r="114" spans="1:14" ht="15.6">
      <c r="A114" s="77">
        <f>+A111+1</f>
        <v>70</v>
      </c>
      <c r="B114" s="10"/>
      <c r="C114" s="15" t="s">
        <v>156</v>
      </c>
      <c r="D114" s="10"/>
      <c r="E114" s="36" t="str">
        <f>"(Notes "&amp;A$307&amp;" &amp; "&amp;A$319&amp;")"</f>
        <v>(Notes B &amp; N)</v>
      </c>
      <c r="F114" s="133"/>
      <c r="G114" s="224">
        <v>0</v>
      </c>
      <c r="H114" s="1155">
        <v>0</v>
      </c>
      <c r="J114" s="1712" t="s">
        <v>1672</v>
      </c>
      <c r="K114" s="37"/>
      <c r="L114" s="37"/>
      <c r="M114" s="1"/>
      <c r="N114" s="1"/>
    </row>
    <row r="115" spans="1:14" ht="15.6">
      <c r="A115" s="111">
        <f>+A114+1</f>
        <v>71</v>
      </c>
      <c r="B115" s="15"/>
      <c r="C115" s="477" t="s">
        <v>651</v>
      </c>
      <c r="D115" s="477"/>
      <c r="E115" s="76" t="str">
        <f>"(Notes "&amp;A$307&amp;" &amp; "&amp;A$319&amp;")"</f>
        <v>(Notes B &amp; N)</v>
      </c>
      <c r="F115" s="278"/>
      <c r="G115" s="744">
        <v>0</v>
      </c>
      <c r="H115" s="1163">
        <v>0</v>
      </c>
      <c r="J115" s="1712" t="s">
        <v>1672</v>
      </c>
      <c r="K115" s="37"/>
      <c r="L115" s="37"/>
      <c r="M115" s="1"/>
      <c r="N115" s="1"/>
    </row>
    <row r="116" spans="1:14" ht="15.6">
      <c r="A116" s="111">
        <f>+A115+1</f>
        <v>72</v>
      </c>
      <c r="B116" s="10"/>
      <c r="C116" s="10" t="s">
        <v>157</v>
      </c>
      <c r="D116" s="10"/>
      <c r="E116" s="36"/>
      <c r="F116" s="132" t="str">
        <f>"(Line "&amp;A114&amp;" - Line "&amp;A115&amp;")"</f>
        <v>(Line 70 - Line 71)</v>
      </c>
      <c r="G116" s="683">
        <f>+G114-G115</f>
        <v>0</v>
      </c>
      <c r="H116" s="1160">
        <f>+H114-H115</f>
        <v>0</v>
      </c>
      <c r="K116" s="37"/>
      <c r="L116" s="37"/>
      <c r="M116" s="1"/>
      <c r="N116" s="1"/>
    </row>
    <row r="117" spans="1:14" ht="15.6">
      <c r="A117" s="111"/>
      <c r="B117" s="10"/>
      <c r="C117" s="10"/>
      <c r="D117" s="10"/>
      <c r="E117" s="36"/>
      <c r="F117" s="136"/>
      <c r="G117" s="685"/>
      <c r="H117" s="1164"/>
      <c r="K117" s="37"/>
      <c r="L117" s="37"/>
      <c r="M117" s="1"/>
      <c r="N117" s="1"/>
    </row>
    <row r="118" spans="1:14" ht="16.2" thickBot="1">
      <c r="A118" s="111">
        <f>+A116+1</f>
        <v>73</v>
      </c>
      <c r="B118" s="4" t="s">
        <v>116</v>
      </c>
      <c r="C118" s="4"/>
      <c r="D118" s="4"/>
      <c r="E118" s="164"/>
      <c r="F118" s="1064" t="str">
        <f>"(Line "&amp;A75&amp;" + Line "&amp;A77&amp;" + Line "&amp;A87&amp;" + Line "&amp;A94&amp;" + Line "&amp;A104&amp;" + Line "&amp;A106&amp;" + Line "&amp;A111&amp;" - Line "&amp;A116&amp;" )"</f>
        <v>(Line 43 + Line 44 + Line 52 + Line 57 + Line 65 + Line 66 + Line 69 - Line 72 )</v>
      </c>
      <c r="G118" s="619">
        <f>SUM(G75,G77,G87,G104,G106,G94,G111)-G116</f>
        <v>-258731270.35691512</v>
      </c>
      <c r="H118" s="1148">
        <f>SUM(H75,H87,H104,H106,H94,H111)-H116+H77</f>
        <v>-281931204.41709799</v>
      </c>
      <c r="K118" s="37"/>
      <c r="L118" s="37"/>
      <c r="M118" s="1"/>
      <c r="N118" s="1"/>
    </row>
    <row r="119" spans="1:14" ht="16.2" thickTop="1">
      <c r="A119" s="111"/>
      <c r="B119" s="10"/>
      <c r="C119" s="10"/>
      <c r="D119" s="10"/>
      <c r="E119" s="28"/>
      <c r="F119" s="136"/>
      <c r="G119" s="685"/>
      <c r="H119" s="1164"/>
      <c r="K119" s="37"/>
      <c r="L119" s="37"/>
      <c r="M119" s="1"/>
      <c r="N119" s="1"/>
    </row>
    <row r="120" spans="1:14" ht="16.2" thickBot="1">
      <c r="A120" s="108">
        <f>+A118+1</f>
        <v>74</v>
      </c>
      <c r="B120" s="4" t="s">
        <v>112</v>
      </c>
      <c r="C120" s="4"/>
      <c r="D120" s="4"/>
      <c r="E120" s="29"/>
      <c r="F120" s="134" t="str">
        <f>"(Line "&amp;A63&amp;" + Line "&amp;A118&amp;")"</f>
        <v>(Line 35 + Line 73)</v>
      </c>
      <c r="G120" s="686">
        <f>+G63+G118</f>
        <v>1158265039.539916</v>
      </c>
      <c r="H120" s="1165">
        <f>+H63+H118</f>
        <v>1333909425.6301525</v>
      </c>
      <c r="K120" s="37"/>
      <c r="L120" s="37"/>
      <c r="M120" s="1"/>
      <c r="N120" s="1"/>
    </row>
    <row r="121" spans="1:14" ht="16.2" thickTop="1">
      <c r="A121" s="120"/>
      <c r="B121" s="10"/>
      <c r="C121" s="10"/>
      <c r="D121" s="10"/>
      <c r="E121" s="28"/>
      <c r="F121" s="136"/>
      <c r="G121" s="685"/>
      <c r="H121" s="1164"/>
      <c r="K121" s="37"/>
      <c r="L121" s="37"/>
      <c r="M121" s="1"/>
      <c r="N121" s="1"/>
    </row>
    <row r="122" spans="1:14" s="280" customFormat="1" ht="15.6">
      <c r="A122" s="1131" t="s">
        <v>131</v>
      </c>
      <c r="B122" s="262"/>
      <c r="C122" s="263"/>
      <c r="D122" s="263"/>
      <c r="E122" s="939"/>
      <c r="F122" s="265"/>
      <c r="G122" s="687"/>
      <c r="H122" s="1166"/>
      <c r="J122" s="1712"/>
      <c r="K122" s="37"/>
      <c r="L122" s="37"/>
      <c r="M122" s="1"/>
      <c r="N122" s="1"/>
    </row>
    <row r="123" spans="1:14" s="280" customFormat="1" ht="15.6">
      <c r="A123" s="121"/>
      <c r="B123" s="9"/>
      <c r="C123" s="9"/>
      <c r="D123" s="9"/>
      <c r="E123" s="52"/>
      <c r="F123" s="133"/>
      <c r="G123" s="688"/>
      <c r="H123" s="1167"/>
      <c r="J123" s="1712"/>
      <c r="K123" s="37"/>
      <c r="L123" s="37"/>
      <c r="M123" s="1"/>
      <c r="N123" s="1"/>
    </row>
    <row r="124" spans="1:14" ht="15.6">
      <c r="A124" s="108"/>
      <c r="B124" s="5" t="s">
        <v>500</v>
      </c>
      <c r="C124" s="6"/>
      <c r="D124" s="49"/>
      <c r="E124" s="55"/>
      <c r="F124" s="136"/>
      <c r="G124" s="689"/>
      <c r="H124" s="1168"/>
      <c r="K124" s="37"/>
      <c r="L124" s="37"/>
      <c r="M124" s="1"/>
      <c r="N124" s="1"/>
    </row>
    <row r="125" spans="1:14" ht="15.6">
      <c r="A125" s="77">
        <f>+A120+1</f>
        <v>75</v>
      </c>
      <c r="B125" s="33"/>
      <c r="C125" s="61" t="s">
        <v>105</v>
      </c>
      <c r="D125" s="9"/>
      <c r="E125" s="36" t="str">
        <f>"(Note "&amp;A$320&amp;")"</f>
        <v>(Note O)</v>
      </c>
      <c r="F125" s="137" t="s">
        <v>705</v>
      </c>
      <c r="G125" s="224">
        <v>40347980.519999914</v>
      </c>
      <c r="H125" s="1155">
        <v>40347980.519999914</v>
      </c>
      <c r="K125" s="37"/>
      <c r="L125" s="37"/>
      <c r="M125" s="1"/>
      <c r="N125" s="1"/>
    </row>
    <row r="126" spans="1:14" ht="15.6">
      <c r="A126" s="77">
        <f>+A125+1</f>
        <v>76</v>
      </c>
      <c r="B126" s="33"/>
      <c r="C126" s="193" t="s">
        <v>511</v>
      </c>
      <c r="D126" s="9"/>
      <c r="E126" s="36" t="str">
        <f>"(Note "&amp;A$336&amp;")"</f>
        <v>(Note EE)</v>
      </c>
      <c r="F126" s="137" t="s">
        <v>990</v>
      </c>
      <c r="G126" s="224">
        <v>10139053</v>
      </c>
      <c r="H126" s="1155">
        <v>10139053</v>
      </c>
      <c r="K126" s="37"/>
      <c r="L126" s="37"/>
      <c r="M126" s="1"/>
      <c r="N126" s="1"/>
    </row>
    <row r="127" spans="1:14" ht="15.6">
      <c r="A127" s="77">
        <f>+A126+1</f>
        <v>77</v>
      </c>
      <c r="B127" s="33"/>
      <c r="C127" s="193" t="s">
        <v>652</v>
      </c>
      <c r="D127" s="9"/>
      <c r="E127" s="950"/>
      <c r="F127" s="61" t="s">
        <v>789</v>
      </c>
      <c r="G127" s="224">
        <v>6553905.8099999996</v>
      </c>
      <c r="H127" s="1155">
        <v>6553905.8099999996</v>
      </c>
      <c r="K127" s="37"/>
      <c r="L127" s="37"/>
      <c r="M127" s="1"/>
      <c r="N127" s="1"/>
    </row>
    <row r="128" spans="1:14" ht="15.6">
      <c r="A128" s="77">
        <f>+A127+1</f>
        <v>78</v>
      </c>
      <c r="B128" s="33"/>
      <c r="C128" s="193" t="s">
        <v>991</v>
      </c>
      <c r="D128" s="9"/>
      <c r="E128" s="950"/>
      <c r="F128" s="61" t="s">
        <v>992</v>
      </c>
      <c r="G128" s="224">
        <v>0</v>
      </c>
      <c r="H128" s="1155">
        <v>0</v>
      </c>
      <c r="J128" s="1712" t="s">
        <v>1667</v>
      </c>
      <c r="K128" s="37"/>
      <c r="L128" s="37"/>
      <c r="M128" s="1"/>
      <c r="N128" s="1"/>
    </row>
    <row r="129" spans="1:14" ht="15.6">
      <c r="A129" s="77">
        <f>+A128+1</f>
        <v>79</v>
      </c>
      <c r="B129" s="33"/>
      <c r="C129" s="951" t="s">
        <v>539</v>
      </c>
      <c r="D129" s="9"/>
      <c r="E129" s="36" t="str">
        <f>"(Note "&amp;A$337&amp;")"</f>
        <v>(Note FF)</v>
      </c>
      <c r="F129" s="705" t="str">
        <f>+"WP02 Support Line "&amp;'WP02 Support'!A101&amp;" Column "&amp;'WP02 Support'!D90</f>
        <v>WP02 Support Line 32 Column C</v>
      </c>
      <c r="G129" s="690">
        <f>+'WP02 Support'!D101</f>
        <v>-4473341.79</v>
      </c>
      <c r="H129" s="1137">
        <f>+'WP02 Support'!D101</f>
        <v>-4473341.79</v>
      </c>
      <c r="K129" s="37"/>
      <c r="L129" s="37"/>
      <c r="M129" s="1"/>
      <c r="N129" s="1"/>
    </row>
    <row r="130" spans="1:14" ht="15.6">
      <c r="A130" s="77">
        <f>+A129+1</f>
        <v>80</v>
      </c>
      <c r="B130" s="9"/>
      <c r="C130" s="304" t="s">
        <v>105</v>
      </c>
      <c r="D130" s="302"/>
      <c r="E130" s="303"/>
      <c r="F130" s="137" t="str">
        <f>"(Line "&amp;A125&amp;" - Line "&amp;A126&amp;" - Line "&amp;A127&amp;" + Line "&amp;A128&amp;" + "&amp;" Line "&amp;A129&amp;")"</f>
        <v>(Line 75 - Line 76 - Line 77 + Line 78 +  Line 79)</v>
      </c>
      <c r="G130" s="74">
        <f>+G125-G126-G127+G128+G129</f>
        <v>19181679.919999916</v>
      </c>
      <c r="H130" s="1514">
        <f>+H125-H126-H127+H128+H129</f>
        <v>19181679.919999916</v>
      </c>
      <c r="K130" s="37"/>
      <c r="L130" s="37"/>
      <c r="M130" s="1"/>
      <c r="N130" s="1"/>
    </row>
    <row r="131" spans="1:14" ht="15.6">
      <c r="A131" s="77"/>
      <c r="B131" s="33"/>
      <c r="C131" s="5"/>
      <c r="D131" s="9"/>
      <c r="E131" s="110"/>
      <c r="F131" s="144"/>
      <c r="G131" s="74"/>
      <c r="H131" s="1146"/>
      <c r="K131" s="37"/>
      <c r="L131" s="37"/>
      <c r="M131" s="1"/>
      <c r="N131" s="1"/>
    </row>
    <row r="132" spans="1:14" ht="15.6">
      <c r="A132" s="77"/>
      <c r="B132" s="5" t="s">
        <v>501</v>
      </c>
      <c r="C132" s="9"/>
      <c r="D132" s="9"/>
      <c r="E132" s="110"/>
      <c r="F132" s="144"/>
      <c r="G132" s="74"/>
      <c r="H132" s="1146"/>
      <c r="K132" s="37"/>
      <c r="L132" s="37"/>
      <c r="M132" s="1"/>
      <c r="N132" s="1"/>
    </row>
    <row r="133" spans="1:14" ht="15.6">
      <c r="A133" s="77">
        <f>+A130+1</f>
        <v>81</v>
      </c>
      <c r="B133" s="33"/>
      <c r="C133" s="61" t="s">
        <v>108</v>
      </c>
      <c r="D133" s="9"/>
      <c r="E133" s="36" t="str">
        <f>"(Note "&amp;A$320&amp;")"</f>
        <v>(Note O)</v>
      </c>
      <c r="F133" s="137" t="s">
        <v>706</v>
      </c>
      <c r="G133" s="224">
        <v>185466963</v>
      </c>
      <c r="H133" s="1155">
        <v>185466963</v>
      </c>
      <c r="K133" s="37"/>
      <c r="L133" s="37"/>
      <c r="M133" s="1"/>
      <c r="N133" s="1"/>
    </row>
    <row r="134" spans="1:14">
      <c r="A134" s="77">
        <f>+A133+1</f>
        <v>82</v>
      </c>
      <c r="B134" s="33"/>
      <c r="C134" s="193" t="s">
        <v>763</v>
      </c>
      <c r="D134" s="9"/>
      <c r="E134" s="36" t="str">
        <f>"(Note "&amp;A$309&amp;")"</f>
        <v>(Note D)</v>
      </c>
      <c r="F134" s="1063" t="str">
        <f>+"WP12 PBOP Line "&amp;'WP12 PBOP'!A11&amp;" Column "&amp;'WP12 PBOP'!C6</f>
        <v>WP12 PBOP Line 3 Column B</v>
      </c>
      <c r="G134" s="102">
        <f>+'WP12 PBOP'!$C11</f>
        <v>0</v>
      </c>
      <c r="H134" s="1136">
        <f>+'WP12 PBOP'!$C11</f>
        <v>0</v>
      </c>
      <c r="K134" s="280"/>
      <c r="L134" s="280"/>
    </row>
    <row r="135" spans="1:14">
      <c r="A135" s="77">
        <f>+A134+1</f>
        <v>83</v>
      </c>
      <c r="B135" s="33"/>
      <c r="C135" s="193" t="s">
        <v>535</v>
      </c>
      <c r="D135" s="50"/>
      <c r="E135" s="36"/>
      <c r="F135" s="145" t="s">
        <v>707</v>
      </c>
      <c r="G135" s="224">
        <v>34915010.910000011</v>
      </c>
      <c r="H135" s="1155">
        <v>34915010.910000011</v>
      </c>
      <c r="K135" s="280"/>
      <c r="L135" s="280"/>
    </row>
    <row r="136" spans="1:14">
      <c r="A136" s="77">
        <f t="shared" ref="A136:A143" si="3">+A135+1</f>
        <v>84</v>
      </c>
      <c r="B136" s="33"/>
      <c r="C136" s="193" t="s">
        <v>653</v>
      </c>
      <c r="D136" s="50"/>
      <c r="E136" s="36" t="str">
        <f>"(Note "&amp;A$310&amp;")"</f>
        <v>(Note E)</v>
      </c>
      <c r="F136" s="145" t="s">
        <v>708</v>
      </c>
      <c r="G136" s="224">
        <v>2045703</v>
      </c>
      <c r="H136" s="1155">
        <v>2045703</v>
      </c>
      <c r="K136" s="280"/>
      <c r="L136" s="280"/>
    </row>
    <row r="137" spans="1:14">
      <c r="A137" s="77">
        <f t="shared" si="3"/>
        <v>85</v>
      </c>
      <c r="B137" s="33"/>
      <c r="C137" s="193" t="s">
        <v>654</v>
      </c>
      <c r="D137" s="50"/>
      <c r="E137" s="36"/>
      <c r="F137" s="145" t="s">
        <v>709</v>
      </c>
      <c r="G137" s="224">
        <v>454622.17000000004</v>
      </c>
      <c r="H137" s="1155">
        <v>454622.17000000004</v>
      </c>
      <c r="K137" s="280"/>
      <c r="L137" s="280"/>
    </row>
    <row r="138" spans="1:14">
      <c r="A138" s="77">
        <f>+A137+1</f>
        <v>86</v>
      </c>
      <c r="B138" s="33"/>
      <c r="C138" s="193" t="s">
        <v>536</v>
      </c>
      <c r="D138" s="50"/>
      <c r="E138" s="36" t="str">
        <f>"(Notes "&amp;A$329&amp;" &amp; "&amp;A$337&amp;")"</f>
        <v>(Notes X &amp; FF)</v>
      </c>
      <c r="F138" s="133" t="str">
        <f>+"WP02 Support Line "&amp;'WP02 Support'!A125&amp;" Column "&amp;'WP02 Support'!$D$5</f>
        <v>WP02 Support Line 38 Column C</v>
      </c>
      <c r="G138" s="102">
        <f>'WP02 Support'!D125</f>
        <v>-3723215</v>
      </c>
      <c r="H138" s="1136">
        <f>+G138</f>
        <v>-3723215</v>
      </c>
      <c r="K138" s="280"/>
      <c r="L138" s="280"/>
    </row>
    <row r="139" spans="1:14">
      <c r="A139" s="77">
        <f>+A138+1</f>
        <v>87</v>
      </c>
      <c r="B139" s="33"/>
      <c r="C139" s="193" t="s">
        <v>534</v>
      </c>
      <c r="D139" s="15"/>
      <c r="E139" s="36"/>
      <c r="F139" s="137" t="s">
        <v>703</v>
      </c>
      <c r="G139" s="224">
        <v>141610</v>
      </c>
      <c r="H139" s="1155">
        <v>141610</v>
      </c>
      <c r="K139" s="280"/>
      <c r="L139" s="280"/>
    </row>
    <row r="140" spans="1:14">
      <c r="A140" s="77">
        <f>+A139+1</f>
        <v>88</v>
      </c>
      <c r="B140" s="33"/>
      <c r="C140" s="193" t="s">
        <v>790</v>
      </c>
      <c r="D140" s="9"/>
      <c r="E140" s="36" t="str">
        <f>"(Note "&amp;A$337&amp;")"</f>
        <v>(Note FF)</v>
      </c>
      <c r="F140" s="705" t="str">
        <f>+"WP02 Support Line "&amp;'WP02 Support'!A112&amp;" Column "&amp;'WP02 Support'!D5</f>
        <v>WP02 Support Line 35 Column C</v>
      </c>
      <c r="G140" s="690">
        <f>+'WP02 Support'!D112</f>
        <v>-4229872.16</v>
      </c>
      <c r="H140" s="1137">
        <f>+'WP02 Support'!D112</f>
        <v>-4229872.16</v>
      </c>
      <c r="K140" s="280"/>
      <c r="L140" s="280"/>
    </row>
    <row r="141" spans="1:14" ht="15.6">
      <c r="A141" s="77">
        <f>+A140+1</f>
        <v>89</v>
      </c>
      <c r="B141" s="33"/>
      <c r="C141" s="304" t="s">
        <v>502</v>
      </c>
      <c r="D141" s="302"/>
      <c r="E141" s="301"/>
      <c r="F141" s="132" t="str">
        <f>"(Line "&amp;A133&amp;" -  Sum ("&amp;A134&amp;" to "&amp;A139&amp;")"&amp;" + "&amp;A140&amp;")"</f>
        <v>(Line 81 -  Sum (82 to 87) + 88)</v>
      </c>
      <c r="G141" s="102">
        <f>+G133-G134-G135-G136-G137-G138-G139+G140</f>
        <v>147403359.75999999</v>
      </c>
      <c r="H141" s="1136">
        <f>+H133-H134-H135-H136-H137-H138-H139+H140</f>
        <v>147403359.75999999</v>
      </c>
      <c r="K141" s="280"/>
      <c r="L141" s="280"/>
    </row>
    <row r="142" spans="1:14">
      <c r="A142" s="77">
        <f t="shared" si="3"/>
        <v>90</v>
      </c>
      <c r="B142" s="33"/>
      <c r="C142" s="61" t="s">
        <v>115</v>
      </c>
      <c r="D142" s="12"/>
      <c r="E142" s="76"/>
      <c r="F142" s="146" t="str">
        <f>"(Line "&amp;A$24&amp;")"</f>
        <v>(Line 11)</v>
      </c>
      <c r="G142" s="706">
        <f>+G24</f>
        <v>6.7158003663324653E-2</v>
      </c>
      <c r="H142" s="1147">
        <f>H$24</f>
        <v>6.7158003663324653E-2</v>
      </c>
      <c r="K142" s="280"/>
      <c r="L142" s="280"/>
    </row>
    <row r="143" spans="1:14" ht="15.6">
      <c r="A143" s="77">
        <f t="shared" si="3"/>
        <v>91</v>
      </c>
      <c r="B143" s="33"/>
      <c r="C143" s="299" t="str">
        <f>+B132</f>
        <v>Allocated General Expenses (EOY)</v>
      </c>
      <c r="D143" s="9"/>
      <c r="E143" s="9"/>
      <c r="F143" s="137" t="str">
        <f>"(Line "&amp;A141&amp;" * "&amp;A142&amp;")"</f>
        <v>(Line 89 * 90)</v>
      </c>
      <c r="G143" s="74">
        <f>+G142*G141</f>
        <v>9899315.3747484405</v>
      </c>
      <c r="H143" s="1146">
        <f>+H142*H141</f>
        <v>9899315.3747484405</v>
      </c>
      <c r="K143" s="280"/>
      <c r="L143" s="280"/>
    </row>
    <row r="144" spans="1:14" ht="15.6">
      <c r="A144" s="77"/>
      <c r="B144" s="33"/>
      <c r="C144" s="5"/>
      <c r="D144" s="9"/>
      <c r="E144" s="110"/>
      <c r="F144" s="144"/>
      <c r="G144" s="102"/>
      <c r="H144" s="1136"/>
      <c r="K144" s="280"/>
      <c r="L144" s="280"/>
    </row>
    <row r="145" spans="1:12" ht="15.6">
      <c r="A145" s="77"/>
      <c r="B145" s="5" t="s">
        <v>79</v>
      </c>
      <c r="C145" s="15"/>
      <c r="D145" s="9"/>
      <c r="E145" s="110"/>
      <c r="F145" s="144"/>
      <c r="G145" s="102"/>
      <c r="H145" s="1136"/>
      <c r="K145" s="280"/>
      <c r="L145" s="280"/>
    </row>
    <row r="146" spans="1:12">
      <c r="A146" s="77">
        <f>+A143+1</f>
        <v>92</v>
      </c>
      <c r="B146" s="117"/>
      <c r="C146" s="58" t="s">
        <v>541</v>
      </c>
      <c r="D146" s="34"/>
      <c r="E146" s="36" t="str">
        <f>"(Notes "&amp;A$312&amp;" &amp; "&amp;A$337&amp;")"</f>
        <v>(Notes G &amp; FF)</v>
      </c>
      <c r="F146" s="133" t="str">
        <f>+"WP02 Support Line "&amp;'WP02 Support'!A134&amp;" Column "&amp;'WP02 Support'!$D$5</f>
        <v>WP02 Support Line 42 Column C</v>
      </c>
      <c r="G146" s="102">
        <f>+'WP02 Support'!D134</f>
        <v>10238</v>
      </c>
      <c r="H146" s="1136">
        <f>+'WP02 Support'!D134</f>
        <v>10238</v>
      </c>
      <c r="K146" s="280"/>
      <c r="L146" s="280"/>
    </row>
    <row r="147" spans="1:12">
      <c r="A147" s="77">
        <f t="shared" ref="A147:A156" si="4">+A146+1</f>
        <v>93</v>
      </c>
      <c r="B147" s="117"/>
      <c r="C147" s="25" t="s">
        <v>655</v>
      </c>
      <c r="D147" s="35"/>
      <c r="E147" s="76" t="str">
        <f>"(Notes "&amp;A$316&amp;" &amp; "&amp;A$337&amp;")"</f>
        <v>(Notes K &amp; FF)</v>
      </c>
      <c r="F147" s="705"/>
      <c r="G147" s="744">
        <v>0</v>
      </c>
      <c r="H147" s="1163">
        <v>0</v>
      </c>
      <c r="J147" s="1712" t="s">
        <v>1673</v>
      </c>
      <c r="K147" s="280"/>
      <c r="L147" s="280"/>
    </row>
    <row r="148" spans="1:12" ht="15.6">
      <c r="A148" s="77">
        <f t="shared" si="4"/>
        <v>94</v>
      </c>
      <c r="B148" s="117"/>
      <c r="C148" s="58" t="s">
        <v>127</v>
      </c>
      <c r="D148" s="122"/>
      <c r="E148" s="36"/>
      <c r="F148" s="137" t="str">
        <f>"(Line "&amp;A146&amp;" + "&amp;A147&amp;")"</f>
        <v>(Line 92 + 93)</v>
      </c>
      <c r="G148" s="684">
        <f>+G147+G146</f>
        <v>10238</v>
      </c>
      <c r="H148" s="1162">
        <f>+H147+H146</f>
        <v>10238</v>
      </c>
      <c r="K148" s="280"/>
      <c r="L148" s="280"/>
    </row>
    <row r="149" spans="1:12">
      <c r="A149" s="77">
        <f t="shared" si="4"/>
        <v>95</v>
      </c>
      <c r="B149" s="117"/>
      <c r="C149" s="58"/>
      <c r="D149" s="122"/>
      <c r="E149" s="36"/>
      <c r="F149" s="147"/>
      <c r="G149" s="691"/>
      <c r="H149" s="1169"/>
      <c r="K149" s="280"/>
      <c r="L149" s="280"/>
    </row>
    <row r="150" spans="1:12">
      <c r="A150" s="77">
        <f t="shared" si="4"/>
        <v>96</v>
      </c>
      <c r="B150" s="117"/>
      <c r="C150" s="58" t="s">
        <v>775</v>
      </c>
      <c r="D150" s="122"/>
      <c r="E150" s="36" t="str">
        <f>"(Note "&amp;A$311&amp;")"</f>
        <v>(Note F)</v>
      </c>
      <c r="F150" s="1063" t="str">
        <f>+"WP10 Storm Line "&amp;'WP10 Storm'!A65&amp;" Column "&amp;'WP10 Storm'!E6</f>
        <v xml:space="preserve">WP10 Storm Line 28 Column D </v>
      </c>
      <c r="G150" s="662">
        <f>+'WP10 Storm'!$E$65</f>
        <v>7004286.9099999964</v>
      </c>
      <c r="H150" s="1152">
        <f>+'WP10 Storm'!$E$65</f>
        <v>7004286.9099999964</v>
      </c>
      <c r="K150" s="280"/>
      <c r="L150" s="280"/>
    </row>
    <row r="151" spans="1:12">
      <c r="A151" s="77">
        <f t="shared" si="4"/>
        <v>97</v>
      </c>
      <c r="B151" s="117"/>
      <c r="C151" s="61" t="s">
        <v>581</v>
      </c>
      <c r="D151" s="12"/>
      <c r="E151" s="76" t="str">
        <f>"(Notes "&amp;A$340&amp;" &amp; "&amp;A$337&amp;")"</f>
        <v>(Notes II &amp; FF)</v>
      </c>
      <c r="F151" s="1467"/>
      <c r="G151" s="744">
        <v>0</v>
      </c>
      <c r="H151" s="1163">
        <v>0</v>
      </c>
      <c r="J151" s="1712" t="s">
        <v>1673</v>
      </c>
      <c r="K151" s="280"/>
      <c r="L151" s="280"/>
    </row>
    <row r="152" spans="1:12">
      <c r="A152" s="77">
        <f t="shared" si="4"/>
        <v>98</v>
      </c>
      <c r="B152" s="117"/>
      <c r="C152" s="661" t="s">
        <v>118</v>
      </c>
      <c r="D152" s="309"/>
      <c r="E152" s="303"/>
      <c r="F152" s="137" t="str">
        <f>"(Line "&amp;A150&amp;" + "&amp;A151&amp;")"</f>
        <v>(Line 96 + 97)</v>
      </c>
      <c r="G152" s="662">
        <f>+G150+G151</f>
        <v>7004286.9099999964</v>
      </c>
      <c r="H152" s="1152">
        <f>+H150+H151</f>
        <v>7004286.9099999964</v>
      </c>
      <c r="K152" s="280"/>
      <c r="L152" s="280"/>
    </row>
    <row r="153" spans="1:12">
      <c r="A153" s="77">
        <f t="shared" si="4"/>
        <v>99</v>
      </c>
      <c r="B153" s="33"/>
      <c r="C153" s="25" t="s">
        <v>93</v>
      </c>
      <c r="D153" s="14"/>
      <c r="E153" s="30"/>
      <c r="F153" s="138" t="str">
        <f>"(Line "&amp;A$35&amp;")"</f>
        <v>(Line 18)</v>
      </c>
      <c r="G153" s="94">
        <f>+G$35</f>
        <v>0.25302928382830797</v>
      </c>
      <c r="H153" s="1151">
        <f>+H$35</f>
        <v>0.27392624987722752</v>
      </c>
      <c r="K153" s="280"/>
      <c r="L153" s="280"/>
    </row>
    <row r="154" spans="1:12" ht="15.6">
      <c r="A154" s="77">
        <f t="shared" si="4"/>
        <v>100</v>
      </c>
      <c r="B154" s="33"/>
      <c r="C154" s="304" t="s">
        <v>80</v>
      </c>
      <c r="D154" s="302"/>
      <c r="E154" s="36"/>
      <c r="F154" s="137" t="str">
        <f>"(Line "&amp;A152&amp;" * "&amp;A153&amp;")"</f>
        <v>(Line 98 * 99)</v>
      </c>
      <c r="G154" s="684">
        <f>+G153*G152</f>
        <v>1772289.7005652913</v>
      </c>
      <c r="H154" s="1162">
        <f>+H153*H152</f>
        <v>1918658.0463204528</v>
      </c>
      <c r="K154" s="280"/>
      <c r="L154" s="280"/>
    </row>
    <row r="155" spans="1:12" ht="15.6">
      <c r="A155" s="77">
        <f t="shared" si="4"/>
        <v>101</v>
      </c>
      <c r="B155" s="7"/>
      <c r="C155" s="5"/>
      <c r="D155" s="9"/>
      <c r="E155" s="55"/>
      <c r="F155" s="135"/>
      <c r="G155" s="689"/>
      <c r="H155" s="1168"/>
      <c r="K155" s="280"/>
      <c r="L155" s="280"/>
    </row>
    <row r="156" spans="1:12" ht="16.2" thickBot="1">
      <c r="A156" s="77">
        <f t="shared" si="4"/>
        <v>102</v>
      </c>
      <c r="B156" s="3" t="s">
        <v>107</v>
      </c>
      <c r="C156" s="3"/>
      <c r="D156" s="19"/>
      <c r="E156" s="57"/>
      <c r="F156" s="72" t="str">
        <f>"(Line "&amp;A130&amp;" + "&amp;A143&amp;" + "&amp;A148&amp;" + "&amp;A154&amp;")"</f>
        <v>(Line 80 + 91 + 94 + 100)</v>
      </c>
      <c r="G156" s="692">
        <f>+G130+G143+G148+G154</f>
        <v>30863522.995313648</v>
      </c>
      <c r="H156" s="1170">
        <f>+H130+H143+H148+H154</f>
        <v>31009891.341068812</v>
      </c>
      <c r="K156" s="280"/>
      <c r="L156" s="280"/>
    </row>
    <row r="157" spans="1:12" ht="16.2" thickTop="1">
      <c r="A157" s="112"/>
      <c r="B157" s="7"/>
      <c r="C157" s="5"/>
      <c r="D157" s="9"/>
      <c r="E157" s="55"/>
      <c r="F157" s="135"/>
      <c r="G157" s="73"/>
      <c r="H157" s="1142"/>
      <c r="K157" s="280"/>
      <c r="L157" s="280"/>
    </row>
    <row r="158" spans="1:12" ht="15.6">
      <c r="A158" s="1131" t="s">
        <v>101</v>
      </c>
      <c r="B158" s="262"/>
      <c r="C158" s="263"/>
      <c r="D158" s="263"/>
      <c r="E158" s="264"/>
      <c r="F158" s="265"/>
      <c r="G158" s="266"/>
      <c r="H158" s="1143"/>
      <c r="K158" s="280"/>
      <c r="L158" s="280"/>
    </row>
    <row r="159" spans="1:12" ht="15.6">
      <c r="A159" s="123"/>
      <c r="B159" s="7"/>
      <c r="C159" s="5"/>
      <c r="D159" s="9"/>
      <c r="E159" s="55"/>
      <c r="F159" s="135"/>
      <c r="G159" s="73"/>
      <c r="H159" s="1142"/>
      <c r="K159" s="280"/>
      <c r="L159" s="280"/>
    </row>
    <row r="160" spans="1:12" ht="15.6">
      <c r="A160" s="111"/>
      <c r="B160" s="26" t="s">
        <v>503</v>
      </c>
      <c r="C160" s="15"/>
      <c r="D160" s="9"/>
      <c r="E160" s="36"/>
      <c r="F160" s="161"/>
      <c r="G160" s="162"/>
      <c r="H160" s="1171"/>
      <c r="K160" s="280"/>
      <c r="L160" s="280"/>
    </row>
    <row r="161" spans="1:13">
      <c r="A161" s="108">
        <f>+A156+1</f>
        <v>103</v>
      </c>
      <c r="B161" s="124"/>
      <c r="C161" s="61" t="s">
        <v>67</v>
      </c>
      <c r="D161" s="33"/>
      <c r="E161" s="36" t="str">
        <f>"(Note "&amp;A$321&amp;")"</f>
        <v>(Note P)</v>
      </c>
      <c r="F161" s="1962" t="str">
        <f>+"WP18 Deprec Line "&amp;'WP18 Deprec'!A48&amp;" Column C"</f>
        <v>WP18 Deprec Line 6.14 Column C</v>
      </c>
      <c r="G161" s="1657">
        <f>+'WP18 Deprec'!$E48</f>
        <v>38380240.350087039</v>
      </c>
      <c r="H161" s="1658">
        <f>+'WP18 Deprec'!$E48</f>
        <v>38380240.350087039</v>
      </c>
      <c r="J161" s="469" t="s">
        <v>1551</v>
      </c>
      <c r="K161" s="280"/>
      <c r="L161" s="280"/>
    </row>
    <row r="162" spans="1:13">
      <c r="A162" s="108">
        <f t="shared" ref="A162:A170" si="5">+A161+1</f>
        <v>104</v>
      </c>
      <c r="B162" s="124"/>
      <c r="C162" s="58"/>
      <c r="D162" s="9"/>
      <c r="E162" s="33"/>
      <c r="F162" s="147"/>
      <c r="G162" s="662"/>
      <c r="H162" s="1152"/>
      <c r="J162" s="469"/>
      <c r="K162" s="280"/>
      <c r="L162" s="280"/>
    </row>
    <row r="163" spans="1:13">
      <c r="A163" s="108">
        <f t="shared" si="5"/>
        <v>105</v>
      </c>
      <c r="B163" s="117"/>
      <c r="C163" s="58" t="s">
        <v>94</v>
      </c>
      <c r="D163" s="9"/>
      <c r="E163" s="36" t="str">
        <f>"(Note "&amp;A$306&amp;")"</f>
        <v>(Note A)</v>
      </c>
      <c r="F163" s="1962" t="str">
        <f>+"WP18 Deprec Line "&amp;'WP18 Deprec'!A32&amp;" Column C"</f>
        <v>WP18 Deprec Line 4.08 Column C</v>
      </c>
      <c r="G163" s="662">
        <f>+'WP18 Deprec'!$E32</f>
        <v>16288967.380000003</v>
      </c>
      <c r="H163" s="1152">
        <f>+'WP18 Deprec'!$E32</f>
        <v>16288967.380000003</v>
      </c>
      <c r="J163" s="469" t="s">
        <v>1551</v>
      </c>
      <c r="K163" s="280"/>
      <c r="L163" s="280"/>
    </row>
    <row r="164" spans="1:13" s="280" customFormat="1" ht="15.6">
      <c r="A164" s="108">
        <f t="shared" si="5"/>
        <v>106</v>
      </c>
      <c r="B164" s="124"/>
      <c r="C164" s="58" t="s">
        <v>582</v>
      </c>
      <c r="D164" s="9"/>
      <c r="E164" s="1963" t="str">
        <f>"(Notes "&amp;A$306&amp;" &amp; "&amp;A$321&amp;")"</f>
        <v>(Notes A &amp; P)</v>
      </c>
      <c r="F164" s="1962" t="str">
        <f>+"WP18 Deprec Line "&amp;'WP18 Deprec'!A22&amp;" Column C"</f>
        <v>WP18 Deprec Line 2.14 Column C</v>
      </c>
      <c r="G164" s="1659">
        <f>+'WP18 Deprec'!$E22</f>
        <v>11291983.699999997</v>
      </c>
      <c r="H164" s="1152">
        <f>+'WP18 Deprec'!$E22</f>
        <v>11291983.699999997</v>
      </c>
      <c r="I164" s="279"/>
      <c r="J164" s="469" t="s">
        <v>1551</v>
      </c>
      <c r="M164" s="1981" t="s">
        <v>1796</v>
      </c>
    </row>
    <row r="165" spans="1:13" s="280" customFormat="1">
      <c r="A165" s="108">
        <f t="shared" si="5"/>
        <v>107</v>
      </c>
      <c r="B165" s="478"/>
      <c r="C165" s="25" t="s">
        <v>1624</v>
      </c>
      <c r="D165" s="477"/>
      <c r="E165" s="1964" t="str">
        <f>"(Notes "&amp;A$337&amp;" &amp; "&amp;A$343&amp;")"</f>
        <v>(Notes FF &amp; LL)</v>
      </c>
      <c r="F165" s="278" t="str">
        <f>+"WP02 Support Line "&amp;'WP02 Support'!A148&amp;" Column "&amp;'WP02 Support'!$D$5</f>
        <v>WP02 Support Line 48 Column C</v>
      </c>
      <c r="G165" s="961">
        <f>+'WP02 Support'!D148</f>
        <v>41569.963333333348</v>
      </c>
      <c r="H165" s="1173">
        <f>+'WP02 Support'!D148</f>
        <v>41569.963333333348</v>
      </c>
      <c r="J165" s="469" t="s">
        <v>1625</v>
      </c>
    </row>
    <row r="166" spans="1:13">
      <c r="A166" s="108">
        <f t="shared" si="5"/>
        <v>108</v>
      </c>
      <c r="B166" s="117"/>
      <c r="C166" s="58" t="s">
        <v>118</v>
      </c>
      <c r="D166" s="9"/>
      <c r="E166" s="33"/>
      <c r="F166" s="1066" t="str">
        <f>"(Line "&amp;A163&amp;" + "&amp;A164&amp;" + "&amp;A165&amp;")"</f>
        <v>(Line 105 + 106 + 107)</v>
      </c>
      <c r="G166" s="662">
        <f>+G164+G165+G163</f>
        <v>27622521.043333333</v>
      </c>
      <c r="H166" s="1152">
        <f>+H164+H165+H163</f>
        <v>27622521.043333333</v>
      </c>
      <c r="K166" s="280"/>
      <c r="L166" s="280"/>
    </row>
    <row r="167" spans="1:13">
      <c r="A167" s="77">
        <f t="shared" si="5"/>
        <v>109</v>
      </c>
      <c r="B167" s="117"/>
      <c r="C167" s="25" t="s">
        <v>115</v>
      </c>
      <c r="D167" s="12"/>
      <c r="E167" s="76"/>
      <c r="F167" s="146" t="str">
        <f>"(Line "&amp;A$24&amp;")"</f>
        <v>(Line 11)</v>
      </c>
      <c r="G167" s="94">
        <f>+G24</f>
        <v>6.7158003663324653E-2</v>
      </c>
      <c r="H167" s="1147">
        <f>H$24</f>
        <v>6.7158003663324653E-2</v>
      </c>
      <c r="K167" s="280"/>
      <c r="L167" s="280"/>
    </row>
    <row r="168" spans="1:13" ht="15.6">
      <c r="A168" s="77">
        <f t="shared" si="5"/>
        <v>110</v>
      </c>
      <c r="B168" s="117"/>
      <c r="C168" s="41" t="s">
        <v>273</v>
      </c>
      <c r="D168" s="9"/>
      <c r="E168" s="9"/>
      <c r="F168" s="137" t="str">
        <f>"(Line "&amp;A166&amp;" * "&amp;A167&amp;")"</f>
        <v>(Line 108 * 109)</v>
      </c>
      <c r="G168" s="684">
        <f>(+G166*G167)</f>
        <v>1855073.3694184422</v>
      </c>
      <c r="H168" s="1162">
        <f>(+H166*H167)</f>
        <v>1855073.3694184422</v>
      </c>
      <c r="K168" s="280"/>
      <c r="L168" s="280"/>
    </row>
    <row r="169" spans="1:13">
      <c r="A169" s="77">
        <f t="shared" si="5"/>
        <v>111</v>
      </c>
      <c r="B169" s="125"/>
      <c r="C169" s="58"/>
      <c r="D169" s="9"/>
      <c r="E169" s="33"/>
      <c r="F169" s="147"/>
      <c r="G169" s="662"/>
      <c r="H169" s="1152"/>
      <c r="K169" s="280"/>
      <c r="L169" s="280"/>
    </row>
    <row r="170" spans="1:13" s="1" customFormat="1" ht="16.2" thickBot="1">
      <c r="A170" s="77">
        <f t="shared" si="5"/>
        <v>112</v>
      </c>
      <c r="B170" s="59" t="s">
        <v>102</v>
      </c>
      <c r="C170" s="59"/>
      <c r="D170" s="16"/>
      <c r="E170" s="60"/>
      <c r="F170" s="72" t="str">
        <f>"(Line "&amp;A161&amp;" + "&amp;A168&amp;")"</f>
        <v>(Line 103 + 110)</v>
      </c>
      <c r="G170" s="101">
        <f>+G161+G168</f>
        <v>40235313.719505481</v>
      </c>
      <c r="H170" s="1174">
        <f>+H161+H168</f>
        <v>40235313.719505481</v>
      </c>
      <c r="J170" s="1711"/>
      <c r="K170" s="37"/>
      <c r="L170" s="37"/>
    </row>
    <row r="171" spans="1:13" ht="15.6" thickTop="1">
      <c r="A171" s="120"/>
      <c r="B171" s="6"/>
      <c r="C171" s="6"/>
      <c r="D171" s="6"/>
      <c r="E171" s="28"/>
      <c r="F171" s="136"/>
      <c r="G171" s="685"/>
      <c r="H171" s="1164"/>
      <c r="K171" s="280"/>
      <c r="L171" s="280"/>
    </row>
    <row r="172" spans="1:13" ht="15.6">
      <c r="A172" s="1131" t="s">
        <v>44</v>
      </c>
      <c r="B172" s="262"/>
      <c r="C172" s="263"/>
      <c r="D172" s="263"/>
      <c r="E172" s="264"/>
      <c r="F172" s="265"/>
      <c r="G172" s="687"/>
      <c r="H172" s="1175"/>
      <c r="K172" s="280"/>
      <c r="L172" s="280"/>
    </row>
    <row r="173" spans="1:13" ht="15.6">
      <c r="A173" s="115"/>
      <c r="B173" s="7"/>
      <c r="C173" s="5"/>
      <c r="D173" s="9"/>
      <c r="E173" s="110"/>
      <c r="F173" s="135"/>
      <c r="G173" s="694"/>
      <c r="H173" s="1176"/>
      <c r="K173" s="280"/>
      <c r="L173" s="280"/>
    </row>
    <row r="174" spans="1:13" ht="15.6">
      <c r="A174" s="77">
        <f>+A170+1</f>
        <v>113</v>
      </c>
      <c r="B174" s="41"/>
      <c r="C174" s="9" t="s">
        <v>576</v>
      </c>
      <c r="D174" s="9"/>
      <c r="E174" s="36"/>
      <c r="F174" s="133" t="str">
        <f>+"WP13 TOTI Line "&amp;'WP13 TOTI'!A36&amp;" Column "&amp;'WP13 TOTI'!E$5</f>
        <v>WP13 TOTI Line 2 Column D</v>
      </c>
      <c r="G174" s="681">
        <f>+'WP13 TOTI'!E36</f>
        <v>0</v>
      </c>
      <c r="H174" s="1141">
        <f>+'WP13 TOTI'!E36</f>
        <v>0</v>
      </c>
      <c r="K174" s="280"/>
      <c r="L174" s="280"/>
    </row>
    <row r="175" spans="1:13">
      <c r="A175" s="77">
        <f t="shared" ref="A175:A185" si="6">+A174+1</f>
        <v>114</v>
      </c>
      <c r="B175" s="117"/>
      <c r="C175" s="9"/>
      <c r="D175" s="9"/>
      <c r="E175" s="36"/>
      <c r="F175" s="133"/>
      <c r="G175" s="681"/>
      <c r="H175" s="1141"/>
      <c r="K175" s="280"/>
      <c r="L175" s="280"/>
    </row>
    <row r="176" spans="1:13">
      <c r="A176" s="77">
        <f t="shared" si="6"/>
        <v>115</v>
      </c>
      <c r="B176" s="117"/>
      <c r="C176" s="9" t="s">
        <v>583</v>
      </c>
      <c r="D176" s="9"/>
      <c r="E176" s="36"/>
      <c r="F176" s="133" t="str">
        <f>+"WP13 TOTI Line "&amp;'WP13 TOTI'!A$36&amp;" Column "&amp;'WP13 TOTI'!F$5</f>
        <v>WP13 TOTI Line 2 Column E</v>
      </c>
      <c r="G176" s="681">
        <f>+'WP13 TOTI'!F36</f>
        <v>35986761.940000005</v>
      </c>
      <c r="H176" s="1141">
        <f>+'WP13 TOTI'!F36</f>
        <v>35986761.940000005</v>
      </c>
      <c r="K176" s="280"/>
      <c r="L176" s="280"/>
    </row>
    <row r="177" spans="1:12">
      <c r="A177" s="77">
        <f t="shared" si="6"/>
        <v>116</v>
      </c>
      <c r="B177" s="117"/>
      <c r="C177" s="958" t="s">
        <v>584</v>
      </c>
      <c r="D177" s="9"/>
      <c r="E177" s="36" t="str">
        <f>"(Note "&amp;A$337&amp;")"</f>
        <v>(Note FF)</v>
      </c>
      <c r="F177" s="133" t="str">
        <f>+"WP02 Support Line "&amp;'WP02 Support'!A160&amp;" Column "&amp;'WP02 Support'!$D$5</f>
        <v>WP02 Support Line 53 Column C</v>
      </c>
      <c r="G177" s="475">
        <f>+'WP02 Support'!D160</f>
        <v>-161455.89000000001</v>
      </c>
      <c r="H177" s="1177">
        <f>+'WP02 Support'!D160</f>
        <v>-161455.89000000001</v>
      </c>
      <c r="I177" s="280"/>
      <c r="K177" s="280"/>
      <c r="L177" s="280"/>
    </row>
    <row r="178" spans="1:12">
      <c r="A178" s="77">
        <f t="shared" si="6"/>
        <v>117</v>
      </c>
      <c r="B178" s="117"/>
      <c r="C178" s="959" t="s">
        <v>585</v>
      </c>
      <c r="D178" s="9"/>
      <c r="E178" s="36"/>
      <c r="F178" s="137" t="str">
        <f>"(Line "&amp;A176&amp;" + "&amp;A177&amp;")"</f>
        <v>(Line 115 + 116)</v>
      </c>
      <c r="G178" s="681">
        <f>+G176+G177</f>
        <v>35825306.050000004</v>
      </c>
      <c r="H178" s="1141">
        <f>+H176+H177</f>
        <v>35825306.050000004</v>
      </c>
      <c r="K178" s="280"/>
      <c r="L178" s="280"/>
    </row>
    <row r="179" spans="1:12">
      <c r="A179" s="77">
        <f t="shared" si="6"/>
        <v>118</v>
      </c>
      <c r="B179" s="33"/>
      <c r="C179" s="58" t="str">
        <f>+B32</f>
        <v>Gross Plant Allocator</v>
      </c>
      <c r="D179" s="14"/>
      <c r="E179" s="33"/>
      <c r="F179" s="137" t="str">
        <f>"(Line "&amp;A$32&amp;")"</f>
        <v>(Line 16)</v>
      </c>
      <c r="G179" s="94">
        <f>+G$32</f>
        <v>0.19104944404983751</v>
      </c>
      <c r="H179" s="1151">
        <f>+H$32</f>
        <v>0.20369119001328787</v>
      </c>
      <c r="K179" s="280"/>
      <c r="L179" s="280"/>
    </row>
    <row r="180" spans="1:12">
      <c r="A180" s="77">
        <f t="shared" si="6"/>
        <v>119</v>
      </c>
      <c r="B180" s="117"/>
      <c r="C180" s="193" t="str">
        <f>+"Total Transmission Allocated "&amp;C178</f>
        <v>Total Transmission Allocated Total Plant Associated</v>
      </c>
      <c r="D180" s="9"/>
      <c r="E180" s="36"/>
      <c r="F180" s="137" t="str">
        <f>"(Line "&amp;A178&amp;" * "&amp;A179&amp;")"</f>
        <v>(Line 117 * 118)</v>
      </c>
      <c r="G180" s="662">
        <f>+G178*G179</f>
        <v>6844404.8037677808</v>
      </c>
      <c r="H180" s="1152">
        <f>+H178*H179</f>
        <v>7297299.2219147421</v>
      </c>
      <c r="K180" s="280"/>
      <c r="L180" s="280"/>
    </row>
    <row r="181" spans="1:12">
      <c r="A181" s="77">
        <f t="shared" si="6"/>
        <v>120</v>
      </c>
      <c r="B181" s="117"/>
      <c r="C181" s="9"/>
      <c r="D181" s="9"/>
      <c r="E181" s="36"/>
      <c r="F181" s="133"/>
      <c r="G181" s="681"/>
      <c r="H181" s="1141"/>
      <c r="K181" s="280"/>
      <c r="L181" s="280"/>
    </row>
    <row r="182" spans="1:12">
      <c r="A182" s="77">
        <f t="shared" si="6"/>
        <v>121</v>
      </c>
      <c r="B182" s="117"/>
      <c r="C182" s="9" t="s">
        <v>149</v>
      </c>
      <c r="D182" s="9"/>
      <c r="E182" s="36"/>
      <c r="F182" s="133" t="str">
        <f>+"WP13 TOTI Line "&amp;'WP13 TOTI'!A$36&amp;" Column "&amp;'WP13 TOTI'!G$5</f>
        <v>WP13 TOTI Line 2 Column F</v>
      </c>
      <c r="G182" s="681">
        <f>+'WP13 TOTI'!G36</f>
        <v>13625031.600000009</v>
      </c>
      <c r="H182" s="1141">
        <f>+'WP13 TOTI'!G36</f>
        <v>13625031.600000009</v>
      </c>
      <c r="K182" s="280"/>
      <c r="L182" s="280"/>
    </row>
    <row r="183" spans="1:12" s="280" customFormat="1" ht="15.6">
      <c r="A183" s="114">
        <f t="shared" si="6"/>
        <v>122</v>
      </c>
      <c r="B183" s="51"/>
      <c r="C183" s="9" t="s">
        <v>115</v>
      </c>
      <c r="D183" s="9"/>
      <c r="E183" s="52"/>
      <c r="F183" s="133" t="str">
        <f>"(Line "&amp;A$24&amp;")"</f>
        <v>(Line 11)</v>
      </c>
      <c r="G183" s="270">
        <f>+G$24</f>
        <v>6.7158003663324653E-2</v>
      </c>
      <c r="H183" s="1147">
        <f>H$24</f>
        <v>6.7158003663324653E-2</v>
      </c>
      <c r="J183" s="1712"/>
    </row>
    <row r="184" spans="1:12">
      <c r="A184" s="77">
        <f t="shared" si="6"/>
        <v>123</v>
      </c>
      <c r="B184" s="117"/>
      <c r="C184" s="25" t="str">
        <f>+"Total Transmission Allocated "&amp;C182</f>
        <v>Total Transmission Allocated Labor</v>
      </c>
      <c r="D184" s="68"/>
      <c r="E184" s="76"/>
      <c r="F184" s="138" t="str">
        <f>"(Line "&amp;A182&amp;" * "&amp;A183&amp;")"</f>
        <v>(Line 121 * 122)</v>
      </c>
      <c r="G184" s="945">
        <f>+G182*G183</f>
        <v>915029.9221057148</v>
      </c>
      <c r="H184" s="1153">
        <f>+H182*H183</f>
        <v>915029.9221057148</v>
      </c>
      <c r="K184" s="280"/>
      <c r="L184" s="280"/>
    </row>
    <row r="185" spans="1:12" s="1" customFormat="1" ht="16.2" thickBot="1">
      <c r="A185" s="77">
        <f t="shared" si="6"/>
        <v>124</v>
      </c>
      <c r="B185" s="3" t="s">
        <v>504</v>
      </c>
      <c r="C185" s="3"/>
      <c r="D185" s="479"/>
      <c r="E185" s="164"/>
      <c r="F185" s="72" t="str">
        <f>"(Line "&amp;A174&amp;" + "&amp;A180&amp;" + "&amp;A184&amp;")"</f>
        <v>(Line 113 + 119 + 123)</v>
      </c>
      <c r="G185" s="619">
        <f>+G174+G180+G184</f>
        <v>7759434.7258734955</v>
      </c>
      <c r="H185" s="1148">
        <f>+H174+H180+H184</f>
        <v>8212329.1440204568</v>
      </c>
      <c r="J185" s="1712"/>
      <c r="K185" s="37"/>
      <c r="L185" s="37"/>
    </row>
    <row r="186" spans="1:12" ht="15.6" thickTop="1">
      <c r="A186" s="111"/>
      <c r="B186" s="6"/>
      <c r="C186" s="6"/>
      <c r="D186" s="6"/>
      <c r="E186" s="28"/>
      <c r="F186" s="136"/>
      <c r="G186" s="87"/>
      <c r="H186" s="1161"/>
      <c r="K186" s="280"/>
      <c r="L186" s="280"/>
    </row>
    <row r="187" spans="1:12" ht="15.6">
      <c r="A187" s="1132" t="s">
        <v>792</v>
      </c>
      <c r="B187" s="262"/>
      <c r="C187" s="262"/>
      <c r="D187" s="263"/>
      <c r="E187" s="264"/>
      <c r="F187" s="267"/>
      <c r="G187" s="261"/>
      <c r="H187" s="1178"/>
      <c r="J187" s="1711"/>
      <c r="K187" s="280"/>
      <c r="L187" s="280"/>
    </row>
    <row r="188" spans="1:12" ht="15.6">
      <c r="A188" s="115"/>
      <c r="B188" s="7"/>
      <c r="C188" s="5"/>
      <c r="D188" s="9"/>
      <c r="E188" s="55"/>
      <c r="F188" s="135"/>
      <c r="G188" s="73"/>
      <c r="H188" s="1142"/>
      <c r="J188" s="1711"/>
      <c r="K188" s="280"/>
      <c r="L188" s="280"/>
    </row>
    <row r="189" spans="1:12" ht="15.6">
      <c r="A189" s="77">
        <f>+A185+1</f>
        <v>125</v>
      </c>
      <c r="B189" s="33"/>
      <c r="C189" s="58" t="s">
        <v>793</v>
      </c>
      <c r="D189" s="9"/>
      <c r="E189" s="160" t="s">
        <v>796</v>
      </c>
      <c r="F189" s="133"/>
      <c r="G189" s="224">
        <v>0</v>
      </c>
      <c r="H189" s="1155">
        <v>0</v>
      </c>
      <c r="J189" s="1711"/>
      <c r="K189" s="280"/>
      <c r="L189" s="280"/>
    </row>
    <row r="190" spans="1:12" ht="15.6">
      <c r="A190" s="77">
        <f>+A189+1</f>
        <v>126</v>
      </c>
      <c r="B190" s="33"/>
      <c r="C190" s="58" t="s">
        <v>794</v>
      </c>
      <c r="D190" s="9"/>
      <c r="E190" s="160" t="s">
        <v>796</v>
      </c>
      <c r="F190" s="133"/>
      <c r="G190" s="224">
        <v>0</v>
      </c>
      <c r="H190" s="1155">
        <v>0</v>
      </c>
      <c r="J190" s="1711"/>
      <c r="K190" s="280"/>
      <c r="L190" s="280"/>
    </row>
    <row r="191" spans="1:12" ht="15.6">
      <c r="A191" s="77">
        <f>+A190+1</f>
        <v>127</v>
      </c>
      <c r="B191" s="33"/>
      <c r="C191" s="9" t="s">
        <v>115</v>
      </c>
      <c r="D191" s="9"/>
      <c r="E191" s="52"/>
      <c r="F191" s="133" t="str">
        <f>"(Line "&amp;A$24&amp;")"</f>
        <v>(Line 11)</v>
      </c>
      <c r="G191" s="270">
        <f>+G$24</f>
        <v>6.7158003663324653E-2</v>
      </c>
      <c r="H191" s="1147">
        <f>H$24</f>
        <v>6.7158003663324653E-2</v>
      </c>
      <c r="K191" s="280"/>
      <c r="L191" s="280"/>
    </row>
    <row r="192" spans="1:12">
      <c r="A192" s="77">
        <f>+A191+1</f>
        <v>128</v>
      </c>
      <c r="B192" s="33"/>
      <c r="C192" s="25" t="str">
        <f>+"Total Allocated "&amp;C190</f>
        <v>Total Allocated (Gain) or Loss on Sales of General Plant Assets</v>
      </c>
      <c r="D192" s="68"/>
      <c r="E192" s="76"/>
      <c r="F192" s="138" t="str">
        <f>"(Line "&amp;A190&amp;" * "&amp;A191&amp;")"</f>
        <v>(Line 126 * 127)</v>
      </c>
      <c r="G192" s="945">
        <f>+G190*G191</f>
        <v>0</v>
      </c>
      <c r="H192" s="1153">
        <f>+H190*H191</f>
        <v>0</v>
      </c>
      <c r="K192" s="280"/>
      <c r="L192" s="280"/>
    </row>
    <row r="193" spans="1:12" ht="16.2" thickBot="1">
      <c r="A193" s="77">
        <f>+A192+1</f>
        <v>129</v>
      </c>
      <c r="B193" s="1227" t="s">
        <v>795</v>
      </c>
      <c r="C193" s="1227"/>
      <c r="D193" s="479"/>
      <c r="E193" s="940" t="str">
        <f>"(Note "&amp;A$335&amp;")"</f>
        <v>(Note DD)</v>
      </c>
      <c r="F193" s="72" t="str">
        <f>"(Line "&amp;A189&amp;" + "&amp;A192&amp;")"</f>
        <v>(Line 125 + 128)</v>
      </c>
      <c r="G193" s="101">
        <f>+G189+G192</f>
        <v>0</v>
      </c>
      <c r="H193" s="1174">
        <f>+H189+H192</f>
        <v>0</v>
      </c>
      <c r="K193" s="280"/>
      <c r="L193" s="280"/>
    </row>
    <row r="194" spans="1:12" ht="15.6" thickTop="1">
      <c r="A194" s="111"/>
      <c r="B194" s="6"/>
      <c r="C194" s="6"/>
      <c r="D194" s="6"/>
      <c r="E194" s="28"/>
      <c r="F194" s="136"/>
      <c r="G194" s="685"/>
      <c r="H194" s="1164"/>
      <c r="K194" s="280"/>
      <c r="L194" s="280"/>
    </row>
    <row r="195" spans="1:12" ht="15.6">
      <c r="A195" s="1131" t="s">
        <v>95</v>
      </c>
      <c r="B195" s="262"/>
      <c r="C195" s="263"/>
      <c r="D195" s="263"/>
      <c r="E195" s="264"/>
      <c r="F195" s="265"/>
      <c r="G195" s="687"/>
      <c r="H195" s="1175"/>
      <c r="K195" s="280"/>
      <c r="L195" s="280"/>
    </row>
    <row r="196" spans="1:12" ht="15.6">
      <c r="A196" s="127"/>
      <c r="B196" s="33"/>
      <c r="C196" s="5"/>
      <c r="D196" s="9"/>
      <c r="E196" s="110"/>
      <c r="F196" s="144"/>
      <c r="G196" s="694"/>
      <c r="H196" s="1176"/>
      <c r="K196" s="280"/>
      <c r="L196" s="280"/>
    </row>
    <row r="197" spans="1:12">
      <c r="A197" s="77">
        <f>+A193+1</f>
        <v>130</v>
      </c>
      <c r="B197" s="158" t="s">
        <v>481</v>
      </c>
      <c r="C197" s="158"/>
      <c r="D197" s="280"/>
      <c r="E197" s="36" t="str">
        <f>"(Notes "&amp;A$323&amp;" &amp; "&amp;A$339&amp;")"</f>
        <v>(Notes R &amp; HH)</v>
      </c>
      <c r="F197" s="1067" t="str">
        <f>+"WP14 COC Line "&amp;'WP14 COC'!A12&amp;" Column "&amp;'WP14 COC'!Q5&amp;", Column O"</f>
        <v>WP14 COC Line 6 Column P, Column O</v>
      </c>
      <c r="G197" s="681">
        <f>+'WP14 COC'!$Q12</f>
        <v>2604902228.9392309</v>
      </c>
      <c r="H197" s="1141">
        <f>+'WP14 COC'!$P12</f>
        <v>2623610447.54</v>
      </c>
      <c r="K197" s="280"/>
      <c r="L197" s="280"/>
    </row>
    <row r="198" spans="1:12">
      <c r="A198" s="77">
        <f>+A197+1</f>
        <v>131</v>
      </c>
      <c r="B198" s="158" t="s">
        <v>482</v>
      </c>
      <c r="C198" s="158"/>
      <c r="D198" s="280"/>
      <c r="E198" s="36" t="str">
        <f>"(Notes "&amp;A$323&amp;" &amp; "&amp;A$339&amp;")"</f>
        <v>(Notes R &amp; HH)</v>
      </c>
      <c r="F198" s="1067" t="str">
        <f>+"WP14 COC Line "&amp;'WP14 COC'!A20&amp;" Column "&amp;'WP14 COC'!Q5&amp;", Column O"</f>
        <v>WP14 COC Line 14 Column P, Column O</v>
      </c>
      <c r="G198" s="681">
        <f>+'WP14 COC'!Q20</f>
        <v>2548362794.7107692</v>
      </c>
      <c r="H198" s="1141">
        <f>+'WP14 COC'!P20</f>
        <v>2563431227.0999999</v>
      </c>
      <c r="K198" s="280"/>
      <c r="L198" s="280"/>
    </row>
    <row r="199" spans="1:12">
      <c r="A199" s="77">
        <f>+A198+1</f>
        <v>132</v>
      </c>
      <c r="B199" s="158" t="s">
        <v>326</v>
      </c>
      <c r="C199" s="158"/>
      <c r="D199" s="280"/>
      <c r="E199" s="36" t="str">
        <f>"(Notes "&amp;A$322&amp;" &amp; "&amp;A$323&amp;")"</f>
        <v>(Notes Q &amp; R)</v>
      </c>
      <c r="F199" s="1067" t="str">
        <f>+"WP14 COC Line "&amp;'WP14 COC'!A30&amp;" Column O"</f>
        <v>WP14 COC Line 24 Column O</v>
      </c>
      <c r="G199" s="681">
        <f>'WP14 COC'!$P30</f>
        <v>107238379.65000001</v>
      </c>
      <c r="H199" s="1141">
        <f>'WP14 COC'!$P30</f>
        <v>107238379.65000001</v>
      </c>
      <c r="K199" s="280"/>
      <c r="L199" s="280"/>
    </row>
    <row r="200" spans="1:12">
      <c r="A200" s="77">
        <f>+A199+1</f>
        <v>133</v>
      </c>
      <c r="B200" s="158" t="s">
        <v>75</v>
      </c>
      <c r="C200" s="158"/>
      <c r="D200" s="280"/>
      <c r="E200" s="36" t="str">
        <f>"(Note "&amp;A$339&amp;")"</f>
        <v>(Note HH)</v>
      </c>
      <c r="F200" s="1067" t="str">
        <f>+"WP14 COC Line "&amp;'WP14 COC'!A39&amp;" Column P, Column O"</f>
        <v>WP14 COC Line 33 Column P, Column O</v>
      </c>
      <c r="G200" s="102">
        <f>+'WP14 COC'!Q39</f>
        <v>89115890.95769234</v>
      </c>
      <c r="H200" s="1141">
        <f>+'WP14 COC'!P39</f>
        <v>31483437.649999999</v>
      </c>
      <c r="K200" s="280"/>
      <c r="L200" s="280"/>
    </row>
    <row r="201" spans="1:12">
      <c r="A201" s="77">
        <f>+A200+1</f>
        <v>134</v>
      </c>
      <c r="B201" s="158" t="s">
        <v>48</v>
      </c>
      <c r="C201" s="960"/>
      <c r="D201" s="280"/>
      <c r="E201" s="1228"/>
      <c r="F201" s="1067" t="str">
        <f>+"WP14 COC Line "&amp;'WP14 COC'!A41&amp;" Column O"</f>
        <v>WP14 COC Line 35 Column O</v>
      </c>
      <c r="G201" s="102">
        <f>+'WP14 COC'!P41</f>
        <v>5269822.78</v>
      </c>
      <c r="H201" s="1141">
        <f>+'WP14 COC'!P41</f>
        <v>5269822.78</v>
      </c>
      <c r="K201" s="280"/>
      <c r="L201" s="280"/>
    </row>
    <row r="202" spans="1:12">
      <c r="A202" s="77">
        <f>+A201+1</f>
        <v>135</v>
      </c>
      <c r="B202" s="158" t="s">
        <v>327</v>
      </c>
      <c r="C202" s="158"/>
      <c r="D202" s="280"/>
      <c r="E202" s="36" t="str">
        <f>"(Note "&amp;A$339&amp;")"</f>
        <v>(Note HH)</v>
      </c>
      <c r="F202" s="1067" t="str">
        <f>+"WP14 COC Line "&amp;'WP14 COC'!A48&amp;" Column P, Column O"</f>
        <v>WP14 COC Line 42 Column P, Column O</v>
      </c>
      <c r="G202" s="102">
        <f>+'WP14 COC'!Q48</f>
        <v>2129523156.3999996</v>
      </c>
      <c r="H202" s="1141">
        <f>+'WP14 COC'!P48</f>
        <v>2259381804.2599998</v>
      </c>
      <c r="K202" s="280"/>
      <c r="L202" s="280"/>
    </row>
    <row r="203" spans="1:12">
      <c r="A203" s="77"/>
      <c r="B203" s="158"/>
      <c r="C203" s="158"/>
      <c r="D203" s="158"/>
      <c r="E203" s="158"/>
      <c r="F203" s="157"/>
      <c r="G203" s="159"/>
      <c r="H203" s="1179"/>
      <c r="K203" s="280"/>
      <c r="L203" s="280"/>
    </row>
    <row r="204" spans="1:12">
      <c r="A204" s="77">
        <f>+A202+1</f>
        <v>136</v>
      </c>
      <c r="B204" s="15"/>
      <c r="C204" s="58" t="s">
        <v>291</v>
      </c>
      <c r="D204" s="61" t="s">
        <v>62</v>
      </c>
      <c r="E204" s="36"/>
      <c r="F204" s="274" t="str">
        <f>"(1 - (Line "&amp;A205&amp;" + Line "&amp;A206&amp;"))"</f>
        <v>(1 - (Line 137 + Line 138))</v>
      </c>
      <c r="G204" s="95">
        <f>IF((1-G205-G206)=1,0,1-G205-G206)</f>
        <v>0.54003937765388799</v>
      </c>
      <c r="H204" s="1180">
        <f>IF((1-H205-H206)=1,0,1-H205-H206)</f>
        <v>0.53385358140485983</v>
      </c>
      <c r="K204" s="280"/>
      <c r="L204" s="280"/>
    </row>
    <row r="205" spans="1:12">
      <c r="A205" s="77">
        <f>+A204+1</f>
        <v>137</v>
      </c>
      <c r="B205" s="15"/>
      <c r="C205" s="58" t="s">
        <v>292</v>
      </c>
      <c r="D205" s="61" t="s">
        <v>75</v>
      </c>
      <c r="E205" s="36"/>
      <c r="F205" s="274" t="str">
        <f>"(Line "&amp;A200&amp;" / (Line "&amp;A$197&amp;" + Line "&amp;A$200&amp;" + Line "&amp;A$202&amp;"))"</f>
        <v>(Line 133 / (Line 130 + Line 133 + Line 135))</v>
      </c>
      <c r="G205" s="291">
        <f>IF((G197+G200+G202)=0,0,G200/(G197+G200+G202))</f>
        <v>1.847520024252958E-2</v>
      </c>
      <c r="H205" s="1181">
        <f>IF((H197+H200+H202)=0,0,H200/(H197+H200+H202))</f>
        <v>6.4062658235518599E-3</v>
      </c>
      <c r="K205" s="280"/>
      <c r="L205" s="280"/>
    </row>
    <row r="206" spans="1:12">
      <c r="A206" s="77">
        <f>+A205+1</f>
        <v>138</v>
      </c>
      <c r="B206" s="15"/>
      <c r="C206" s="58" t="s">
        <v>293</v>
      </c>
      <c r="D206" s="61" t="s">
        <v>58</v>
      </c>
      <c r="E206" s="36"/>
      <c r="F206" s="274" t="str">
        <f>"(Line "&amp;A202&amp;" / (Line "&amp;A$197&amp;" + Line "&amp;A$200&amp;" + Line "&amp;A$202&amp;"))"</f>
        <v>(Line 135 / (Line 130 + Line 133 + Line 135))</v>
      </c>
      <c r="G206" s="291">
        <f>IF((G197+G200+G202)=0,0,G202/(G197+G200+G202))</f>
        <v>0.44148542210358244</v>
      </c>
      <c r="H206" s="1181">
        <f>IF((H197+H200+H202)=0,0,H202/(H197+H200+H202))</f>
        <v>0.45974015277158831</v>
      </c>
      <c r="K206" s="280"/>
      <c r="L206" s="280"/>
    </row>
    <row r="207" spans="1:12" ht="15.6">
      <c r="A207" s="77"/>
      <c r="B207" s="15"/>
      <c r="C207" s="160"/>
      <c r="D207" s="9"/>
      <c r="E207" s="36"/>
      <c r="F207" s="137"/>
      <c r="G207" s="562"/>
      <c r="H207" s="1181"/>
      <c r="K207" s="280"/>
      <c r="L207" s="280"/>
    </row>
    <row r="208" spans="1:12">
      <c r="A208" s="253">
        <f>+A206+1</f>
        <v>139</v>
      </c>
      <c r="B208" s="254"/>
      <c r="C208" s="255" t="s">
        <v>133</v>
      </c>
      <c r="D208" s="1848" t="s">
        <v>548</v>
      </c>
      <c r="E208" s="1848"/>
      <c r="F208" s="268" t="str">
        <f>"(Line "&amp;A199&amp;" / Line "&amp;A198&amp;")"</f>
        <v>(Line 132 / Line 131)</v>
      </c>
      <c r="G208" s="95">
        <f>IF(G198=0,0,G199/G198)</f>
        <v>4.2081284451561465E-2</v>
      </c>
      <c r="H208" s="1180">
        <f>IF(H198=0,0,H199/H198)</f>
        <v>4.1833921080581662E-2</v>
      </c>
      <c r="K208" s="280"/>
      <c r="L208" s="280"/>
    </row>
    <row r="209" spans="1:12">
      <c r="A209" s="253">
        <f>+A208+1</f>
        <v>140</v>
      </c>
      <c r="B209" s="254"/>
      <c r="C209" s="255" t="s">
        <v>138</v>
      </c>
      <c r="D209" s="1848" t="s">
        <v>547</v>
      </c>
      <c r="E209" s="1848"/>
      <c r="F209" s="268" t="str">
        <f>"(Line "&amp;A201&amp;" / Line "&amp;A200&amp;")"</f>
        <v>(Line 134 / Line 133)</v>
      </c>
      <c r="G209" s="95">
        <f>IF(G201=0,0,G201/G200)</f>
        <v>5.9134490194367714E-2</v>
      </c>
      <c r="H209" s="1180">
        <f>IF(H201=0,0,H201/H200)</f>
        <v>0.16738396990139356</v>
      </c>
      <c r="K209" s="280"/>
      <c r="L209" s="280"/>
    </row>
    <row r="210" spans="1:12">
      <c r="A210" s="77">
        <f>+A209+1</f>
        <v>141</v>
      </c>
      <c r="B210" s="15"/>
      <c r="C210" s="160" t="s">
        <v>134</v>
      </c>
      <c r="D210" s="61" t="s">
        <v>58</v>
      </c>
      <c r="E210" s="36" t="str">
        <f>"(Note "&amp;A315&amp;")"</f>
        <v>(Note J)</v>
      </c>
      <c r="F210" s="137"/>
      <c r="G210" s="1752">
        <f>'App A Support'!D9</f>
        <v>0.11975081967213114</v>
      </c>
      <c r="H210" s="1753">
        <f>'App A Support'!B8</f>
        <v>0.1082</v>
      </c>
      <c r="J210" s="1713" t="s">
        <v>1674</v>
      </c>
      <c r="K210" s="280"/>
      <c r="L210" s="280"/>
    </row>
    <row r="211" spans="1:12">
      <c r="A211" s="77"/>
      <c r="B211" s="15"/>
      <c r="C211" s="160"/>
      <c r="D211" s="61"/>
      <c r="E211" s="36"/>
      <c r="F211" s="137"/>
      <c r="G211" s="95"/>
      <c r="H211" s="1180"/>
      <c r="K211" s="280"/>
      <c r="L211" s="280"/>
    </row>
    <row r="212" spans="1:12">
      <c r="A212" s="77">
        <f>+A210+1</f>
        <v>142</v>
      </c>
      <c r="B212" s="33"/>
      <c r="C212" s="58" t="s">
        <v>135</v>
      </c>
      <c r="D212" s="61"/>
      <c r="E212" s="36"/>
      <c r="F212" s="137" t="str">
        <f>"(Line "&amp;A204&amp;" * "&amp;A208&amp;")"</f>
        <v>(Line 136 * 139)</v>
      </c>
      <c r="G212" s="95">
        <f t="shared" ref="G212:H214" si="7">+G204*G208</f>
        <v>2.2725550666097487E-2</v>
      </c>
      <c r="H212" s="1180">
        <f t="shared" si="7"/>
        <v>2.2333188593076786E-2</v>
      </c>
      <c r="K212" s="280"/>
      <c r="L212" s="280"/>
    </row>
    <row r="213" spans="1:12">
      <c r="A213" s="77">
        <f>+A212+1</f>
        <v>143</v>
      </c>
      <c r="B213" s="33"/>
      <c r="C213" s="58" t="s">
        <v>140</v>
      </c>
      <c r="D213" s="61"/>
      <c r="E213" s="36"/>
      <c r="F213" s="137" t="str">
        <f>"(Line "&amp;A205&amp;" * "&amp;A209&amp;")"</f>
        <v>(Line 137 * 140)</v>
      </c>
      <c r="G213" s="95">
        <f t="shared" si="7"/>
        <v>1.0925215475808454E-3</v>
      </c>
      <c r="H213" s="1180">
        <f t="shared" si="7"/>
        <v>1.0723062057897308E-3</v>
      </c>
      <c r="K213" s="280"/>
      <c r="L213" s="280"/>
    </row>
    <row r="214" spans="1:12">
      <c r="A214" s="77">
        <f>+A213+1</f>
        <v>144</v>
      </c>
      <c r="B214" s="27"/>
      <c r="C214" s="13" t="s">
        <v>136</v>
      </c>
      <c r="D214" s="48"/>
      <c r="E214" s="31"/>
      <c r="F214" s="138" t="str">
        <f>"(Line "&amp;A206&amp;" * "&amp;A210&amp;")"</f>
        <v>(Line 138 * 141)</v>
      </c>
      <c r="G214" s="272">
        <f t="shared" si="7"/>
        <v>5.2868241170200801E-2</v>
      </c>
      <c r="H214" s="1182">
        <f t="shared" si="7"/>
        <v>4.974388452988586E-2</v>
      </c>
      <c r="K214" s="280"/>
      <c r="L214" s="280"/>
    </row>
    <row r="215" spans="1:12" s="1" customFormat="1" ht="15.6">
      <c r="A215" s="108">
        <f>+A214+1</f>
        <v>145</v>
      </c>
      <c r="B215" s="11" t="s">
        <v>63</v>
      </c>
      <c r="C215" s="11"/>
      <c r="D215" s="21"/>
      <c r="E215" s="32"/>
      <c r="F215" s="137" t="str">
        <f>"(Line "&amp;A212&amp;" + Line "&amp;A213&amp;" + Line "&amp;A214&amp;")"</f>
        <v>(Line 142 + Line 143 + Line 144)</v>
      </c>
      <c r="G215" s="273">
        <f>SUM(G212:G214)</f>
        <v>7.6686313383879129E-2</v>
      </c>
      <c r="H215" s="1183">
        <f>SUM(H212:H214)</f>
        <v>7.3149379328752373E-2</v>
      </c>
      <c r="J215" s="1711"/>
      <c r="K215" s="37"/>
      <c r="L215" s="37"/>
    </row>
    <row r="216" spans="1:12" s="1" customFormat="1" ht="15.6">
      <c r="A216" s="126"/>
      <c r="B216" s="65"/>
      <c r="C216" s="11"/>
      <c r="D216" s="21"/>
      <c r="E216" s="32"/>
      <c r="F216" s="148"/>
      <c r="G216" s="96"/>
      <c r="H216" s="1184"/>
      <c r="J216" s="1711"/>
      <c r="K216" s="37"/>
      <c r="L216" s="37"/>
    </row>
    <row r="217" spans="1:12" ht="16.2" thickBot="1">
      <c r="A217" s="108">
        <f>+A215+1</f>
        <v>146</v>
      </c>
      <c r="B217" s="18" t="s">
        <v>98</v>
      </c>
      <c r="C217" s="17"/>
      <c r="D217" s="16"/>
      <c r="E217" s="205"/>
      <c r="F217" s="141" t="str">
        <f>"(Line "&amp;A120&amp;" * Line "&amp;A215&amp;")"</f>
        <v>(Line 74 * Line 145)</v>
      </c>
      <c r="G217" s="141">
        <f>+G120*G215</f>
        <v>88823075.803749159</v>
      </c>
      <c r="H217" s="1185">
        <f>+H120*H215</f>
        <v>97574646.565618232</v>
      </c>
      <c r="K217" s="280"/>
      <c r="L217" s="280"/>
    </row>
    <row r="218" spans="1:12" ht="15.6" thickTop="1">
      <c r="A218" s="108"/>
      <c r="B218" s="7"/>
      <c r="C218" s="54"/>
      <c r="D218" s="6"/>
      <c r="E218" s="28"/>
      <c r="F218" s="132"/>
      <c r="G218" s="97"/>
      <c r="H218" s="1186"/>
      <c r="K218" s="280"/>
      <c r="L218" s="280"/>
    </row>
    <row r="219" spans="1:12" ht="15.6">
      <c r="A219" s="1131" t="s">
        <v>26</v>
      </c>
      <c r="B219" s="262"/>
      <c r="C219" s="263"/>
      <c r="D219" s="263"/>
      <c r="E219" s="264"/>
      <c r="F219" s="265"/>
      <c r="G219" s="266"/>
      <c r="H219" s="1143"/>
      <c r="K219" s="280"/>
      <c r="L219" s="280"/>
    </row>
    <row r="220" spans="1:12" ht="15.6">
      <c r="A220" s="127"/>
      <c r="B220" s="7"/>
      <c r="C220" s="5"/>
      <c r="D220" s="9"/>
      <c r="E220" s="55"/>
      <c r="F220" s="135"/>
      <c r="G220" s="73"/>
      <c r="H220" s="1142"/>
      <c r="K220" s="280"/>
      <c r="L220" s="280"/>
    </row>
    <row r="221" spans="1:12" ht="15.6">
      <c r="A221" s="108" t="s">
        <v>70</v>
      </c>
      <c r="B221" s="22" t="s">
        <v>99</v>
      </c>
      <c r="C221" s="6"/>
      <c r="D221" s="6"/>
      <c r="E221" s="55"/>
      <c r="F221" s="132"/>
      <c r="G221" s="291"/>
      <c r="H221" s="1181"/>
      <c r="K221" s="280"/>
      <c r="L221" s="280"/>
    </row>
    <row r="222" spans="1:12">
      <c r="A222" s="108">
        <f>+A217+1</f>
        <v>147</v>
      </c>
      <c r="B222" s="7"/>
      <c r="C222" s="6" t="s">
        <v>97</v>
      </c>
      <c r="D222" s="9"/>
      <c r="E222" s="36" t="str">
        <f>"(Note "&amp;A$314&amp;")"</f>
        <v>(Note I)</v>
      </c>
      <c r="F222" s="135"/>
      <c r="G222" s="737">
        <v>0.35</v>
      </c>
      <c r="H222" s="1187">
        <v>0.35</v>
      </c>
      <c r="K222" s="280"/>
      <c r="L222" s="280"/>
    </row>
    <row r="223" spans="1:12">
      <c r="A223" s="108">
        <f>+A222+1</f>
        <v>148</v>
      </c>
      <c r="B223" s="7"/>
      <c r="C223" s="128" t="s">
        <v>96</v>
      </c>
      <c r="D223" s="292"/>
      <c r="E223" s="36" t="str">
        <f>"(Note "&amp;A$314&amp;")"</f>
        <v>(Note I)</v>
      </c>
      <c r="F223" s="135"/>
      <c r="G223" s="737">
        <v>6.5000000000000002E-2</v>
      </c>
      <c r="H223" s="1187">
        <v>6.5000000000000002E-2</v>
      </c>
      <c r="K223" s="280"/>
      <c r="L223" s="280"/>
    </row>
    <row r="224" spans="1:12">
      <c r="A224" s="108">
        <f>+A223+1</f>
        <v>149</v>
      </c>
      <c r="B224" s="7"/>
      <c r="C224" s="128" t="s">
        <v>546</v>
      </c>
      <c r="D224" s="716"/>
      <c r="E224" s="36" t="str">
        <f>"(Note "&amp;A$314&amp;")"</f>
        <v>(Note I)</v>
      </c>
      <c r="F224" s="135"/>
      <c r="G224" s="737">
        <v>0</v>
      </c>
      <c r="H224" s="1187">
        <v>0</v>
      </c>
      <c r="K224" s="613"/>
      <c r="L224" s="280"/>
    </row>
    <row r="225" spans="1:14">
      <c r="A225" s="108">
        <f>+A224+1</f>
        <v>150</v>
      </c>
      <c r="B225" s="7"/>
      <c r="C225" s="128" t="s">
        <v>29</v>
      </c>
      <c r="D225" s="1058"/>
      <c r="E225" s="36"/>
      <c r="F225" s="135"/>
      <c r="G225" s="291">
        <f>IF(G222&gt;0,1-(((1-G223)*(1-G222))/(1-G223*G222*G224)),0)</f>
        <v>0.39224999999999999</v>
      </c>
      <c r="H225" s="1181">
        <f>IF(H222&gt;0,1-(((1-H223)*(1-H222))/(1-H223*H222*H224)),0)</f>
        <v>0.39224999999999999</v>
      </c>
      <c r="K225" s="613"/>
      <c r="L225" s="280"/>
    </row>
    <row r="226" spans="1:14">
      <c r="A226" s="108">
        <f>+A225+1</f>
        <v>151</v>
      </c>
      <c r="B226" s="7"/>
      <c r="C226" s="128" t="s">
        <v>128</v>
      </c>
      <c r="D226" s="129"/>
      <c r="E226" s="28"/>
      <c r="F226" s="135"/>
      <c r="G226" s="98">
        <f>+G225/(1-G225)</f>
        <v>0.64541341011929243</v>
      </c>
      <c r="H226" s="1188">
        <f>+H225/(1-H225)</f>
        <v>0.64541341011929243</v>
      </c>
      <c r="K226" s="614"/>
      <c r="L226" s="280"/>
    </row>
    <row r="227" spans="1:14">
      <c r="A227" s="108"/>
      <c r="B227" s="7"/>
      <c r="C227" s="6"/>
      <c r="D227" s="6"/>
      <c r="E227" s="130"/>
      <c r="F227" s="149"/>
      <c r="G227" s="99"/>
      <c r="H227" s="1189"/>
      <c r="K227" s="280"/>
      <c r="L227" s="280"/>
    </row>
    <row r="228" spans="1:14" ht="15.6">
      <c r="A228" s="108"/>
      <c r="B228" s="22" t="s">
        <v>498</v>
      </c>
      <c r="C228" s="54"/>
      <c r="E228" s="36" t="str">
        <f>"(Note "&amp;A$314&amp;")"</f>
        <v>(Note I)</v>
      </c>
      <c r="F228" s="132"/>
      <c r="G228" s="100"/>
      <c r="H228" s="1190"/>
      <c r="K228" s="280"/>
      <c r="L228" s="280"/>
    </row>
    <row r="229" spans="1:14">
      <c r="A229" s="108">
        <f>+A226+1</f>
        <v>152</v>
      </c>
      <c r="B229" s="7"/>
      <c r="C229" s="61" t="s">
        <v>656</v>
      </c>
      <c r="D229" s="110" t="s">
        <v>524</v>
      </c>
      <c r="E229" s="36" t="str">
        <f>"(Note "&amp;$A$306&amp;")"</f>
        <v>(Note A)</v>
      </c>
      <c r="F229" s="962" t="s">
        <v>267</v>
      </c>
      <c r="G229" s="224">
        <v>-1201284</v>
      </c>
      <c r="H229" s="1155">
        <v>-1201284</v>
      </c>
      <c r="J229" s="613"/>
      <c r="K229" s="280"/>
      <c r="L229" s="280"/>
    </row>
    <row r="230" spans="1:14">
      <c r="A230" s="108" t="str">
        <f>+A$229&amp;"a"</f>
        <v>152a</v>
      </c>
      <c r="B230" s="7"/>
      <c r="C230" s="61" t="s">
        <v>1628</v>
      </c>
      <c r="D230" s="110" t="s">
        <v>524</v>
      </c>
      <c r="E230" s="36"/>
      <c r="F230" s="1675" t="str">
        <f>+"WP22 IT Adj Line "&amp;'WP22 IT Adj'!A$7&amp;" Column "&amp;'WP22 IT Adj'!B$5</f>
        <v>WP22 IT Adj Line 1 Column B</v>
      </c>
      <c r="G230" s="1676">
        <f>+'WP22 IT Adj'!$B7</f>
        <v>-77665.0199999998</v>
      </c>
      <c r="H230" s="1677">
        <f>+'WP22 IT Adj'!$B7</f>
        <v>-77665.0199999998</v>
      </c>
      <c r="J230" s="613" t="s">
        <v>1653</v>
      </c>
      <c r="K230" s="280"/>
      <c r="L230" s="1678"/>
      <c r="M230" s="1678"/>
      <c r="N230" s="1678"/>
    </row>
    <row r="231" spans="1:14">
      <c r="A231" s="108" t="str">
        <f>+A$229&amp;"b"</f>
        <v>152b</v>
      </c>
      <c r="B231" s="7"/>
      <c r="C231" s="61" t="s">
        <v>1629</v>
      </c>
      <c r="D231" s="110"/>
      <c r="E231" s="36"/>
      <c r="F231" s="1675" t="str">
        <f>+"WP22 IT Adj Line "&amp;'WP22 IT Adj'!A$7&amp;" Column "&amp;'WP22 IT Adj'!C$5</f>
        <v>WP22 IT Adj Line 1 Column C</v>
      </c>
      <c r="G231" s="1679">
        <f>+'WP22 IT Adj'!$C7</f>
        <v>7414278.1100000096</v>
      </c>
      <c r="H231" s="1680">
        <f>+'WP22 IT Adj'!$C7</f>
        <v>7414278.1100000096</v>
      </c>
      <c r="J231" s="613" t="s">
        <v>1653</v>
      </c>
      <c r="K231" s="280"/>
      <c r="L231" s="1678"/>
      <c r="M231" s="1678"/>
      <c r="N231" s="1678"/>
    </row>
    <row r="232" spans="1:14">
      <c r="A232" s="108" t="str">
        <f>+A$229&amp;"c"</f>
        <v>152c</v>
      </c>
      <c r="B232" s="7"/>
      <c r="C232" s="61" t="s">
        <v>1654</v>
      </c>
      <c r="D232" s="110"/>
      <c r="E232" s="36"/>
      <c r="F232" s="1675" t="str">
        <f>"Sum of (Line "&amp;A229&amp;" to Line "&amp;A231&amp;")"</f>
        <v>Sum of (Line 152 to Line 152b)</v>
      </c>
      <c r="G232" s="1676">
        <f>SUM(G229:G231)</f>
        <v>6135329.0900000101</v>
      </c>
      <c r="H232" s="1681">
        <f>SUM(H229:H231)</f>
        <v>6135329.0900000101</v>
      </c>
      <c r="J232" s="613" t="s">
        <v>1655</v>
      </c>
      <c r="K232" s="280"/>
      <c r="L232" s="1678"/>
      <c r="M232" s="1678"/>
      <c r="N232" s="1678"/>
    </row>
    <row r="233" spans="1:14">
      <c r="A233" s="108">
        <f>+A229+1</f>
        <v>153</v>
      </c>
      <c r="B233" s="7"/>
      <c r="C233" s="61" t="s">
        <v>167</v>
      </c>
      <c r="D233" s="9"/>
      <c r="E233" s="7"/>
      <c r="F233" s="137" t="str">
        <f>"(1 / (1 - Line "&amp;A225&amp;"))"</f>
        <v>(1 / (1 - Line 150))</v>
      </c>
      <c r="G233" s="1468">
        <f>IF(G225=0,0,1/(1-G225))</f>
        <v>1.6454134101192925</v>
      </c>
      <c r="H233" s="1629">
        <f>IF(H225=0,0,1/(1-H225))</f>
        <v>1.6454134101192925</v>
      </c>
      <c r="J233" s="613"/>
      <c r="K233" s="280"/>
      <c r="L233" s="280"/>
    </row>
    <row r="234" spans="1:14">
      <c r="A234" s="108">
        <f>+A233+1</f>
        <v>154</v>
      </c>
      <c r="B234" s="7"/>
      <c r="C234" s="54" t="s">
        <v>93</v>
      </c>
      <c r="D234" s="12"/>
      <c r="E234" s="27"/>
      <c r="F234" s="140" t="str">
        <f>"(Line "&amp;A$35&amp;")"</f>
        <v>(Line 18)</v>
      </c>
      <c r="G234" s="93">
        <f>+G35</f>
        <v>0.25302928382830797</v>
      </c>
      <c r="H234" s="1157">
        <f>+H35</f>
        <v>0.27392624987722752</v>
      </c>
      <c r="J234" s="613"/>
      <c r="K234" s="280"/>
      <c r="L234" s="280"/>
    </row>
    <row r="235" spans="1:14" ht="16.8">
      <c r="A235" s="108">
        <f>+A234+1</f>
        <v>155</v>
      </c>
      <c r="B235" s="7"/>
      <c r="C235" s="1845" t="s">
        <v>1656</v>
      </c>
      <c r="D235" s="1846"/>
      <c r="E235" s="36"/>
      <c r="F235" s="1693" t="str">
        <f>"(Line "&amp;A232&amp;" * Line "&amp;A233&amp;" * Line "&amp;A234&amp;")"</f>
        <v>(Line 152c * Line 153 * Line 154)</v>
      </c>
      <c r="G235" s="1694">
        <f>+G232*G233*G234</f>
        <v>2554369.2730459678</v>
      </c>
      <c r="H235" s="1710">
        <f>+H232*H233*H234</f>
        <v>2765327.3375341268</v>
      </c>
      <c r="J235" s="613" t="s">
        <v>1657</v>
      </c>
      <c r="K235" s="280"/>
    </row>
    <row r="236" spans="1:14" ht="15.6">
      <c r="A236" s="108"/>
      <c r="B236" s="7"/>
      <c r="C236" s="26"/>
      <c r="D236" s="9"/>
      <c r="E236" s="33"/>
      <c r="F236" s="150"/>
      <c r="G236" s="1469"/>
      <c r="H236" s="1470"/>
      <c r="J236" s="613"/>
      <c r="K236" s="280"/>
      <c r="L236" s="280"/>
    </row>
    <row r="237" spans="1:14" ht="15.6">
      <c r="A237" s="108">
        <f>+A235+1</f>
        <v>156</v>
      </c>
      <c r="B237" s="69" t="s">
        <v>113</v>
      </c>
      <c r="C237" s="10"/>
      <c r="D237" s="1841" t="s">
        <v>542</v>
      </c>
      <c r="E237" s="1841"/>
      <c r="F237" s="1843" t="str">
        <f>"[Line "&amp;A226&amp;" * Line "&amp;A217&amp;" * (1 - (Line "&amp;A212&amp;" / Line "&amp;A215&amp;"))]"</f>
        <v>[Line 151 * Line 146 * (1 - (Line 142 / Line 145))]</v>
      </c>
      <c r="G237" s="74">
        <f>IF(G215=0,0,+G226*(1-G212/G215)*G217)</f>
        <v>40338896.391120628</v>
      </c>
      <c r="H237" s="1146">
        <f>IF(H215=0,0,+H226*(1-H212/H215)*H217)</f>
        <v>43748828.961495109</v>
      </c>
      <c r="K237" s="280"/>
      <c r="L237" s="280"/>
    </row>
    <row r="238" spans="1:14">
      <c r="A238" s="108"/>
      <c r="B238" s="7"/>
      <c r="C238" s="8"/>
      <c r="D238" s="1842"/>
      <c r="E238" s="1842"/>
      <c r="F238" s="1844"/>
      <c r="G238" s="696"/>
      <c r="H238" s="1191"/>
      <c r="K238" s="280"/>
      <c r="L238" s="280"/>
    </row>
    <row r="239" spans="1:14" ht="16.2" thickBot="1">
      <c r="A239" s="108">
        <f>+A237+1</f>
        <v>157</v>
      </c>
      <c r="B239" s="18" t="s">
        <v>55</v>
      </c>
      <c r="C239" s="18"/>
      <c r="D239" s="16"/>
      <c r="E239" s="29"/>
      <c r="F239" s="141" t="str">
        <f>"(Line "&amp;A235&amp;" + Line "&amp;A237&amp;")"</f>
        <v>(Line 155 + Line 156)</v>
      </c>
      <c r="G239" s="101">
        <f>+G237+G235</f>
        <v>42893265.664166592</v>
      </c>
      <c r="H239" s="1174">
        <f>+H237+H235</f>
        <v>46514156.299029239</v>
      </c>
      <c r="K239" s="280"/>
      <c r="L239" s="280"/>
    </row>
    <row r="240" spans="1:14" ht="15.6" thickTop="1">
      <c r="A240" s="108"/>
      <c r="B240" s="7"/>
      <c r="C240" s="62"/>
      <c r="D240" s="6"/>
      <c r="E240" s="28"/>
      <c r="F240" s="142"/>
      <c r="G240" s="662"/>
      <c r="H240" s="1152"/>
      <c r="K240" s="280"/>
      <c r="L240" s="280"/>
    </row>
    <row r="241" spans="1:12" s="275" customFormat="1" ht="15.6">
      <c r="A241" s="1131" t="s">
        <v>517</v>
      </c>
      <c r="B241" s="262"/>
      <c r="C241" s="263"/>
      <c r="D241" s="263"/>
      <c r="E241" s="264"/>
      <c r="F241" s="265"/>
      <c r="G241" s="687"/>
      <c r="H241" s="1175"/>
      <c r="J241" s="1712"/>
      <c r="K241" s="276"/>
      <c r="L241" s="276"/>
    </row>
    <row r="242" spans="1:12">
      <c r="A242" s="111"/>
      <c r="B242" s="10"/>
      <c r="C242" s="10"/>
      <c r="D242" s="10"/>
      <c r="E242" s="28"/>
      <c r="F242" s="136"/>
      <c r="G242" s="685"/>
      <c r="H242" s="1164"/>
      <c r="K242" s="280"/>
      <c r="L242" s="280"/>
    </row>
    <row r="243" spans="1:12" ht="15.6">
      <c r="A243" s="111"/>
      <c r="B243" s="69" t="s">
        <v>56</v>
      </c>
      <c r="C243" s="10"/>
      <c r="D243" s="10"/>
      <c r="E243" s="28"/>
      <c r="F243" s="136"/>
      <c r="G243" s="685"/>
      <c r="H243" s="1164"/>
      <c r="K243" s="280"/>
      <c r="L243" s="280"/>
    </row>
    <row r="244" spans="1:12">
      <c r="A244" s="114">
        <f>+A239+1</f>
        <v>158</v>
      </c>
      <c r="B244" s="15"/>
      <c r="C244" s="15" t="str">
        <f>+B63</f>
        <v>TOTAL Net Property, Plant &amp; Equipment - Transmission</v>
      </c>
      <c r="D244" s="15"/>
      <c r="E244" s="36"/>
      <c r="F244" s="132" t="str">
        <f>"(Line "&amp;A63&amp;")"</f>
        <v>(Line 35)</v>
      </c>
      <c r="G244" s="685">
        <f>+G63</f>
        <v>1416996309.896831</v>
      </c>
      <c r="H244" s="1164">
        <f>+H63</f>
        <v>1615840630.0472505</v>
      </c>
      <c r="K244" s="280"/>
      <c r="L244" s="280"/>
    </row>
    <row r="245" spans="1:12">
      <c r="A245" s="77">
        <f>+A244+1</f>
        <v>159</v>
      </c>
      <c r="B245" s="15"/>
      <c r="C245" s="15" t="s">
        <v>109</v>
      </c>
      <c r="D245" s="15"/>
      <c r="E245" s="36"/>
      <c r="F245" s="140" t="str">
        <f>"(Line "&amp;A118&amp;")"</f>
        <v>(Line 73)</v>
      </c>
      <c r="G245" s="685">
        <f>+G118</f>
        <v>-258731270.35691512</v>
      </c>
      <c r="H245" s="1164">
        <f>+H118</f>
        <v>-281931204.41709799</v>
      </c>
      <c r="K245" s="280"/>
      <c r="L245" s="280"/>
    </row>
    <row r="246" spans="1:12" ht="15.6">
      <c r="A246" s="77">
        <f>+A245+1</f>
        <v>160</v>
      </c>
      <c r="B246" s="33"/>
      <c r="C246" s="306" t="s">
        <v>112</v>
      </c>
      <c r="D246" s="307"/>
      <c r="E246" s="480"/>
      <c r="F246" s="132" t="str">
        <f>"(Line "&amp;A120&amp;")"</f>
        <v>(Line 74)</v>
      </c>
      <c r="G246" s="697">
        <f>+G120</f>
        <v>1158265039.539916</v>
      </c>
      <c r="H246" s="1192">
        <f>+H120</f>
        <v>1333909425.6301525</v>
      </c>
      <c r="K246" s="280"/>
      <c r="L246" s="280"/>
    </row>
    <row r="247" spans="1:12">
      <c r="A247" s="77"/>
      <c r="B247" s="33"/>
      <c r="C247" s="61"/>
      <c r="D247" s="9"/>
      <c r="E247" s="110"/>
      <c r="F247" s="135"/>
      <c r="G247" s="685"/>
      <c r="H247" s="1164"/>
      <c r="K247" s="280"/>
      <c r="L247" s="280"/>
    </row>
    <row r="248" spans="1:12">
      <c r="A248" s="77">
        <f>+A246+1</f>
        <v>161</v>
      </c>
      <c r="B248" s="9"/>
      <c r="C248" s="61" t="s">
        <v>131</v>
      </c>
      <c r="D248" s="9"/>
      <c r="E248" s="36"/>
      <c r="F248" s="132" t="str">
        <f>"(Line "&amp;A156&amp;")"</f>
        <v>(Line 102)</v>
      </c>
      <c r="G248" s="685">
        <f>+G156</f>
        <v>30863522.995313648</v>
      </c>
      <c r="H248" s="1164">
        <f>+H156</f>
        <v>31009891.341068812</v>
      </c>
      <c r="K248" s="280"/>
      <c r="L248" s="280"/>
    </row>
    <row r="249" spans="1:12">
      <c r="A249" s="77">
        <f t="shared" ref="A249:A255" si="8">+A248+1</f>
        <v>162</v>
      </c>
      <c r="B249" s="9"/>
      <c r="C249" s="58" t="s">
        <v>100</v>
      </c>
      <c r="D249" s="9"/>
      <c r="E249" s="36"/>
      <c r="F249" s="132" t="str">
        <f>"(Line "&amp;A170&amp;")"</f>
        <v>(Line 112)</v>
      </c>
      <c r="G249" s="685">
        <f>+G170</f>
        <v>40235313.719505481</v>
      </c>
      <c r="H249" s="1164">
        <f>+H170</f>
        <v>40235313.719505481</v>
      </c>
      <c r="K249" s="280"/>
      <c r="L249" s="280"/>
    </row>
    <row r="250" spans="1:12">
      <c r="A250" s="77">
        <f t="shared" si="8"/>
        <v>163</v>
      </c>
      <c r="B250" s="33"/>
      <c r="C250" s="61" t="s">
        <v>57</v>
      </c>
      <c r="D250" s="9"/>
      <c r="E250" s="110"/>
      <c r="F250" s="137" t="str">
        <f>"(Line "&amp;A185&amp;")"</f>
        <v>(Line 124)</v>
      </c>
      <c r="G250" s="685">
        <f>+G185</f>
        <v>7759434.7258734955</v>
      </c>
      <c r="H250" s="1164">
        <f>+H185</f>
        <v>8212329.1440204568</v>
      </c>
      <c r="K250" s="280"/>
      <c r="L250" s="280"/>
    </row>
    <row r="251" spans="1:12">
      <c r="A251" s="77">
        <f t="shared" si="8"/>
        <v>164</v>
      </c>
      <c r="B251" s="33"/>
      <c r="C251" s="61" t="s">
        <v>792</v>
      </c>
      <c r="D251" s="9"/>
      <c r="E251" s="110"/>
      <c r="F251" s="137" t="str">
        <f>"(Line "&amp;A193&amp;")"</f>
        <v>(Line 129)</v>
      </c>
      <c r="G251" s="681">
        <f>G193</f>
        <v>0</v>
      </c>
      <c r="H251" s="1141">
        <f>H193</f>
        <v>0</v>
      </c>
      <c r="I251" s="1028"/>
      <c r="K251" s="280"/>
      <c r="L251" s="280"/>
    </row>
    <row r="252" spans="1:12">
      <c r="A252" s="77">
        <f t="shared" si="8"/>
        <v>165</v>
      </c>
      <c r="B252" s="33"/>
      <c r="C252" s="271" t="s">
        <v>123</v>
      </c>
      <c r="D252" s="9"/>
      <c r="E252" s="110"/>
      <c r="F252" s="137" t="str">
        <f>"(Line "&amp;A217&amp;")"</f>
        <v>(Line 146)</v>
      </c>
      <c r="G252" s="685">
        <f>+G217</f>
        <v>88823075.803749159</v>
      </c>
      <c r="H252" s="1164">
        <f>+H217</f>
        <v>97574646.565618232</v>
      </c>
      <c r="K252" s="280"/>
      <c r="L252" s="280"/>
    </row>
    <row r="253" spans="1:12">
      <c r="A253" s="77">
        <f t="shared" si="8"/>
        <v>166</v>
      </c>
      <c r="B253" s="33"/>
      <c r="C253" s="271" t="s">
        <v>124</v>
      </c>
      <c r="D253" s="9"/>
      <c r="E253" s="110"/>
      <c r="F253" s="137" t="str">
        <f>"(Line "&amp;A239&amp;")"</f>
        <v>(Line 157)</v>
      </c>
      <c r="G253" s="685">
        <f>+G239</f>
        <v>42893265.664166592</v>
      </c>
      <c r="H253" s="1164">
        <f>+H239</f>
        <v>46514156.299029239</v>
      </c>
      <c r="K253" s="280"/>
      <c r="L253" s="280"/>
    </row>
    <row r="254" spans="1:12">
      <c r="A254" s="77">
        <f t="shared" si="8"/>
        <v>167</v>
      </c>
      <c r="B254" s="33"/>
      <c r="C254" s="271" t="s">
        <v>301</v>
      </c>
      <c r="D254" s="9"/>
      <c r="E254" s="36" t="str">
        <f>"(Note "&amp;A$325&amp;")"</f>
        <v>(Note T)</v>
      </c>
      <c r="F254" s="137"/>
      <c r="G254" s="224">
        <v>0</v>
      </c>
      <c r="H254" s="1155">
        <v>0</v>
      </c>
      <c r="I254" s="280"/>
      <c r="J254" s="1712" t="s">
        <v>1672</v>
      </c>
      <c r="K254" s="280"/>
      <c r="L254" s="280"/>
    </row>
    <row r="255" spans="1:12">
      <c r="A255" s="77">
        <f t="shared" si="8"/>
        <v>168</v>
      </c>
      <c r="B255" s="33"/>
      <c r="C255" s="271" t="s">
        <v>302</v>
      </c>
      <c r="D255" s="9"/>
      <c r="E255" s="36" t="str">
        <f>"(Note "&amp;A$326&amp;")"</f>
        <v>(Note U)</v>
      </c>
      <c r="F255" s="137"/>
      <c r="G255" s="224">
        <v>0</v>
      </c>
      <c r="H255" s="1155">
        <v>0</v>
      </c>
      <c r="I255" s="280"/>
      <c r="J255" s="1712" t="s">
        <v>1672</v>
      </c>
      <c r="K255" s="280"/>
      <c r="L255" s="280"/>
    </row>
    <row r="256" spans="1:12" ht="15.6" thickBot="1">
      <c r="A256" s="77"/>
      <c r="B256" s="33"/>
      <c r="C256" s="271"/>
      <c r="D256" s="9"/>
      <c r="E256" s="110"/>
      <c r="F256" s="144"/>
      <c r="G256" s="685"/>
      <c r="H256" s="1164"/>
      <c r="K256" s="280"/>
      <c r="L256" s="280"/>
    </row>
    <row r="257" spans="1:12" ht="16.2" thickBot="1">
      <c r="A257" s="603">
        <f>+A255+1</f>
        <v>169</v>
      </c>
      <c r="B257" s="604"/>
      <c r="C257" s="605" t="s">
        <v>126</v>
      </c>
      <c r="D257" s="606"/>
      <c r="E257" s="1229"/>
      <c r="F257" s="1059" t="str">
        <f>"Sum of (Line "&amp;A248&amp;" to Line "&amp;A253&amp;") - Line "&amp;A254&amp;" - Line "&amp;A255</f>
        <v>Sum of (Line 161 to Line 166) - Line 167 - Line 168</v>
      </c>
      <c r="G257" s="699">
        <f>SUM(G248:G253)-G254-G255</f>
        <v>210574612.90860841</v>
      </c>
      <c r="H257" s="1193">
        <f>SUM(H248:H253)-H254-H255</f>
        <v>223546337.06924221</v>
      </c>
      <c r="I257" s="1029"/>
      <c r="K257" s="280"/>
      <c r="L257" s="280"/>
    </row>
    <row r="258" spans="1:12" ht="15.6">
      <c r="A258" s="126"/>
      <c r="B258" s="7"/>
      <c r="C258" s="5"/>
      <c r="D258" s="51"/>
      <c r="E258" s="608"/>
      <c r="F258" s="1230"/>
      <c r="G258" s="698"/>
      <c r="H258" s="1194"/>
      <c r="K258" s="280"/>
      <c r="L258" s="280"/>
    </row>
    <row r="259" spans="1:12" ht="15.6">
      <c r="A259" s="126"/>
      <c r="B259" s="26" t="s">
        <v>81</v>
      </c>
      <c r="C259" s="5"/>
      <c r="D259" s="51"/>
      <c r="E259" s="608"/>
      <c r="F259" s="1230"/>
      <c r="G259" s="698"/>
      <c r="H259" s="1194"/>
      <c r="K259" s="280"/>
      <c r="L259" s="280"/>
    </row>
    <row r="260" spans="1:12" ht="15.6">
      <c r="A260" s="77">
        <f>+A257+1</f>
        <v>170</v>
      </c>
      <c r="B260" s="33"/>
      <c r="C260" s="61" t="str">
        <f>+C42</f>
        <v>Total Transmission Plant In Service</v>
      </c>
      <c r="D260" s="51"/>
      <c r="E260" s="608"/>
      <c r="F260" s="137" t="str">
        <f>"(Line "&amp;A42&amp;")"</f>
        <v>(Line 21)</v>
      </c>
      <c r="G260" s="681">
        <f>+G42</f>
        <v>1879107153.9115384</v>
      </c>
      <c r="H260" s="1141">
        <f>+H42</f>
        <v>2085003947.2997227</v>
      </c>
      <c r="K260" s="280"/>
      <c r="L260" s="280"/>
    </row>
    <row r="261" spans="1:12" ht="15.6">
      <c r="A261" s="77">
        <f>+A260+1</f>
        <v>171</v>
      </c>
      <c r="B261" s="33"/>
      <c r="C261" s="63" t="s">
        <v>82</v>
      </c>
      <c r="D261" s="607"/>
      <c r="E261" s="76" t="str">
        <f>"(Notes "&amp;A$307&amp;", "&amp;A$318&amp;", "&amp;A$324&amp;")"</f>
        <v>(Notes B, M, S)</v>
      </c>
      <c r="F261" s="138" t="str">
        <f>+"WP02 Support Line "&amp;'WP02 Support'!A169&amp;" Columns "&amp;'WP02 Support'!$D$5&amp;" &amp; "&amp;'WP02 Support'!F5</f>
        <v>WP02 Support Line 58 Columns C &amp; E</v>
      </c>
      <c r="G261" s="475">
        <f>'WP02 Support'!D169</f>
        <v>110852937.24307692</v>
      </c>
      <c r="H261" s="1177">
        <f>'WP02 Support'!F169</f>
        <v>114692473.91999999</v>
      </c>
      <c r="K261" s="280"/>
      <c r="L261" s="280"/>
    </row>
    <row r="262" spans="1:12" ht="15.6">
      <c r="A262" s="77">
        <f>+A261+1</f>
        <v>172</v>
      </c>
      <c r="B262" s="33"/>
      <c r="C262" s="61" t="s">
        <v>83</v>
      </c>
      <c r="D262" s="51"/>
      <c r="E262" s="608"/>
      <c r="F262" s="137" t="str">
        <f>"(Line "&amp;A260&amp;" - Line "&amp;A261&amp;")"</f>
        <v>(Line 170 - Line 171)</v>
      </c>
      <c r="G262" s="681">
        <f>+G260-G261</f>
        <v>1768254216.6684613</v>
      </c>
      <c r="H262" s="1141">
        <f>+H260-H261</f>
        <v>1970311473.3797226</v>
      </c>
      <c r="K262" s="280"/>
      <c r="L262" s="280"/>
    </row>
    <row r="263" spans="1:12" s="280" customFormat="1" ht="15.6">
      <c r="A263" s="77">
        <f>+A262+1</f>
        <v>173</v>
      </c>
      <c r="B263" s="33"/>
      <c r="C263" s="61" t="s">
        <v>84</v>
      </c>
      <c r="D263" s="51"/>
      <c r="E263" s="608"/>
      <c r="F263" s="137" t="str">
        <f>"(Line "&amp;A262&amp;" / Line "&amp;A260&amp;")"</f>
        <v>(Line 172 / Line 170)</v>
      </c>
      <c r="G263" s="1471">
        <f>IF(G260 =0, 0,+G262/G260)</f>
        <v>0.94100765514498408</v>
      </c>
      <c r="H263" s="1471">
        <f>IF(H260 =0, 0,+H262/H260)</f>
        <v>0.94499172336410309</v>
      </c>
      <c r="J263" s="1712"/>
    </row>
    <row r="264" spans="1:12" ht="15.6">
      <c r="A264" s="77">
        <f>+A263+1</f>
        <v>174</v>
      </c>
      <c r="B264" s="33"/>
      <c r="C264" s="63" t="s">
        <v>126</v>
      </c>
      <c r="D264" s="607"/>
      <c r="E264" s="1231"/>
      <c r="F264" s="138" t="str">
        <f>"(Line "&amp;A257&amp;")"</f>
        <v>(Line 169)</v>
      </c>
      <c r="G264" s="475">
        <f>+G257</f>
        <v>210574612.90860841</v>
      </c>
      <c r="H264" s="1177">
        <f>+H257</f>
        <v>223546337.06924221</v>
      </c>
      <c r="K264" s="280"/>
      <c r="L264" s="280"/>
    </row>
    <row r="265" spans="1:12" ht="15.6">
      <c r="A265" s="77">
        <f>+A264+1</f>
        <v>175</v>
      </c>
      <c r="B265" s="33"/>
      <c r="C265" s="5" t="s">
        <v>85</v>
      </c>
      <c r="D265" s="51"/>
      <c r="E265" s="608"/>
      <c r="F265" s="137" t="str">
        <f>"(Line "&amp;A263&amp;" * Line "&amp;A264&amp;")"</f>
        <v>(Line 173 * Line 174)</v>
      </c>
      <c r="G265" s="683">
        <f>+G264*G263</f>
        <v>198152322.7261923</v>
      </c>
      <c r="H265" s="1160">
        <f>+H264*H263</f>
        <v>211249438.31879589</v>
      </c>
      <c r="K265" s="280"/>
      <c r="L265" s="280"/>
    </row>
    <row r="266" spans="1:12" ht="15.6">
      <c r="A266" s="115"/>
      <c r="B266" s="7"/>
      <c r="C266" s="61"/>
      <c r="D266" s="9"/>
      <c r="E266" s="55"/>
      <c r="F266" s="135"/>
      <c r="G266" s="694"/>
      <c r="H266" s="1176"/>
      <c r="K266" s="280"/>
      <c r="L266" s="280"/>
    </row>
    <row r="267" spans="1:12" ht="15.6">
      <c r="A267" s="1133"/>
      <c r="B267" s="41" t="s">
        <v>159</v>
      </c>
      <c r="C267" s="61"/>
      <c r="D267" s="9"/>
      <c r="E267" s="55"/>
      <c r="F267" s="135"/>
      <c r="G267" s="689"/>
      <c r="H267" s="1168"/>
      <c r="K267" s="280"/>
      <c r="L267" s="280"/>
    </row>
    <row r="268" spans="1:12" ht="15.6">
      <c r="A268" s="1133"/>
      <c r="B268" s="41"/>
      <c r="C268" s="5" t="s">
        <v>798</v>
      </c>
      <c r="D268" s="9"/>
      <c r="E268" s="55"/>
      <c r="F268" s="135"/>
      <c r="G268" s="689"/>
      <c r="H268" s="1168"/>
      <c r="K268" s="280"/>
      <c r="L268" s="280"/>
    </row>
    <row r="269" spans="1:12" ht="15.6">
      <c r="A269" s="114">
        <f>+A265+1</f>
        <v>176</v>
      </c>
      <c r="B269" s="41"/>
      <c r="C269" s="958" t="s">
        <v>141</v>
      </c>
      <c r="D269" s="9"/>
      <c r="E269" s="55"/>
      <c r="F269" s="133" t="str">
        <f>+"WP17 Rev Line "&amp;'WP17 Rev'!A$10&amp;" Column "&amp;'WP17 Rev'!D5</f>
        <v>WP17 Rev Line 2 Column C</v>
      </c>
      <c r="G269" s="681">
        <f>+'WP17 Rev'!D10</f>
        <v>44000.369999999995</v>
      </c>
      <c r="H269" s="1141">
        <f>+'WP17 Rev'!D10</f>
        <v>44000.369999999995</v>
      </c>
      <c r="K269" s="280"/>
      <c r="L269" s="280"/>
    </row>
    <row r="270" spans="1:12" ht="15.6">
      <c r="A270" s="114">
        <f>+A269+1</f>
        <v>177</v>
      </c>
      <c r="B270" s="41"/>
      <c r="C270" s="958" t="s">
        <v>178</v>
      </c>
      <c r="D270" s="9"/>
      <c r="E270" s="55"/>
      <c r="F270" s="133" t="str">
        <f>+"WP17 Rev Line "&amp;'WP17 Rev'!A$10&amp;" Column "&amp;'WP17 Rev'!F5</f>
        <v>WP17 Rev Line 2 Column E</v>
      </c>
      <c r="G270" s="681">
        <f>+'WP17 Rev'!F10</f>
        <v>121111.59</v>
      </c>
      <c r="H270" s="1141">
        <f>+'WP17 Rev'!F10</f>
        <v>121111.59</v>
      </c>
      <c r="K270" s="280"/>
      <c r="L270" s="280"/>
    </row>
    <row r="271" spans="1:12" ht="15.6">
      <c r="A271" s="114">
        <f>+A270+1</f>
        <v>178</v>
      </c>
      <c r="B271" s="41"/>
      <c r="C271" s="958" t="str">
        <f>+B$24</f>
        <v>Wages &amp; Salary Allocator</v>
      </c>
      <c r="D271" s="9"/>
      <c r="E271" s="55"/>
      <c r="F271" s="133" t="str">
        <f>"(Line "&amp;A$24&amp;")"</f>
        <v>(Line 11)</v>
      </c>
      <c r="G271" s="270">
        <f>+G$24</f>
        <v>6.7158003663324653E-2</v>
      </c>
      <c r="H271" s="1147">
        <f>H$24</f>
        <v>6.7158003663324653E-2</v>
      </c>
      <c r="K271" s="280"/>
      <c r="L271" s="280"/>
    </row>
    <row r="272" spans="1:12" ht="15.6">
      <c r="A272" s="114">
        <f>+A271+1</f>
        <v>179</v>
      </c>
      <c r="B272" s="41"/>
      <c r="C272" s="957" t="str">
        <f>+"Total Transmission Allocated "&amp;C270</f>
        <v>Total Transmission Allocated General Plant</v>
      </c>
      <c r="D272" s="9"/>
      <c r="E272" s="55"/>
      <c r="F272" s="138" t="str">
        <f>"(Line "&amp;A270&amp;" * Line "&amp;A271&amp;")"</f>
        <v>(Line 177 * Line 178)</v>
      </c>
      <c r="G272" s="945">
        <f>+G270*G271</f>
        <v>8133.6126048910728</v>
      </c>
      <c r="H272" s="1153">
        <f>+H270*H271</f>
        <v>8133.6126048910728</v>
      </c>
      <c r="K272" s="280"/>
      <c r="L272" s="280"/>
    </row>
    <row r="273" spans="1:12" ht="15.6">
      <c r="A273" s="114">
        <f>+A272+1</f>
        <v>180</v>
      </c>
      <c r="B273" s="41"/>
      <c r="C273" s="58" t="s">
        <v>799</v>
      </c>
      <c r="D273" s="9"/>
      <c r="E273" s="55"/>
      <c r="F273" s="137" t="str">
        <f>"(Line "&amp;A269&amp;" + Line "&amp;A272&amp;")"</f>
        <v>(Line 176 + Line 179)</v>
      </c>
      <c r="G273" s="102">
        <f>+G269+G272</f>
        <v>52133.982604891069</v>
      </c>
      <c r="H273" s="1136">
        <f>+H269+H272</f>
        <v>52133.982604891069</v>
      </c>
      <c r="K273" s="280"/>
      <c r="L273" s="280"/>
    </row>
    <row r="274" spans="1:12">
      <c r="A274" s="120"/>
      <c r="B274" s="7"/>
      <c r="C274" s="61"/>
      <c r="D274" s="9"/>
      <c r="F274" s="135"/>
      <c r="G274" s="689"/>
      <c r="H274" s="1168"/>
      <c r="K274" s="280"/>
      <c r="L274" s="280"/>
    </row>
    <row r="275" spans="1:12" ht="15.6">
      <c r="A275" s="115"/>
      <c r="B275" s="26"/>
      <c r="C275" s="5" t="s">
        <v>800</v>
      </c>
      <c r="D275" s="9"/>
      <c r="E275" s="55"/>
      <c r="F275" s="144"/>
      <c r="G275" s="74"/>
      <c r="H275" s="1176"/>
      <c r="K275" s="280"/>
      <c r="L275" s="280"/>
    </row>
    <row r="276" spans="1:12">
      <c r="A276" s="114">
        <f>+A273+1</f>
        <v>181</v>
      </c>
      <c r="B276" s="58"/>
      <c r="C276" s="1232" t="s">
        <v>825</v>
      </c>
      <c r="D276" s="9"/>
      <c r="E276" s="110"/>
      <c r="F276" s="133" t="str">
        <f>+"WP17 Rev Line "&amp;'WP17 Rev'!A$63&amp;" Column "&amp;'WP17 Rev'!D5</f>
        <v>WP17 Rev Line 7 Column C</v>
      </c>
      <c r="G276" s="102">
        <f>+'WP17 Rev'!$D63</f>
        <v>693280.71408016398</v>
      </c>
      <c r="H276" s="1136">
        <f>+'WP17 Rev'!$D63</f>
        <v>693280.71408016398</v>
      </c>
      <c r="K276" s="280"/>
      <c r="L276" s="280"/>
    </row>
    <row r="277" spans="1:12">
      <c r="A277" s="77">
        <f t="shared" ref="A277:A285" si="9">+A276+1</f>
        <v>182</v>
      </c>
      <c r="B277" s="58"/>
      <c r="C277" s="1232" t="s">
        <v>827</v>
      </c>
      <c r="D277" s="9"/>
      <c r="E277" s="110"/>
      <c r="F277" s="133" t="str">
        <f>+"WP17 Rev Line "&amp;'WP17 Rev'!A$63&amp;" Column "&amp;'WP17 Rev'!E5</f>
        <v>WP17 Rev Line 7 Column D</v>
      </c>
      <c r="G277" s="690">
        <f>+'WP17 Rev'!$E63</f>
        <v>93630936.979606971</v>
      </c>
      <c r="H277" s="1137">
        <f>+'WP17 Rev'!$E63</f>
        <v>93630936.979606971</v>
      </c>
      <c r="K277" s="280"/>
      <c r="L277" s="280"/>
    </row>
    <row r="278" spans="1:12" ht="15.6">
      <c r="A278" s="77">
        <f t="shared" si="9"/>
        <v>183</v>
      </c>
      <c r="B278" s="41"/>
      <c r="C278" s="958" t="s">
        <v>826</v>
      </c>
      <c r="D278" s="9"/>
      <c r="E278" s="36"/>
      <c r="F278" s="137" t="str">
        <f>"(Line "&amp;A276&amp;" + Line "&amp;A277&amp;")"</f>
        <v>(Line 181 + Line 182)</v>
      </c>
      <c r="G278" s="681">
        <f>SUM(G276:G277)</f>
        <v>94324217.693687141</v>
      </c>
      <c r="H278" s="1141">
        <f>SUM(H276:H277)</f>
        <v>94324217.693687141</v>
      </c>
      <c r="K278" s="280"/>
      <c r="L278" s="280"/>
    </row>
    <row r="279" spans="1:12">
      <c r="A279" s="77">
        <f t="shared" si="9"/>
        <v>184</v>
      </c>
      <c r="B279" s="117"/>
      <c r="C279" s="958" t="s">
        <v>178</v>
      </c>
      <c r="D279" s="9"/>
      <c r="E279" s="36"/>
      <c r="F279" s="133" t="str">
        <f>+"WP17 Rev Line "&amp;'WP17 Rev'!A$63&amp;" Column "&amp;'WP17 Rev'!F5</f>
        <v>WP17 Rev Line 7 Column E</v>
      </c>
      <c r="G279" s="681">
        <f>+'WP17 Rev'!F63</f>
        <v>0</v>
      </c>
      <c r="H279" s="1141">
        <f>+'WP17 Rev'!F63</f>
        <v>0</v>
      </c>
      <c r="K279" s="280"/>
      <c r="L279" s="280"/>
    </row>
    <row r="280" spans="1:12" s="280" customFormat="1" ht="15.6">
      <c r="A280" s="114">
        <f t="shared" si="9"/>
        <v>185</v>
      </c>
      <c r="B280" s="51"/>
      <c r="C280" s="958" t="str">
        <f>+B$24</f>
        <v>Wages &amp; Salary Allocator</v>
      </c>
      <c r="D280" s="9"/>
      <c r="E280" s="52"/>
      <c r="F280" s="133" t="str">
        <f>"(Line "&amp;A$24&amp;")"</f>
        <v>(Line 11)</v>
      </c>
      <c r="G280" s="270">
        <f>+G$24</f>
        <v>6.7158003663324653E-2</v>
      </c>
      <c r="H280" s="1147">
        <f>H$24</f>
        <v>6.7158003663324653E-2</v>
      </c>
      <c r="J280" s="1712"/>
    </row>
    <row r="281" spans="1:12">
      <c r="A281" s="77">
        <f t="shared" si="9"/>
        <v>186</v>
      </c>
      <c r="B281" s="117"/>
      <c r="C281" s="957" t="str">
        <f>+"Total Transmission Allocated "&amp;C279</f>
        <v>Total Transmission Allocated General Plant</v>
      </c>
      <c r="D281" s="68"/>
      <c r="E281" s="76"/>
      <c r="F281" s="138" t="str">
        <f>"(Line "&amp;A279&amp;" * "&amp;A280&amp;")"</f>
        <v>(Line 184 * 185)</v>
      </c>
      <c r="G281" s="945">
        <f>+G279*G280</f>
        <v>0</v>
      </c>
      <c r="H281" s="1153">
        <f>+H279*H280</f>
        <v>0</v>
      </c>
      <c r="K281" s="280"/>
      <c r="L281" s="280"/>
    </row>
    <row r="282" spans="1:12">
      <c r="A282" s="77">
        <f t="shared" si="9"/>
        <v>187</v>
      </c>
      <c r="B282" s="15"/>
      <c r="C282" s="58" t="s">
        <v>475</v>
      </c>
      <c r="D282" s="9"/>
      <c r="E282" s="36"/>
      <c r="F282" s="137" t="str">
        <f>"(Line "&amp;A278&amp;" + "&amp;A281&amp;")"</f>
        <v>(Line 183 + 186)</v>
      </c>
      <c r="G282" s="102">
        <f>+G278+G281</f>
        <v>94324217.693687141</v>
      </c>
      <c r="H282" s="1136">
        <f>+H278+H281</f>
        <v>94324217.693687141</v>
      </c>
      <c r="K282" s="280"/>
      <c r="L282" s="280"/>
    </row>
    <row r="283" spans="1:12">
      <c r="A283" s="77">
        <f t="shared" si="9"/>
        <v>188</v>
      </c>
      <c r="B283" s="15"/>
      <c r="C283" s="1060" t="str">
        <f>+"Less "&amp;C277</f>
        <v>Less Transmission Network &amp; LTF Service Revenues</v>
      </c>
      <c r="D283" s="9"/>
      <c r="E283" s="36"/>
      <c r="F283" s="133" t="str">
        <f>"(Line "&amp;A$277&amp;")"</f>
        <v>(Line 182)</v>
      </c>
      <c r="G283" s="1233">
        <f>+G277</f>
        <v>93630936.979606971</v>
      </c>
      <c r="H283" s="1234">
        <f>+H277</f>
        <v>93630936.979606971</v>
      </c>
      <c r="K283" s="280"/>
      <c r="L283" s="280"/>
    </row>
    <row r="284" spans="1:12">
      <c r="A284" s="77">
        <f t="shared" si="9"/>
        <v>189</v>
      </c>
      <c r="B284" s="15"/>
      <c r="C284" s="1060" t="s">
        <v>721</v>
      </c>
      <c r="D284" s="9"/>
      <c r="E284" s="36" t="str">
        <f>"(Note "&amp;A$331&amp;")"</f>
        <v>(Note Z)</v>
      </c>
      <c r="F284" s="133" t="str">
        <f>+"WP17 Rev Line "&amp;'WP17 Rev'!A$52&amp;" Column "&amp;'WP17 Rev'!D5</f>
        <v>WP17 Rev Line 6.38 Column C</v>
      </c>
      <c r="G284" s="1233">
        <f>+'WP17 Rev'!$D52</f>
        <v>0</v>
      </c>
      <c r="H284" s="1234">
        <f>+'WP17 Rev'!$D52</f>
        <v>0</v>
      </c>
      <c r="I284" s="1062"/>
      <c r="K284" s="280"/>
      <c r="L284" s="280"/>
    </row>
    <row r="285" spans="1:12">
      <c r="A285" s="77">
        <f t="shared" si="9"/>
        <v>190</v>
      </c>
      <c r="B285" s="15"/>
      <c r="C285" s="1061" t="s">
        <v>720</v>
      </c>
      <c r="D285" s="68"/>
      <c r="E285" s="76" t="str">
        <f>"(Note "&amp;A$332&amp;")"</f>
        <v>(Note AA)</v>
      </c>
      <c r="F285" s="278" t="str">
        <f>+"WP17 Rev Line "&amp;'WP17 Rev'!A$53&amp;" Column "&amp;'WP17 Rev'!D5</f>
        <v>WP17 Rev Line 6.39 Column C</v>
      </c>
      <c r="G285" s="761">
        <f>+'WP17 Rev'!D$53</f>
        <v>0</v>
      </c>
      <c r="H285" s="1235">
        <f>+'WP17 Rev'!E$53</f>
        <v>0</v>
      </c>
      <c r="I285" s="1062"/>
      <c r="K285" s="280"/>
      <c r="L285" s="280"/>
    </row>
    <row r="286" spans="1:12">
      <c r="A286" s="77">
        <f>+A285+1</f>
        <v>191</v>
      </c>
      <c r="B286" s="15"/>
      <c r="C286" s="58" t="str">
        <f>+"Revenue Credits - "&amp;C276</f>
        <v>Revenue Credits - Transmission Service Other Revenue Credits</v>
      </c>
      <c r="D286" s="9"/>
      <c r="E286" s="36"/>
      <c r="F286" s="144" t="str">
        <f>"(Line "&amp;A282&amp;" - Line "&amp;A283&amp;" - Line "&amp;A284&amp;" - Line "&amp;A285&amp;")"</f>
        <v>(Line 187 - Line 188 - Line 189 - Line 190)</v>
      </c>
      <c r="G286" s="102">
        <f>+G282-G283-G284-G285</f>
        <v>693280.7140801698</v>
      </c>
      <c r="H286" s="1136">
        <f>+H282-H283-H284-H285</f>
        <v>693280.7140801698</v>
      </c>
      <c r="K286" s="280"/>
      <c r="L286" s="280"/>
    </row>
    <row r="287" spans="1:12">
      <c r="A287" s="77">
        <f>+A286+1</f>
        <v>192</v>
      </c>
      <c r="B287" s="10"/>
      <c r="C287" s="58" t="s">
        <v>158</v>
      </c>
      <c r="D287" s="9"/>
      <c r="E287" s="36" t="str">
        <f>"(Note "&amp;A$319&amp;")"</f>
        <v>(Note N)</v>
      </c>
      <c r="F287" s="144"/>
      <c r="G287" s="224">
        <v>0</v>
      </c>
      <c r="H287" s="1155">
        <v>0</v>
      </c>
      <c r="J287" s="1712" t="s">
        <v>1672</v>
      </c>
      <c r="K287" s="280"/>
      <c r="L287" s="280"/>
    </row>
    <row r="288" spans="1:12" ht="16.2" thickBot="1">
      <c r="A288" s="108"/>
      <c r="B288" s="7"/>
      <c r="C288" s="15"/>
      <c r="D288" s="15"/>
      <c r="E288" s="36"/>
      <c r="F288" s="144"/>
      <c r="G288" s="73"/>
      <c r="H288" s="1142"/>
      <c r="K288" s="280"/>
      <c r="L288" s="280"/>
    </row>
    <row r="289" spans="1:181" s="1" customFormat="1" ht="16.2" thickBot="1">
      <c r="A289" s="603">
        <f>+A287+1</f>
        <v>193</v>
      </c>
      <c r="B289" s="151"/>
      <c r="C289" s="1052" t="s">
        <v>130</v>
      </c>
      <c r="D289" s="610"/>
      <c r="E289" s="1053"/>
      <c r="F289" s="1059" t="str">
        <f>"(Line "&amp;A265&amp;" - Line "&amp;A273&amp;" - Line "&amp;A286&amp;" + Line "&amp;A287&amp;")"</f>
        <v>(Line 175 - Line 180 - Line 191 + Line 192)</v>
      </c>
      <c r="G289" s="699">
        <f>+G265-G273-G286+G287</f>
        <v>197406908.02950722</v>
      </c>
      <c r="H289" s="1193">
        <f>+H265-H273-H286+H287</f>
        <v>210504023.62211084</v>
      </c>
      <c r="J289" s="1712"/>
      <c r="K289" s="280"/>
      <c r="L289" s="37"/>
    </row>
    <row r="290" spans="1:181" ht="15.6">
      <c r="A290" s="115"/>
      <c r="B290" s="7"/>
      <c r="C290" s="15"/>
      <c r="D290" s="15"/>
      <c r="E290" s="36"/>
      <c r="F290" s="144"/>
      <c r="G290" s="700"/>
      <c r="H290" s="1176"/>
      <c r="I290" s="1"/>
      <c r="K290" s="280"/>
      <c r="L290" s="280"/>
    </row>
    <row r="291" spans="1:181" ht="15.6">
      <c r="A291" s="77">
        <f>+A289+1</f>
        <v>194</v>
      </c>
      <c r="B291" s="33"/>
      <c r="C291" s="15" t="s">
        <v>1161</v>
      </c>
      <c r="D291" s="15" t="s">
        <v>859</v>
      </c>
      <c r="E291" s="1236"/>
      <c r="F291" s="139" t="str">
        <f>+"WP01 True-up Line "&amp;'WP01 True-Up'!A68&amp;" (EOY) Column "&amp;'WP01 True-Up'!F6</f>
        <v>WP01 True-up Line 29 (EOY) Column E</v>
      </c>
      <c r="G291" s="681"/>
      <c r="H291" s="1136">
        <f>+'WP01 True-Up'!F68</f>
        <v>11154931.414013188</v>
      </c>
      <c r="I291" s="1"/>
      <c r="K291" s="37"/>
      <c r="L291" s="280"/>
    </row>
    <row r="292" spans="1:181" ht="16.2" thickBot="1">
      <c r="A292" s="77"/>
      <c r="B292" s="33"/>
      <c r="C292" s="15"/>
      <c r="D292" s="15"/>
      <c r="E292" s="110"/>
      <c r="F292" s="139"/>
      <c r="G292" s="701"/>
      <c r="H292" s="1195"/>
      <c r="I292" s="1"/>
      <c r="J292" s="1711"/>
      <c r="K292" s="37"/>
      <c r="L292" s="280"/>
    </row>
    <row r="293" spans="1:181" ht="16.2" thickBot="1">
      <c r="A293" s="603">
        <f>+A291+1</f>
        <v>195</v>
      </c>
      <c r="B293" s="151"/>
      <c r="C293" s="609" t="s">
        <v>28</v>
      </c>
      <c r="D293" s="610"/>
      <c r="E293" s="611"/>
      <c r="F293" s="310" t="str">
        <f>"(Line "&amp;A289&amp;" + Line "&amp;A291&amp;")"</f>
        <v>(Line 193 + Line 194)</v>
      </c>
      <c r="G293" s="699"/>
      <c r="H293" s="1193">
        <f>+H289+H291</f>
        <v>221658955.03612402</v>
      </c>
      <c r="I293" s="1"/>
      <c r="J293" s="1711"/>
      <c r="K293" s="964"/>
      <c r="L293" s="280"/>
    </row>
    <row r="294" spans="1:181" s="10" customFormat="1" ht="15.6">
      <c r="A294" s="77"/>
      <c r="B294" s="7"/>
      <c r="C294" s="15"/>
      <c r="D294" s="15"/>
      <c r="E294" s="28"/>
      <c r="F294" s="135"/>
      <c r="G294" s="702"/>
      <c r="H294" s="1146"/>
      <c r="I294" s="279"/>
      <c r="J294" s="1712"/>
      <c r="K294" s="952"/>
      <c r="L294" s="280"/>
      <c r="M294" s="279"/>
      <c r="N294" s="279"/>
      <c r="O294" s="279"/>
      <c r="P294" s="279"/>
      <c r="Q294" s="279"/>
      <c r="R294" s="279"/>
      <c r="S294" s="279"/>
      <c r="T294" s="279"/>
      <c r="U294" s="279"/>
      <c r="V294" s="279"/>
      <c r="W294" s="279"/>
      <c r="X294" s="279"/>
      <c r="Y294" s="279"/>
      <c r="Z294" s="279"/>
      <c r="AA294" s="279"/>
      <c r="AB294" s="279"/>
      <c r="AC294" s="279"/>
      <c r="AD294" s="279"/>
      <c r="AE294" s="279"/>
      <c r="AF294" s="279"/>
      <c r="AG294" s="279"/>
      <c r="AH294" s="279"/>
      <c r="AI294" s="279"/>
      <c r="AJ294" s="279"/>
      <c r="AK294" s="279"/>
      <c r="AL294" s="279"/>
      <c r="AM294" s="279"/>
      <c r="AN294" s="279"/>
      <c r="AO294" s="279"/>
      <c r="AP294" s="279"/>
      <c r="AQ294" s="279"/>
      <c r="AR294" s="279"/>
      <c r="AS294" s="279"/>
      <c r="AT294" s="279"/>
      <c r="AU294" s="279"/>
      <c r="AV294" s="279"/>
      <c r="AW294" s="279"/>
      <c r="AX294" s="279"/>
      <c r="AY294" s="279"/>
      <c r="AZ294" s="279"/>
      <c r="BA294" s="279"/>
      <c r="BB294" s="279"/>
      <c r="BC294" s="279"/>
      <c r="BD294" s="279"/>
      <c r="BE294" s="279"/>
      <c r="BF294" s="279"/>
      <c r="BG294" s="279"/>
      <c r="BH294" s="279"/>
      <c r="BI294" s="279"/>
      <c r="BJ294" s="279"/>
      <c r="BK294" s="279"/>
      <c r="BL294" s="279"/>
      <c r="BM294" s="279"/>
      <c r="BN294" s="279"/>
      <c r="BO294" s="279"/>
      <c r="BP294" s="279"/>
      <c r="BQ294" s="279"/>
      <c r="BR294" s="279"/>
      <c r="BS294" s="279"/>
      <c r="BT294" s="279"/>
      <c r="BU294" s="279"/>
      <c r="BV294" s="279"/>
      <c r="BW294" s="279"/>
      <c r="BX294" s="279"/>
      <c r="BY294" s="279"/>
      <c r="BZ294" s="279"/>
      <c r="CA294" s="279"/>
      <c r="CB294" s="279"/>
      <c r="CC294" s="279"/>
      <c r="CD294" s="279"/>
      <c r="CE294" s="279"/>
      <c r="CF294" s="279"/>
      <c r="CG294" s="279"/>
      <c r="CH294" s="279"/>
      <c r="CI294" s="279"/>
      <c r="CJ294" s="279"/>
      <c r="CK294" s="279"/>
      <c r="CL294" s="279"/>
      <c r="CM294" s="279"/>
      <c r="CN294" s="279"/>
      <c r="CO294" s="279"/>
      <c r="CP294" s="279"/>
      <c r="CQ294" s="279"/>
      <c r="CR294" s="279"/>
      <c r="CS294" s="279"/>
      <c r="CT294" s="279"/>
      <c r="CU294" s="279"/>
      <c r="CV294" s="279"/>
      <c r="CW294" s="279"/>
      <c r="CX294" s="279"/>
      <c r="CY294" s="279"/>
      <c r="CZ294" s="279"/>
      <c r="DA294" s="279"/>
      <c r="DB294" s="279"/>
      <c r="DC294" s="279"/>
      <c r="DD294" s="279"/>
      <c r="DE294" s="279"/>
      <c r="DF294" s="279"/>
      <c r="DG294" s="279"/>
      <c r="DH294" s="279"/>
      <c r="DI294" s="279"/>
      <c r="DJ294" s="279"/>
      <c r="DK294" s="279"/>
      <c r="DL294" s="279"/>
      <c r="DM294" s="279"/>
      <c r="DN294" s="279"/>
      <c r="DO294" s="279"/>
      <c r="DP294" s="279"/>
      <c r="DQ294" s="279"/>
      <c r="DR294" s="279"/>
      <c r="DS294" s="279"/>
      <c r="DT294" s="279"/>
      <c r="DU294" s="279"/>
      <c r="DV294" s="279"/>
      <c r="DW294" s="279"/>
      <c r="DX294" s="279"/>
      <c r="DY294" s="279"/>
      <c r="DZ294" s="279"/>
      <c r="EA294" s="279"/>
      <c r="EB294" s="279"/>
      <c r="EC294" s="279"/>
      <c r="ED294" s="279"/>
      <c r="EE294" s="279"/>
      <c r="EF294" s="279"/>
      <c r="EG294" s="279"/>
      <c r="EH294" s="279"/>
      <c r="EI294" s="279"/>
      <c r="EJ294" s="279"/>
      <c r="EK294" s="279"/>
      <c r="EL294" s="279"/>
      <c r="EM294" s="279"/>
      <c r="EN294" s="279"/>
      <c r="EO294" s="279"/>
      <c r="EP294" s="279"/>
      <c r="EQ294" s="279"/>
      <c r="ER294" s="279"/>
      <c r="ES294" s="279"/>
      <c r="ET294" s="279"/>
      <c r="EU294" s="279"/>
      <c r="EV294" s="279"/>
      <c r="EW294" s="279"/>
      <c r="EX294" s="279"/>
      <c r="EY294" s="279"/>
      <c r="EZ294" s="279"/>
      <c r="FA294" s="279"/>
      <c r="FB294" s="279"/>
      <c r="FC294" s="279"/>
      <c r="FD294" s="279"/>
      <c r="FE294" s="279"/>
      <c r="FF294" s="279"/>
      <c r="FG294" s="279"/>
      <c r="FH294" s="279"/>
      <c r="FI294" s="279"/>
      <c r="FJ294" s="279"/>
      <c r="FK294" s="279"/>
      <c r="FL294" s="279"/>
      <c r="FM294" s="279"/>
      <c r="FN294" s="279"/>
      <c r="FO294" s="279"/>
      <c r="FP294" s="279"/>
      <c r="FQ294" s="279"/>
      <c r="FR294" s="279"/>
      <c r="FS294" s="279"/>
      <c r="FT294" s="279"/>
      <c r="FU294" s="279"/>
      <c r="FV294" s="279"/>
      <c r="FW294" s="279"/>
      <c r="FX294" s="279"/>
      <c r="FY294" s="279"/>
    </row>
    <row r="295" spans="1:181" s="10" customFormat="1" ht="15.6">
      <c r="A295" s="77">
        <f>+A293+1</f>
        <v>196</v>
      </c>
      <c r="B295" s="15"/>
      <c r="C295" s="15" t="s">
        <v>838</v>
      </c>
      <c r="D295" s="15"/>
      <c r="E295" s="36"/>
      <c r="F295" s="144"/>
      <c r="G295" s="1237"/>
      <c r="H295" s="1146"/>
      <c r="I295" s="279"/>
      <c r="J295" s="1712"/>
      <c r="K295" s="952"/>
      <c r="L295" s="280"/>
      <c r="M295" s="279"/>
      <c r="N295" s="279"/>
      <c r="O295" s="279"/>
      <c r="P295" s="279"/>
      <c r="Q295" s="279"/>
      <c r="R295" s="279"/>
      <c r="S295" s="279"/>
      <c r="T295" s="279"/>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79"/>
      <c r="BI295" s="279"/>
      <c r="BJ295" s="279"/>
      <c r="BK295" s="279"/>
      <c r="BL295" s="279"/>
      <c r="BM295" s="279"/>
      <c r="BN295" s="279"/>
      <c r="BO295" s="279"/>
      <c r="BP295" s="279"/>
      <c r="BQ295" s="279"/>
      <c r="BR295" s="279"/>
      <c r="BS295" s="279"/>
      <c r="BT295" s="279"/>
      <c r="BU295" s="279"/>
      <c r="BV295" s="279"/>
      <c r="BW295" s="279"/>
      <c r="BX295" s="279"/>
      <c r="BY295" s="279"/>
      <c r="BZ295" s="279"/>
      <c r="CA295" s="279"/>
      <c r="CB295" s="279"/>
      <c r="CC295" s="279"/>
      <c r="CD295" s="279"/>
      <c r="CE295" s="279"/>
      <c r="CF295" s="279"/>
      <c r="CG295" s="279"/>
      <c r="CH295" s="279"/>
      <c r="CI295" s="279"/>
      <c r="CJ295" s="279"/>
      <c r="CK295" s="279"/>
      <c r="CL295" s="279"/>
      <c r="CM295" s="279"/>
      <c r="CN295" s="279"/>
      <c r="CO295" s="279"/>
      <c r="CP295" s="279"/>
      <c r="CQ295" s="279"/>
      <c r="CR295" s="279"/>
      <c r="CS295" s="279"/>
      <c r="CT295" s="279"/>
      <c r="CU295" s="279"/>
      <c r="CV295" s="279"/>
      <c r="CW295" s="279"/>
      <c r="CX295" s="279"/>
      <c r="CY295" s="279"/>
      <c r="CZ295" s="279"/>
      <c r="DA295" s="279"/>
      <c r="DB295" s="279"/>
      <c r="DC295" s="279"/>
      <c r="DD295" s="279"/>
      <c r="DE295" s="279"/>
      <c r="DF295" s="279"/>
      <c r="DG295" s="279"/>
      <c r="DH295" s="279"/>
      <c r="DI295" s="279"/>
      <c r="DJ295" s="279"/>
      <c r="DK295" s="279"/>
      <c r="DL295" s="279"/>
      <c r="DM295" s="279"/>
      <c r="DN295" s="279"/>
      <c r="DO295" s="279"/>
      <c r="DP295" s="279"/>
      <c r="DQ295" s="279"/>
      <c r="DR295" s="279"/>
      <c r="DS295" s="279"/>
      <c r="DT295" s="279"/>
      <c r="DU295" s="279"/>
      <c r="DV295" s="279"/>
      <c r="DW295" s="279"/>
      <c r="DX295" s="279"/>
      <c r="DY295" s="279"/>
      <c r="DZ295" s="279"/>
      <c r="EA295" s="279"/>
      <c r="EB295" s="279"/>
      <c r="EC295" s="279"/>
      <c r="ED295" s="279"/>
      <c r="EE295" s="279"/>
      <c r="EF295" s="279"/>
      <c r="EG295" s="279"/>
      <c r="EH295" s="279"/>
      <c r="EI295" s="279"/>
      <c r="EJ295" s="279"/>
      <c r="EK295" s="279"/>
      <c r="EL295" s="279"/>
      <c r="EM295" s="279"/>
      <c r="EN295" s="279"/>
      <c r="EO295" s="279"/>
      <c r="EP295" s="279"/>
      <c r="EQ295" s="279"/>
      <c r="ER295" s="279"/>
      <c r="ES295" s="279"/>
      <c r="ET295" s="279"/>
      <c r="EU295" s="279"/>
      <c r="EV295" s="279"/>
      <c r="EW295" s="279"/>
      <c r="EX295" s="279"/>
      <c r="EY295" s="279"/>
      <c r="EZ295" s="279"/>
      <c r="FA295" s="279"/>
      <c r="FB295" s="279"/>
      <c r="FC295" s="279"/>
      <c r="FD295" s="279"/>
      <c r="FE295" s="279"/>
      <c r="FF295" s="279"/>
      <c r="FG295" s="279"/>
      <c r="FH295" s="279"/>
      <c r="FI295" s="279"/>
      <c r="FJ295" s="279"/>
      <c r="FK295" s="279"/>
      <c r="FL295" s="279"/>
      <c r="FM295" s="279"/>
      <c r="FN295" s="279"/>
      <c r="FO295" s="279"/>
      <c r="FP295" s="279"/>
      <c r="FQ295" s="279"/>
      <c r="FR295" s="279"/>
      <c r="FS295" s="279"/>
      <c r="FT295" s="279"/>
      <c r="FU295" s="279"/>
      <c r="FV295" s="279"/>
      <c r="FW295" s="279"/>
      <c r="FX295" s="279"/>
      <c r="FY295" s="279"/>
    </row>
    <row r="296" spans="1:181" s="10" customFormat="1">
      <c r="A296" s="1473">
        <f>+A295+1</f>
        <v>197</v>
      </c>
      <c r="B296" s="33"/>
      <c r="C296" s="958" t="s">
        <v>704</v>
      </c>
      <c r="D296" s="15"/>
      <c r="E296" s="36" t="str">
        <f>"(Note "&amp;A$338&amp;")"</f>
        <v>(Note GG)</v>
      </c>
      <c r="F296" s="144"/>
      <c r="G296" s="102"/>
      <c r="H296" s="1155">
        <v>0</v>
      </c>
      <c r="I296" s="279"/>
      <c r="J296" s="1712" t="s">
        <v>1675</v>
      </c>
      <c r="K296" s="952"/>
      <c r="L296" s="280"/>
      <c r="M296" s="279"/>
      <c r="N296" s="279"/>
      <c r="O296" s="279"/>
      <c r="P296" s="279"/>
      <c r="Q296" s="279"/>
      <c r="R296" s="279"/>
      <c r="S296" s="279"/>
      <c r="T296" s="279"/>
      <c r="U296" s="279"/>
      <c r="V296" s="279"/>
      <c r="W296" s="279"/>
      <c r="X296" s="279"/>
      <c r="Y296" s="279"/>
      <c r="Z296" s="279"/>
      <c r="AA296" s="279"/>
      <c r="AB296" s="279"/>
      <c r="AC296" s="279"/>
      <c r="AD296" s="279"/>
      <c r="AE296" s="279"/>
      <c r="AF296" s="279"/>
      <c r="AG296" s="279"/>
      <c r="AH296" s="279"/>
      <c r="AI296" s="279"/>
      <c r="AJ296" s="279"/>
      <c r="AK296" s="279"/>
      <c r="AL296" s="279"/>
      <c r="AM296" s="279"/>
      <c r="AN296" s="279"/>
      <c r="AO296" s="279"/>
      <c r="AP296" s="279"/>
      <c r="AQ296" s="279"/>
      <c r="AR296" s="279"/>
      <c r="AS296" s="279"/>
      <c r="AT296" s="279"/>
      <c r="AU296" s="279"/>
      <c r="AV296" s="279"/>
      <c r="AW296" s="279"/>
      <c r="AX296" s="279"/>
      <c r="AY296" s="279"/>
      <c r="AZ296" s="279"/>
      <c r="BA296" s="279"/>
      <c r="BB296" s="279"/>
      <c r="BC296" s="279"/>
      <c r="BD296" s="279"/>
      <c r="BE296" s="279"/>
      <c r="BF296" s="279"/>
      <c r="BG296" s="279"/>
      <c r="BH296" s="279"/>
      <c r="BI296" s="279"/>
      <c r="BJ296" s="279"/>
      <c r="BK296" s="279"/>
      <c r="BL296" s="279"/>
      <c r="BM296" s="279"/>
      <c r="BN296" s="279"/>
      <c r="BO296" s="279"/>
      <c r="BP296" s="279"/>
      <c r="BQ296" s="279"/>
      <c r="BR296" s="279"/>
      <c r="BS296" s="279"/>
      <c r="BT296" s="279"/>
      <c r="BU296" s="279"/>
      <c r="BV296" s="279"/>
      <c r="BW296" s="279"/>
      <c r="BX296" s="279"/>
      <c r="BY296" s="279"/>
      <c r="BZ296" s="279"/>
      <c r="CA296" s="279"/>
      <c r="CB296" s="279"/>
      <c r="CC296" s="279"/>
      <c r="CD296" s="279"/>
      <c r="CE296" s="279"/>
      <c r="CF296" s="279"/>
      <c r="CG296" s="279"/>
      <c r="CH296" s="279"/>
      <c r="CI296" s="279"/>
      <c r="CJ296" s="279"/>
      <c r="CK296" s="279"/>
      <c r="CL296" s="279"/>
      <c r="CM296" s="279"/>
      <c r="CN296" s="279"/>
      <c r="CO296" s="279"/>
      <c r="CP296" s="279"/>
      <c r="CQ296" s="279"/>
      <c r="CR296" s="279"/>
      <c r="CS296" s="279"/>
      <c r="CT296" s="279"/>
      <c r="CU296" s="279"/>
      <c r="CV296" s="279"/>
      <c r="CW296" s="279"/>
      <c r="CX296" s="279"/>
      <c r="CY296" s="279"/>
      <c r="CZ296" s="279"/>
      <c r="DA296" s="279"/>
      <c r="DB296" s="279"/>
      <c r="DC296" s="279"/>
      <c r="DD296" s="279"/>
      <c r="DE296" s="279"/>
      <c r="DF296" s="279"/>
      <c r="DG296" s="279"/>
      <c r="DH296" s="279"/>
      <c r="DI296" s="279"/>
      <c r="DJ296" s="279"/>
      <c r="DK296" s="279"/>
      <c r="DL296" s="279"/>
      <c r="DM296" s="279"/>
      <c r="DN296" s="279"/>
      <c r="DO296" s="279"/>
      <c r="DP296" s="279"/>
      <c r="DQ296" s="279"/>
      <c r="DR296" s="279"/>
      <c r="DS296" s="279"/>
      <c r="DT296" s="279"/>
      <c r="DU296" s="279"/>
      <c r="DV296" s="279"/>
      <c r="DW296" s="279"/>
      <c r="DX296" s="279"/>
      <c r="DY296" s="279"/>
      <c r="DZ296" s="279"/>
      <c r="EA296" s="279"/>
      <c r="EB296" s="279"/>
      <c r="EC296" s="279"/>
      <c r="ED296" s="279"/>
      <c r="EE296" s="279"/>
      <c r="EF296" s="279"/>
      <c r="EG296" s="279"/>
      <c r="EH296" s="279"/>
      <c r="EI296" s="279"/>
      <c r="EJ296" s="279"/>
      <c r="EK296" s="279"/>
      <c r="EL296" s="279"/>
      <c r="EM296" s="279"/>
      <c r="EN296" s="279"/>
      <c r="EO296" s="279"/>
      <c r="EP296" s="279"/>
      <c r="EQ296" s="279"/>
      <c r="ER296" s="279"/>
      <c r="ES296" s="279"/>
      <c r="ET296" s="279"/>
      <c r="EU296" s="279"/>
      <c r="EV296" s="279"/>
      <c r="EW296" s="279"/>
      <c r="EX296" s="279"/>
      <c r="EY296" s="279"/>
      <c r="EZ296" s="279"/>
      <c r="FA296" s="279"/>
      <c r="FB296" s="279"/>
      <c r="FC296" s="279"/>
      <c r="FD296" s="279"/>
      <c r="FE296" s="279"/>
      <c r="FF296" s="279"/>
      <c r="FG296" s="279"/>
      <c r="FH296" s="279"/>
      <c r="FI296" s="279"/>
      <c r="FJ296" s="279"/>
      <c r="FK296" s="279"/>
      <c r="FL296" s="279"/>
      <c r="FM296" s="279"/>
      <c r="FN296" s="279"/>
      <c r="FO296" s="279"/>
      <c r="FP296" s="279"/>
      <c r="FQ296" s="279"/>
      <c r="FR296" s="279"/>
      <c r="FS296" s="279"/>
      <c r="FT296" s="279"/>
      <c r="FU296" s="279"/>
      <c r="FV296" s="279"/>
      <c r="FW296" s="279"/>
      <c r="FX296" s="279"/>
      <c r="FY296" s="279"/>
    </row>
    <row r="297" spans="1:181" s="10" customFormat="1">
      <c r="A297" s="1473">
        <f>+A296+1</f>
        <v>198</v>
      </c>
      <c r="B297" s="33"/>
      <c r="C297" s="1238" t="s">
        <v>844</v>
      </c>
      <c r="D297" s="477"/>
      <c r="E297" s="76" t="str">
        <f>"(Note "&amp;A$338&amp;")"</f>
        <v>(Note GG)</v>
      </c>
      <c r="F297" s="146"/>
      <c r="G297" s="690"/>
      <c r="H297" s="1163">
        <v>0</v>
      </c>
      <c r="I297" s="279"/>
      <c r="J297" s="1712" t="s">
        <v>1675</v>
      </c>
      <c r="K297" s="952"/>
      <c r="L297" s="280"/>
      <c r="M297" s="279"/>
      <c r="N297" s="279"/>
      <c r="O297" s="279"/>
      <c r="P297" s="279"/>
      <c r="Q297" s="279"/>
      <c r="R297" s="279"/>
      <c r="S297" s="279"/>
      <c r="T297" s="279"/>
      <c r="U297" s="279"/>
      <c r="V297" s="279"/>
      <c r="W297" s="279"/>
      <c r="X297" s="279"/>
      <c r="Y297" s="279"/>
      <c r="Z297" s="279"/>
      <c r="AA297" s="279"/>
      <c r="AB297" s="279"/>
      <c r="AC297" s="279"/>
      <c r="AD297" s="279"/>
      <c r="AE297" s="279"/>
      <c r="AF297" s="279"/>
      <c r="AG297" s="279"/>
      <c r="AH297" s="279"/>
      <c r="AI297" s="279"/>
      <c r="AJ297" s="279"/>
      <c r="AK297" s="279"/>
      <c r="AL297" s="279"/>
      <c r="AM297" s="279"/>
      <c r="AN297" s="279"/>
      <c r="AO297" s="279"/>
      <c r="AP297" s="279"/>
      <c r="AQ297" s="279"/>
      <c r="AR297" s="279"/>
      <c r="AS297" s="279"/>
      <c r="AT297" s="279"/>
      <c r="AU297" s="279"/>
      <c r="AV297" s="279"/>
      <c r="AW297" s="279"/>
      <c r="AX297" s="279"/>
      <c r="AY297" s="279"/>
      <c r="AZ297" s="279"/>
      <c r="BA297" s="279"/>
      <c r="BB297" s="279"/>
      <c r="BC297" s="279"/>
      <c r="BD297" s="279"/>
      <c r="BE297" s="279"/>
      <c r="BF297" s="279"/>
      <c r="BG297" s="279"/>
      <c r="BH297" s="279"/>
      <c r="BI297" s="279"/>
      <c r="BJ297" s="279"/>
      <c r="BK297" s="279"/>
      <c r="BL297" s="279"/>
      <c r="BM297" s="279"/>
      <c r="BN297" s="279"/>
      <c r="BO297" s="279"/>
      <c r="BP297" s="279"/>
      <c r="BQ297" s="279"/>
      <c r="BR297" s="279"/>
      <c r="BS297" s="279"/>
      <c r="BT297" s="279"/>
      <c r="BU297" s="279"/>
      <c r="BV297" s="279"/>
      <c r="BW297" s="279"/>
      <c r="BX297" s="279"/>
      <c r="BY297" s="279"/>
      <c r="BZ297" s="279"/>
      <c r="CA297" s="279"/>
      <c r="CB297" s="279"/>
      <c r="CC297" s="279"/>
      <c r="CD297" s="279"/>
      <c r="CE297" s="279"/>
      <c r="CF297" s="279"/>
      <c r="CG297" s="279"/>
      <c r="CH297" s="279"/>
      <c r="CI297" s="279"/>
      <c r="CJ297" s="279"/>
      <c r="CK297" s="279"/>
      <c r="CL297" s="279"/>
      <c r="CM297" s="279"/>
      <c r="CN297" s="279"/>
      <c r="CO297" s="279"/>
      <c r="CP297" s="279"/>
      <c r="CQ297" s="279"/>
      <c r="CR297" s="279"/>
      <c r="CS297" s="279"/>
      <c r="CT297" s="279"/>
      <c r="CU297" s="279"/>
      <c r="CV297" s="279"/>
      <c r="CW297" s="279"/>
      <c r="CX297" s="279"/>
      <c r="CY297" s="279"/>
      <c r="CZ297" s="279"/>
      <c r="DA297" s="279"/>
      <c r="DB297" s="279"/>
      <c r="DC297" s="279"/>
      <c r="DD297" s="279"/>
      <c r="DE297" s="279"/>
      <c r="DF297" s="279"/>
      <c r="DG297" s="279"/>
      <c r="DH297" s="279"/>
      <c r="DI297" s="279"/>
      <c r="DJ297" s="279"/>
      <c r="DK297" s="279"/>
      <c r="DL297" s="279"/>
      <c r="DM297" s="279"/>
      <c r="DN297" s="279"/>
      <c r="DO297" s="279"/>
      <c r="DP297" s="279"/>
      <c r="DQ297" s="279"/>
      <c r="DR297" s="279"/>
      <c r="DS297" s="279"/>
      <c r="DT297" s="279"/>
      <c r="DU297" s="279"/>
      <c r="DV297" s="279"/>
      <c r="DW297" s="279"/>
      <c r="DX297" s="279"/>
      <c r="DY297" s="279"/>
      <c r="DZ297" s="279"/>
      <c r="EA297" s="279"/>
      <c r="EB297" s="279"/>
      <c r="EC297" s="279"/>
      <c r="ED297" s="279"/>
      <c r="EE297" s="279"/>
      <c r="EF297" s="279"/>
      <c r="EG297" s="279"/>
      <c r="EH297" s="279"/>
      <c r="EI297" s="279"/>
      <c r="EJ297" s="279"/>
      <c r="EK297" s="279"/>
      <c r="EL297" s="279"/>
      <c r="EM297" s="279"/>
      <c r="EN297" s="279"/>
      <c r="EO297" s="279"/>
      <c r="EP297" s="279"/>
      <c r="EQ297" s="279"/>
      <c r="ER297" s="279"/>
      <c r="ES297" s="279"/>
      <c r="ET297" s="279"/>
      <c r="EU297" s="279"/>
      <c r="EV297" s="279"/>
      <c r="EW297" s="279"/>
      <c r="EX297" s="279"/>
      <c r="EY297" s="279"/>
      <c r="EZ297" s="279"/>
      <c r="FA297" s="279"/>
      <c r="FB297" s="279"/>
      <c r="FC297" s="279"/>
      <c r="FD297" s="279"/>
      <c r="FE297" s="279"/>
      <c r="FF297" s="279"/>
      <c r="FG297" s="279"/>
      <c r="FH297" s="279"/>
      <c r="FI297" s="279"/>
      <c r="FJ297" s="279"/>
      <c r="FK297" s="279"/>
      <c r="FL297" s="279"/>
      <c r="FM297" s="279"/>
      <c r="FN297" s="279"/>
      <c r="FO297" s="279"/>
      <c r="FP297" s="279"/>
      <c r="FQ297" s="279"/>
      <c r="FR297" s="279"/>
      <c r="FS297" s="279"/>
      <c r="FT297" s="279"/>
      <c r="FU297" s="279"/>
      <c r="FV297" s="279"/>
      <c r="FW297" s="279"/>
      <c r="FX297" s="279"/>
      <c r="FY297" s="279"/>
    </row>
    <row r="298" spans="1:181" s="10" customFormat="1" ht="15.6">
      <c r="A298" s="1473">
        <f>+A297+1</f>
        <v>199</v>
      </c>
      <c r="B298" s="33"/>
      <c r="C298" s="15" t="s">
        <v>802</v>
      </c>
      <c r="D298" s="15"/>
      <c r="E298" s="36"/>
      <c r="F298" s="144" t="str">
        <f>"(Line "&amp;A293&amp;" + Line "&amp;A296&amp;" + Line "&amp;A297&amp;")"</f>
        <v>(Line 195 + Line 197 + Line 198)</v>
      </c>
      <c r="G298" s="1237"/>
      <c r="H298" s="1146">
        <f>+H293+H296+H297</f>
        <v>221658955.03612402</v>
      </c>
      <c r="I298" s="279"/>
      <c r="J298" s="1712"/>
      <c r="K298" s="952"/>
      <c r="L298" s="280"/>
      <c r="M298" s="279"/>
      <c r="N298" s="279"/>
      <c r="O298" s="279"/>
      <c r="P298" s="279"/>
      <c r="Q298" s="279"/>
      <c r="R298" s="279"/>
      <c r="S298" s="279"/>
      <c r="T298" s="279"/>
      <c r="U298" s="279"/>
      <c r="V298" s="279"/>
      <c r="W298" s="279"/>
      <c r="X298" s="279"/>
      <c r="Y298" s="279"/>
      <c r="Z298" s="279"/>
      <c r="AA298" s="279"/>
      <c r="AB298" s="279"/>
      <c r="AC298" s="279"/>
      <c r="AD298" s="279"/>
      <c r="AE298" s="279"/>
      <c r="AF298" s="279"/>
      <c r="AG298" s="279"/>
      <c r="AH298" s="279"/>
      <c r="AI298" s="279"/>
      <c r="AJ298" s="279"/>
      <c r="AK298" s="279"/>
      <c r="AL298" s="279"/>
      <c r="AM298" s="279"/>
      <c r="AN298" s="279"/>
      <c r="AO298" s="279"/>
      <c r="AP298" s="279"/>
      <c r="AQ298" s="279"/>
      <c r="AR298" s="279"/>
      <c r="AS298" s="279"/>
      <c r="AT298" s="279"/>
      <c r="AU298" s="279"/>
      <c r="AV298" s="279"/>
      <c r="AW298" s="279"/>
      <c r="AX298" s="279"/>
      <c r="AY298" s="279"/>
      <c r="AZ298" s="279"/>
      <c r="BA298" s="279"/>
      <c r="BB298" s="279"/>
      <c r="BC298" s="279"/>
      <c r="BD298" s="279"/>
      <c r="BE298" s="279"/>
      <c r="BF298" s="279"/>
      <c r="BG298" s="279"/>
      <c r="BH298" s="279"/>
      <c r="BI298" s="279"/>
      <c r="BJ298" s="279"/>
      <c r="BK298" s="279"/>
      <c r="BL298" s="279"/>
      <c r="BM298" s="279"/>
      <c r="BN298" s="279"/>
      <c r="BO298" s="279"/>
      <c r="BP298" s="279"/>
      <c r="BQ298" s="279"/>
      <c r="BR298" s="279"/>
      <c r="BS298" s="279"/>
      <c r="BT298" s="279"/>
      <c r="BU298" s="279"/>
      <c r="BV298" s="279"/>
      <c r="BW298" s="279"/>
      <c r="BX298" s="279"/>
      <c r="BY298" s="279"/>
      <c r="BZ298" s="279"/>
      <c r="CA298" s="279"/>
      <c r="CB298" s="279"/>
      <c r="CC298" s="279"/>
      <c r="CD298" s="279"/>
      <c r="CE298" s="279"/>
      <c r="CF298" s="279"/>
      <c r="CG298" s="279"/>
      <c r="CH298" s="279"/>
      <c r="CI298" s="279"/>
      <c r="CJ298" s="279"/>
      <c r="CK298" s="279"/>
      <c r="CL298" s="279"/>
      <c r="CM298" s="279"/>
      <c r="CN298" s="279"/>
      <c r="CO298" s="279"/>
      <c r="CP298" s="279"/>
      <c r="CQ298" s="279"/>
      <c r="CR298" s="279"/>
      <c r="CS298" s="279"/>
      <c r="CT298" s="279"/>
      <c r="CU298" s="279"/>
      <c r="CV298" s="279"/>
      <c r="CW298" s="279"/>
      <c r="CX298" s="279"/>
      <c r="CY298" s="279"/>
      <c r="CZ298" s="279"/>
      <c r="DA298" s="279"/>
      <c r="DB298" s="279"/>
      <c r="DC298" s="279"/>
      <c r="DD298" s="279"/>
      <c r="DE298" s="279"/>
      <c r="DF298" s="279"/>
      <c r="DG298" s="279"/>
      <c r="DH298" s="279"/>
      <c r="DI298" s="279"/>
      <c r="DJ298" s="279"/>
      <c r="DK298" s="279"/>
      <c r="DL298" s="279"/>
      <c r="DM298" s="279"/>
      <c r="DN298" s="279"/>
      <c r="DO298" s="279"/>
      <c r="DP298" s="279"/>
      <c r="DQ298" s="279"/>
      <c r="DR298" s="279"/>
      <c r="DS298" s="279"/>
      <c r="DT298" s="279"/>
      <c r="DU298" s="279"/>
      <c r="DV298" s="279"/>
      <c r="DW298" s="279"/>
      <c r="DX298" s="279"/>
      <c r="DY298" s="279"/>
      <c r="DZ298" s="279"/>
      <c r="EA298" s="279"/>
      <c r="EB298" s="279"/>
      <c r="EC298" s="279"/>
      <c r="ED298" s="279"/>
      <c r="EE298" s="279"/>
      <c r="EF298" s="279"/>
      <c r="EG298" s="279"/>
      <c r="EH298" s="279"/>
      <c r="EI298" s="279"/>
      <c r="EJ298" s="279"/>
      <c r="EK298" s="279"/>
      <c r="EL298" s="279"/>
      <c r="EM298" s="279"/>
      <c r="EN298" s="279"/>
      <c r="EO298" s="279"/>
      <c r="EP298" s="279"/>
      <c r="EQ298" s="279"/>
      <c r="ER298" s="279"/>
      <c r="ES298" s="279"/>
      <c r="ET298" s="279"/>
      <c r="EU298" s="279"/>
      <c r="EV298" s="279"/>
      <c r="EW298" s="279"/>
      <c r="EX298" s="279"/>
      <c r="EY298" s="279"/>
      <c r="EZ298" s="279"/>
      <c r="FA298" s="279"/>
      <c r="FB298" s="279"/>
      <c r="FC298" s="279"/>
      <c r="FD298" s="279"/>
      <c r="FE298" s="279"/>
      <c r="FF298" s="279"/>
      <c r="FG298" s="279"/>
      <c r="FH298" s="279"/>
      <c r="FI298" s="279"/>
      <c r="FJ298" s="279"/>
      <c r="FK298" s="279"/>
      <c r="FL298" s="279"/>
      <c r="FM298" s="279"/>
      <c r="FN298" s="279"/>
      <c r="FO298" s="279"/>
      <c r="FP298" s="279"/>
      <c r="FQ298" s="279"/>
      <c r="FR298" s="279"/>
      <c r="FS298" s="279"/>
      <c r="FT298" s="279"/>
      <c r="FU298" s="279"/>
      <c r="FV298" s="279"/>
      <c r="FW298" s="279"/>
      <c r="FX298" s="279"/>
      <c r="FY298" s="279"/>
    </row>
    <row r="299" spans="1:181" s="10" customFormat="1" ht="15.6">
      <c r="A299" s="77"/>
      <c r="B299" s="7"/>
      <c r="C299" s="15"/>
      <c r="D299" s="15"/>
      <c r="E299" s="28"/>
      <c r="F299" s="135"/>
      <c r="G299" s="702"/>
      <c r="H299" s="1146"/>
      <c r="I299" s="279"/>
      <c r="J299" s="1712"/>
      <c r="K299" s="952"/>
      <c r="L299" s="280"/>
      <c r="M299" s="279"/>
      <c r="N299" s="279"/>
      <c r="O299" s="279"/>
      <c r="P299" s="279"/>
      <c r="Q299" s="279"/>
      <c r="R299" s="279"/>
      <c r="S299" s="279"/>
      <c r="T299" s="279"/>
      <c r="U299" s="279"/>
      <c r="V299" s="279"/>
      <c r="W299" s="279"/>
      <c r="X299" s="279"/>
      <c r="Y299" s="279"/>
      <c r="Z299" s="279"/>
      <c r="AA299" s="279"/>
      <c r="AB299" s="279"/>
      <c r="AC299" s="279"/>
      <c r="AD299" s="279"/>
      <c r="AE299" s="279"/>
      <c r="AF299" s="279"/>
      <c r="AG299" s="279"/>
      <c r="AH299" s="279"/>
      <c r="AI299" s="279"/>
      <c r="AJ299" s="279"/>
      <c r="AK299" s="279"/>
      <c r="AL299" s="279"/>
      <c r="AM299" s="279"/>
      <c r="AN299" s="279"/>
      <c r="AO299" s="279"/>
      <c r="AP299" s="279"/>
      <c r="AQ299" s="279"/>
      <c r="AR299" s="279"/>
      <c r="AS299" s="279"/>
      <c r="AT299" s="279"/>
      <c r="AU299" s="279"/>
      <c r="AV299" s="279"/>
      <c r="AW299" s="279"/>
      <c r="AX299" s="279"/>
      <c r="AY299" s="279"/>
      <c r="AZ299" s="279"/>
      <c r="BA299" s="279"/>
      <c r="BB299" s="279"/>
      <c r="BC299" s="279"/>
      <c r="BD299" s="279"/>
      <c r="BE299" s="279"/>
      <c r="BF299" s="279"/>
      <c r="BG299" s="279"/>
      <c r="BH299" s="279"/>
      <c r="BI299" s="279"/>
      <c r="BJ299" s="279"/>
      <c r="BK299" s="279"/>
      <c r="BL299" s="279"/>
      <c r="BM299" s="279"/>
      <c r="BN299" s="279"/>
      <c r="BO299" s="279"/>
      <c r="BP299" s="279"/>
      <c r="BQ299" s="279"/>
      <c r="BR299" s="279"/>
      <c r="BS299" s="279"/>
      <c r="BT299" s="279"/>
      <c r="BU299" s="279"/>
      <c r="BV299" s="279"/>
      <c r="BW299" s="279"/>
      <c r="BX299" s="279"/>
      <c r="BY299" s="279"/>
      <c r="BZ299" s="279"/>
      <c r="CA299" s="279"/>
      <c r="CB299" s="279"/>
      <c r="CC299" s="279"/>
      <c r="CD299" s="279"/>
      <c r="CE299" s="279"/>
      <c r="CF299" s="279"/>
      <c r="CG299" s="279"/>
      <c r="CH299" s="279"/>
      <c r="CI299" s="279"/>
      <c r="CJ299" s="279"/>
      <c r="CK299" s="279"/>
      <c r="CL299" s="279"/>
      <c r="CM299" s="279"/>
      <c r="CN299" s="279"/>
      <c r="CO299" s="279"/>
      <c r="CP299" s="279"/>
      <c r="CQ299" s="279"/>
      <c r="CR299" s="279"/>
      <c r="CS299" s="279"/>
      <c r="CT299" s="279"/>
      <c r="CU299" s="279"/>
      <c r="CV299" s="279"/>
      <c r="CW299" s="279"/>
      <c r="CX299" s="279"/>
      <c r="CY299" s="279"/>
      <c r="CZ299" s="279"/>
      <c r="DA299" s="279"/>
      <c r="DB299" s="279"/>
      <c r="DC299" s="279"/>
      <c r="DD299" s="279"/>
      <c r="DE299" s="279"/>
      <c r="DF299" s="279"/>
      <c r="DG299" s="279"/>
      <c r="DH299" s="279"/>
      <c r="DI299" s="279"/>
      <c r="DJ299" s="279"/>
      <c r="DK299" s="279"/>
      <c r="DL299" s="279"/>
      <c r="DM299" s="279"/>
      <c r="DN299" s="279"/>
      <c r="DO299" s="279"/>
      <c r="DP299" s="279"/>
      <c r="DQ299" s="279"/>
      <c r="DR299" s="279"/>
      <c r="DS299" s="279"/>
      <c r="DT299" s="279"/>
      <c r="DU299" s="279"/>
      <c r="DV299" s="279"/>
      <c r="DW299" s="279"/>
      <c r="DX299" s="279"/>
      <c r="DY299" s="279"/>
      <c r="DZ299" s="279"/>
      <c r="EA299" s="279"/>
      <c r="EB299" s="279"/>
      <c r="EC299" s="279"/>
      <c r="ED299" s="279"/>
      <c r="EE299" s="279"/>
      <c r="EF299" s="279"/>
      <c r="EG299" s="279"/>
      <c r="EH299" s="279"/>
      <c r="EI299" s="279"/>
      <c r="EJ299" s="279"/>
      <c r="EK299" s="279"/>
      <c r="EL299" s="279"/>
      <c r="EM299" s="279"/>
      <c r="EN299" s="279"/>
      <c r="EO299" s="279"/>
      <c r="EP299" s="279"/>
      <c r="EQ299" s="279"/>
      <c r="ER299" s="279"/>
      <c r="ES299" s="279"/>
      <c r="ET299" s="279"/>
      <c r="EU299" s="279"/>
      <c r="EV299" s="279"/>
      <c r="EW299" s="279"/>
      <c r="EX299" s="279"/>
      <c r="EY299" s="279"/>
      <c r="EZ299" s="279"/>
      <c r="FA299" s="279"/>
      <c r="FB299" s="279"/>
      <c r="FC299" s="279"/>
      <c r="FD299" s="279"/>
      <c r="FE299" s="279"/>
      <c r="FF299" s="279"/>
      <c r="FG299" s="279"/>
      <c r="FH299" s="279"/>
      <c r="FI299" s="279"/>
      <c r="FJ299" s="279"/>
      <c r="FK299" s="279"/>
      <c r="FL299" s="279"/>
      <c r="FM299" s="279"/>
      <c r="FN299" s="279"/>
      <c r="FO299" s="279"/>
      <c r="FP299" s="279"/>
      <c r="FQ299" s="279"/>
      <c r="FR299" s="279"/>
      <c r="FS299" s="279"/>
      <c r="FT299" s="279"/>
      <c r="FU299" s="279"/>
      <c r="FV299" s="279"/>
      <c r="FW299" s="279"/>
      <c r="FX299" s="279"/>
      <c r="FY299" s="279"/>
    </row>
    <row r="300" spans="1:181" ht="15.6">
      <c r="A300" s="77"/>
      <c r="B300" s="41" t="s">
        <v>27</v>
      </c>
      <c r="C300" s="15"/>
      <c r="D300" s="15"/>
      <c r="E300" s="28"/>
      <c r="F300" s="135"/>
      <c r="G300" s="702"/>
      <c r="H300" s="1146"/>
      <c r="K300" s="280"/>
      <c r="L300" s="280"/>
    </row>
    <row r="301" spans="1:181" ht="15.6">
      <c r="A301" s="77">
        <f>+A298+1</f>
        <v>200</v>
      </c>
      <c r="B301" s="33"/>
      <c r="C301" s="58" t="s">
        <v>300</v>
      </c>
      <c r="D301" s="78" t="s">
        <v>70</v>
      </c>
      <c r="E301" s="36" t="str">
        <f>"(Note "&amp;A$317&amp;")"</f>
        <v>(Note L)</v>
      </c>
      <c r="F301" s="133" t="str">
        <f>+"WP19 Load Line "&amp;'WP19 Load'!A55&amp;" Column "&amp;'WP19 Load'!O5</f>
        <v xml:space="preserve">WP19 Load Line 25 Column N </v>
      </c>
      <c r="G301" s="702"/>
      <c r="H301" s="1162">
        <f>+'WP19 Load'!O55*1000</f>
        <v>5460500</v>
      </c>
      <c r="K301" s="280"/>
      <c r="L301" s="280"/>
    </row>
    <row r="302" spans="1:181" ht="15.6">
      <c r="A302" s="114">
        <f>+A301+1</f>
        <v>201</v>
      </c>
      <c r="B302" s="9"/>
      <c r="C302" s="8" t="s">
        <v>27</v>
      </c>
      <c r="D302" s="612"/>
      <c r="E302" s="206"/>
      <c r="F302" s="132" t="str">
        <f>"(Line "&amp;A298&amp;" / Line "&amp;A301&amp;")"</f>
        <v>(Line 199 / Line 200)</v>
      </c>
      <c r="G302" s="494"/>
      <c r="H302" s="1472">
        <f>IF(H301=0,0,H298/H301)</f>
        <v>40.593160889318561</v>
      </c>
      <c r="K302" s="280"/>
      <c r="L302" s="280"/>
    </row>
    <row r="303" spans="1:181" ht="16.2" thickBot="1">
      <c r="A303" s="152">
        <f>+A302+1</f>
        <v>202</v>
      </c>
      <c r="B303" s="153"/>
      <c r="C303" s="154" t="s">
        <v>172</v>
      </c>
      <c r="D303" s="155"/>
      <c r="E303" s="207"/>
      <c r="F303" s="493" t="str">
        <f>"(Line "&amp;A302&amp;" / 12)"</f>
        <v>(Line 201 / 12)</v>
      </c>
      <c r="G303" s="495"/>
      <c r="H303" s="1196">
        <f>H302/12</f>
        <v>3.3827634074432136</v>
      </c>
      <c r="K303" s="280"/>
      <c r="L303" s="280"/>
    </row>
    <row r="304" spans="1:181" ht="15.6">
      <c r="A304" s="36"/>
      <c r="B304" s="33"/>
      <c r="C304" s="8"/>
      <c r="D304" s="6"/>
      <c r="E304" s="32"/>
      <c r="F304" s="49"/>
      <c r="G304" s="485"/>
      <c r="H304" s="485"/>
      <c r="K304" s="280"/>
      <c r="L304" s="280"/>
    </row>
    <row r="305" spans="1:12" ht="15.75" customHeight="1">
      <c r="A305" s="1840" t="s">
        <v>129</v>
      </c>
      <c r="B305" s="1840"/>
      <c r="C305" s="6"/>
      <c r="D305" s="6"/>
      <c r="E305" s="32"/>
      <c r="F305" s="64"/>
      <c r="H305" s="47"/>
      <c r="K305" s="280"/>
      <c r="L305" s="280"/>
    </row>
    <row r="306" spans="1:12" ht="15.75" customHeight="1">
      <c r="A306" s="166" t="s">
        <v>72</v>
      </c>
      <c r="B306" s="279"/>
      <c r="C306" s="1851" t="s">
        <v>132</v>
      </c>
      <c r="D306" s="1851"/>
      <c r="E306" s="1851"/>
      <c r="F306" s="1851"/>
      <c r="G306" s="1851"/>
      <c r="H306" s="1851"/>
      <c r="K306" s="280"/>
      <c r="L306" s="280"/>
    </row>
    <row r="307" spans="1:12" ht="61.95" customHeight="1">
      <c r="A307" s="166" t="s">
        <v>119</v>
      </c>
      <c r="B307" s="279"/>
      <c r="C307" s="1839" t="s">
        <v>1142</v>
      </c>
      <c r="D307" s="1839"/>
      <c r="E307" s="1839"/>
      <c r="F307" s="1839"/>
      <c r="G307" s="1839"/>
      <c r="H307" s="1839"/>
      <c r="J307" s="1714"/>
      <c r="L307" s="280"/>
    </row>
    <row r="308" spans="1:12">
      <c r="A308" s="166" t="s">
        <v>60</v>
      </c>
      <c r="B308" s="1009"/>
      <c r="C308" s="1839" t="s">
        <v>762</v>
      </c>
      <c r="D308" s="1839"/>
      <c r="E308" s="1839"/>
      <c r="F308" s="1839"/>
      <c r="G308" s="1839"/>
      <c r="H308" s="1839"/>
      <c r="K308" s="280"/>
      <c r="L308" s="280"/>
    </row>
    <row r="309" spans="1:12" ht="33" customHeight="1">
      <c r="A309" s="166" t="s">
        <v>73</v>
      </c>
      <c r="B309" s="279"/>
      <c r="C309" s="1847" t="s">
        <v>843</v>
      </c>
      <c r="D309" s="1847"/>
      <c r="E309" s="1847"/>
      <c r="F309" s="1847"/>
      <c r="G309" s="1847"/>
      <c r="H309" s="1847"/>
      <c r="J309" s="1714"/>
      <c r="L309" s="280"/>
    </row>
    <row r="310" spans="1:12">
      <c r="A310" s="166" t="s">
        <v>71</v>
      </c>
      <c r="B310" s="279"/>
      <c r="C310" s="1852" t="s">
        <v>173</v>
      </c>
      <c r="D310" s="1852"/>
      <c r="E310" s="1852"/>
      <c r="F310" s="1852"/>
      <c r="G310" s="1852"/>
      <c r="H310" s="1852"/>
      <c r="K310" s="280"/>
      <c r="L310" s="280"/>
    </row>
    <row r="311" spans="1:12" ht="33.6" customHeight="1">
      <c r="A311" s="166" t="s">
        <v>161</v>
      </c>
      <c r="B311" s="279"/>
      <c r="C311" s="1847" t="s">
        <v>1143</v>
      </c>
      <c r="D311" s="1847"/>
      <c r="E311" s="1847"/>
      <c r="F311" s="1847"/>
      <c r="G311" s="1847"/>
      <c r="H311" s="1847"/>
      <c r="K311" s="280"/>
      <c r="L311" s="280"/>
    </row>
    <row r="312" spans="1:12" ht="32.4" customHeight="1">
      <c r="A312" s="166" t="s">
        <v>74</v>
      </c>
      <c r="B312" s="279"/>
      <c r="C312" s="1853" t="s">
        <v>586</v>
      </c>
      <c r="D312" s="1853"/>
      <c r="E312" s="1853"/>
      <c r="F312" s="1853"/>
      <c r="G312" s="1853"/>
      <c r="H312" s="1853"/>
      <c r="J312" s="1714"/>
      <c r="L312" s="280"/>
    </row>
    <row r="313" spans="1:12" ht="15.75" customHeight="1">
      <c r="A313" s="166" t="s">
        <v>174</v>
      </c>
      <c r="B313" s="279"/>
      <c r="C313" s="256" t="s">
        <v>148</v>
      </c>
      <c r="D313" s="1198"/>
      <c r="E313" s="1854"/>
      <c r="F313" s="1854"/>
      <c r="G313" s="1854"/>
      <c r="H313" s="1854"/>
      <c r="K313" s="280"/>
      <c r="L313" s="280"/>
    </row>
    <row r="314" spans="1:12" ht="125.4" customHeight="1">
      <c r="A314" s="166" t="s">
        <v>64</v>
      </c>
      <c r="B314" s="279"/>
      <c r="C314" s="1853" t="s">
        <v>1659</v>
      </c>
      <c r="D314" s="1853"/>
      <c r="E314" s="1853"/>
      <c r="F314" s="1853"/>
      <c r="G314" s="1853"/>
      <c r="H314" s="1853"/>
      <c r="J314" s="1712" t="s">
        <v>1658</v>
      </c>
      <c r="K314" s="280"/>
    </row>
    <row r="315" spans="1:12" ht="63.6" customHeight="1">
      <c r="A315" s="166" t="s">
        <v>65</v>
      </c>
      <c r="B315" s="279"/>
      <c r="C315" s="1853" t="s">
        <v>1552</v>
      </c>
      <c r="D315" s="1853"/>
      <c r="E315" s="1853"/>
      <c r="F315" s="1853"/>
      <c r="G315" s="1853"/>
      <c r="H315" s="1853"/>
      <c r="J315" s="1715" t="s">
        <v>1623</v>
      </c>
      <c r="K315" s="280"/>
    </row>
    <row r="316" spans="1:12" ht="18" customHeight="1">
      <c r="A316" s="166" t="s">
        <v>76</v>
      </c>
      <c r="B316" s="279"/>
      <c r="C316" s="1847" t="s">
        <v>829</v>
      </c>
      <c r="D316" s="1847"/>
      <c r="E316" s="1847"/>
      <c r="F316" s="1847"/>
      <c r="G316" s="1847"/>
      <c r="H316" s="1847"/>
      <c r="I316" s="1855"/>
      <c r="K316" s="280"/>
      <c r="L316" s="280"/>
    </row>
    <row r="317" spans="1:12" ht="32.4" customHeight="1">
      <c r="A317" s="166" t="s">
        <v>103</v>
      </c>
      <c r="B317" s="279"/>
      <c r="C317" s="1847" t="s">
        <v>842</v>
      </c>
      <c r="D317" s="1847"/>
      <c r="E317" s="1847"/>
      <c r="F317" s="1847"/>
      <c r="G317" s="1847"/>
      <c r="H317" s="1847"/>
      <c r="K317" s="280"/>
      <c r="L317" s="280"/>
    </row>
    <row r="318" spans="1:12" ht="125.1" customHeight="1">
      <c r="A318" s="257" t="s">
        <v>104</v>
      </c>
      <c r="B318" s="279"/>
      <c r="C318" s="1839" t="s">
        <v>894</v>
      </c>
      <c r="D318" s="1839"/>
      <c r="E318" s="1839"/>
      <c r="F318" s="1839"/>
      <c r="G318" s="1839"/>
      <c r="H318" s="1839"/>
      <c r="K318" s="280"/>
      <c r="L318" s="280"/>
    </row>
    <row r="319" spans="1:12" ht="47.4" customHeight="1">
      <c r="A319" s="166" t="s">
        <v>162</v>
      </c>
      <c r="B319" s="279"/>
      <c r="C319" s="1850" t="s">
        <v>895</v>
      </c>
      <c r="D319" s="1850"/>
      <c r="E319" s="1850"/>
      <c r="F319" s="1850"/>
      <c r="G319" s="1850"/>
      <c r="H319" s="1850"/>
      <c r="K319" s="280"/>
      <c r="L319" s="280"/>
    </row>
    <row r="320" spans="1:12" ht="45" customHeight="1">
      <c r="A320" s="166" t="s">
        <v>232</v>
      </c>
      <c r="B320" s="279"/>
      <c r="C320" s="1847" t="s">
        <v>778</v>
      </c>
      <c r="D320" s="1847"/>
      <c r="E320" s="1847"/>
      <c r="F320" s="1847"/>
      <c r="G320" s="1847"/>
      <c r="H320" s="1847"/>
      <c r="J320" s="1714"/>
      <c r="L320" s="280"/>
    </row>
    <row r="321" spans="1:12" ht="77.400000000000006" customHeight="1">
      <c r="A321" s="166" t="s">
        <v>233</v>
      </c>
      <c r="B321" s="279"/>
      <c r="C321" s="1850" t="s">
        <v>1553</v>
      </c>
      <c r="D321" s="1850"/>
      <c r="E321" s="1850"/>
      <c r="F321" s="1850"/>
      <c r="G321" s="1850"/>
      <c r="H321" s="1850"/>
      <c r="J321" s="1712" t="s">
        <v>1549</v>
      </c>
      <c r="K321" s="256"/>
      <c r="L321" s="280"/>
    </row>
    <row r="322" spans="1:12" ht="32.4" customHeight="1">
      <c r="A322" s="166" t="s">
        <v>234</v>
      </c>
      <c r="B322" s="279"/>
      <c r="C322" s="1847" t="s">
        <v>896</v>
      </c>
      <c r="D322" s="1847"/>
      <c r="E322" s="1847"/>
      <c r="F322" s="1847"/>
      <c r="G322" s="1847"/>
      <c r="H322" s="1847"/>
      <c r="J322" s="1714"/>
      <c r="L322" s="280"/>
    </row>
    <row r="323" spans="1:12" ht="15" customHeight="1">
      <c r="A323" s="257" t="s">
        <v>235</v>
      </c>
      <c r="B323" s="279"/>
      <c r="C323" s="1849" t="s">
        <v>897</v>
      </c>
      <c r="D323" s="1849"/>
      <c r="E323" s="1849"/>
      <c r="F323" s="1849"/>
      <c r="G323" s="1849"/>
      <c r="H323" s="1849"/>
      <c r="K323" s="280"/>
      <c r="L323" s="280"/>
    </row>
    <row r="324" spans="1:12" ht="35.4" customHeight="1">
      <c r="A324" s="257" t="s">
        <v>236</v>
      </c>
      <c r="B324" s="279"/>
      <c r="C324" s="1847" t="s">
        <v>565</v>
      </c>
      <c r="D324" s="1847"/>
      <c r="E324" s="1847"/>
      <c r="F324" s="1847"/>
      <c r="G324" s="1847"/>
      <c r="H324" s="1847"/>
      <c r="J324" s="1714"/>
      <c r="L324" s="280"/>
    </row>
    <row r="325" spans="1:12" ht="31.2" customHeight="1">
      <c r="A325" s="257" t="s">
        <v>237</v>
      </c>
      <c r="B325" s="279"/>
      <c r="C325" s="1847" t="s">
        <v>1116</v>
      </c>
      <c r="D325" s="1847"/>
      <c r="E325" s="1847"/>
      <c r="F325" s="1847"/>
      <c r="G325" s="1847"/>
      <c r="H325" s="1847"/>
      <c r="K325" s="280"/>
      <c r="L325" s="280"/>
    </row>
    <row r="326" spans="1:12" ht="31.95" customHeight="1">
      <c r="A326" s="257" t="s">
        <v>238</v>
      </c>
      <c r="B326" s="279"/>
      <c r="C326" s="1847" t="s">
        <v>1117</v>
      </c>
      <c r="D326" s="1847"/>
      <c r="E326" s="1847"/>
      <c r="F326" s="1847"/>
      <c r="G326" s="1847"/>
      <c r="H326" s="1847"/>
      <c r="K326" s="280"/>
      <c r="L326" s="280"/>
    </row>
    <row r="327" spans="1:12" ht="31.95" customHeight="1">
      <c r="A327" s="257" t="s">
        <v>239</v>
      </c>
      <c r="B327" s="279"/>
      <c r="C327" s="1847" t="s">
        <v>1169</v>
      </c>
      <c r="D327" s="1847"/>
      <c r="E327" s="1847"/>
      <c r="F327" s="1847"/>
      <c r="G327" s="1847"/>
      <c r="H327" s="1847"/>
      <c r="K327" s="280"/>
      <c r="L327" s="280"/>
    </row>
    <row r="328" spans="1:12">
      <c r="A328" s="257" t="s">
        <v>299</v>
      </c>
      <c r="B328" s="279"/>
      <c r="C328" s="1847" t="s">
        <v>686</v>
      </c>
      <c r="D328" s="1847"/>
      <c r="E328" s="1847"/>
      <c r="F328" s="1847"/>
      <c r="G328" s="1847"/>
      <c r="H328" s="1847"/>
    </row>
    <row r="329" spans="1:12" ht="48" customHeight="1">
      <c r="A329" s="257" t="s">
        <v>295</v>
      </c>
      <c r="B329" s="280"/>
      <c r="C329" s="1847" t="s">
        <v>1144</v>
      </c>
      <c r="D329" s="1847"/>
      <c r="E329" s="1847"/>
      <c r="F329" s="1847"/>
      <c r="G329" s="1847"/>
      <c r="H329" s="1847"/>
      <c r="J329" s="1714"/>
    </row>
    <row r="330" spans="1:12">
      <c r="A330" s="257" t="s">
        <v>296</v>
      </c>
      <c r="B330" s="280"/>
      <c r="C330" s="1847" t="s">
        <v>777</v>
      </c>
      <c r="D330" s="1847"/>
      <c r="E330" s="1847"/>
      <c r="F330" s="1847"/>
      <c r="G330" s="1847"/>
      <c r="H330" s="1847"/>
    </row>
    <row r="331" spans="1:12">
      <c r="A331" s="257" t="s">
        <v>297</v>
      </c>
      <c r="B331" s="280"/>
      <c r="C331" s="1847" t="s">
        <v>830</v>
      </c>
      <c r="D331" s="1847"/>
      <c r="E331" s="1847"/>
      <c r="F331" s="1847"/>
      <c r="G331" s="1847"/>
      <c r="H331" s="1847"/>
    </row>
    <row r="332" spans="1:12">
      <c r="A332" s="257" t="s">
        <v>298</v>
      </c>
      <c r="B332" s="280"/>
      <c r="C332" s="1847" t="s">
        <v>831</v>
      </c>
      <c r="D332" s="1847"/>
      <c r="E332" s="1847"/>
      <c r="F332" s="1847"/>
      <c r="G332" s="1847"/>
      <c r="H332" s="1847"/>
    </row>
    <row r="333" spans="1:12" ht="15" customHeight="1">
      <c r="A333" s="257" t="s">
        <v>328</v>
      </c>
      <c r="B333" s="280"/>
      <c r="C333" s="1847" t="s">
        <v>686</v>
      </c>
      <c r="D333" s="1847"/>
      <c r="E333" s="1847"/>
      <c r="F333" s="1847"/>
      <c r="G333" s="1847"/>
      <c r="H333" s="1847"/>
    </row>
    <row r="334" spans="1:12" ht="47.4" customHeight="1">
      <c r="A334" s="257" t="s">
        <v>329</v>
      </c>
      <c r="B334" s="280"/>
      <c r="C334" s="1847" t="s">
        <v>791</v>
      </c>
      <c r="D334" s="1847"/>
      <c r="E334" s="1847"/>
      <c r="F334" s="1847"/>
      <c r="G334" s="1847"/>
      <c r="H334" s="1847"/>
      <c r="J334" s="1714"/>
    </row>
    <row r="335" spans="1:12" ht="16.2" customHeight="1">
      <c r="A335" s="257" t="s">
        <v>331</v>
      </c>
      <c r="B335" s="280"/>
      <c r="C335" s="1847" t="s">
        <v>332</v>
      </c>
      <c r="D335" s="1847"/>
      <c r="E335" s="1847"/>
      <c r="F335" s="1847"/>
      <c r="G335" s="1847"/>
      <c r="H335" s="1847"/>
      <c r="J335" s="1714"/>
    </row>
    <row r="336" spans="1:12">
      <c r="A336" s="257" t="s">
        <v>566</v>
      </c>
      <c r="B336" s="279"/>
      <c r="C336" s="1847" t="s">
        <v>832</v>
      </c>
      <c r="D336" s="1847"/>
      <c r="E336" s="1847"/>
      <c r="F336" s="1847"/>
      <c r="G336" s="1847"/>
      <c r="H336" s="1847"/>
    </row>
    <row r="337" spans="1:10" ht="46.95" customHeight="1">
      <c r="A337" s="257" t="s">
        <v>570</v>
      </c>
      <c r="B337" s="280"/>
      <c r="C337" s="1847" t="s">
        <v>1170</v>
      </c>
      <c r="D337" s="1847"/>
      <c r="E337" s="1847"/>
      <c r="F337" s="1847"/>
      <c r="G337" s="1847"/>
      <c r="H337" s="1847"/>
      <c r="I337" s="735"/>
    </row>
    <row r="338" spans="1:10">
      <c r="A338" s="257" t="s">
        <v>571</v>
      </c>
      <c r="B338" s="280"/>
      <c r="C338" s="1847" t="s">
        <v>898</v>
      </c>
      <c r="D338" s="1847"/>
      <c r="E338" s="1847"/>
      <c r="F338" s="1847"/>
      <c r="G338" s="1847"/>
      <c r="H338" s="1847"/>
    </row>
    <row r="339" spans="1:10" ht="30.6" customHeight="1">
      <c r="A339" s="257" t="s">
        <v>572</v>
      </c>
      <c r="B339" s="279"/>
      <c r="C339" s="1839" t="s">
        <v>1118</v>
      </c>
      <c r="D339" s="1839"/>
      <c r="E339" s="1839"/>
      <c r="F339" s="1839"/>
      <c r="G339" s="1839"/>
      <c r="H339" s="1839"/>
    </row>
    <row r="340" spans="1:10" ht="30.6" customHeight="1">
      <c r="A340" s="257" t="s">
        <v>573</v>
      </c>
      <c r="B340" s="279"/>
      <c r="C340" s="1839" t="s">
        <v>1166</v>
      </c>
      <c r="D340" s="1839"/>
      <c r="E340" s="1839"/>
      <c r="F340" s="1839"/>
      <c r="G340" s="1839"/>
      <c r="H340" s="1839"/>
    </row>
    <row r="341" spans="1:10">
      <c r="A341" s="257" t="s">
        <v>574</v>
      </c>
      <c r="B341" s="280"/>
      <c r="C341" s="1847" t="s">
        <v>1119</v>
      </c>
      <c r="D341" s="1847"/>
      <c r="E341" s="1847"/>
      <c r="F341" s="1847"/>
      <c r="G341" s="1847"/>
      <c r="H341" s="1847"/>
    </row>
    <row r="342" spans="1:10">
      <c r="A342" s="257" t="s">
        <v>575</v>
      </c>
      <c r="B342" s="280"/>
      <c r="C342" s="1847" t="s">
        <v>1120</v>
      </c>
      <c r="D342" s="1847"/>
      <c r="E342" s="1847"/>
      <c r="F342" s="1847"/>
      <c r="G342" s="1847"/>
      <c r="H342" s="1847"/>
    </row>
    <row r="343" spans="1:10" s="280" customFormat="1" ht="63.6" customHeight="1">
      <c r="A343" s="257" t="s">
        <v>1521</v>
      </c>
      <c r="C343" s="1847" t="s">
        <v>1522</v>
      </c>
      <c r="D343" s="1857"/>
      <c r="E343" s="1857"/>
      <c r="F343" s="1857"/>
      <c r="G343" s="1857"/>
      <c r="H343" s="1857"/>
      <c r="J343" s="1712" t="s">
        <v>1523</v>
      </c>
    </row>
    <row r="344" spans="1:10">
      <c r="A344" s="257"/>
      <c r="B344" s="280"/>
      <c r="C344" s="1847"/>
      <c r="D344" s="1847"/>
      <c r="E344" s="1847"/>
      <c r="F344" s="1847"/>
      <c r="G344" s="1847"/>
      <c r="H344" s="1847"/>
    </row>
    <row r="345" spans="1:10" ht="15.6">
      <c r="A345" s="24" t="s">
        <v>59</v>
      </c>
      <c r="B345" s="23"/>
      <c r="C345" s="1856"/>
      <c r="D345" s="1856"/>
      <c r="E345" s="1856"/>
      <c r="F345" s="1856"/>
      <c r="G345" s="1856"/>
      <c r="H345" s="1856"/>
    </row>
  </sheetData>
  <mergeCells count="48">
    <mergeCell ref="C336:H336"/>
    <mergeCell ref="C344:H344"/>
    <mergeCell ref="C345:H345"/>
    <mergeCell ref="C340:H340"/>
    <mergeCell ref="C342:H342"/>
    <mergeCell ref="C341:H341"/>
    <mergeCell ref="C337:H337"/>
    <mergeCell ref="C338:H338"/>
    <mergeCell ref="C339:H339"/>
    <mergeCell ref="C343:H343"/>
    <mergeCell ref="C330:H330"/>
    <mergeCell ref="C331:H331"/>
    <mergeCell ref="C332:H332"/>
    <mergeCell ref="C306:H306"/>
    <mergeCell ref="C308:H308"/>
    <mergeCell ref="C309:H309"/>
    <mergeCell ref="C310:H310"/>
    <mergeCell ref="C311:H311"/>
    <mergeCell ref="C314:H314"/>
    <mergeCell ref="C312:H312"/>
    <mergeCell ref="C315:H315"/>
    <mergeCell ref="C317:H317"/>
    <mergeCell ref="C318:H318"/>
    <mergeCell ref="E313:H313"/>
    <mergeCell ref="C316:I316"/>
    <mergeCell ref="C333:H333"/>
    <mergeCell ref="C334:H334"/>
    <mergeCell ref="C335:H335"/>
    <mergeCell ref="D208:E208"/>
    <mergeCell ref="D209:E209"/>
    <mergeCell ref="C322:H322"/>
    <mergeCell ref="C323:H323"/>
    <mergeCell ref="C324:H324"/>
    <mergeCell ref="C325:H325"/>
    <mergeCell ref="C326:H326"/>
    <mergeCell ref="C327:H327"/>
    <mergeCell ref="C319:H319"/>
    <mergeCell ref="C320:H320"/>
    <mergeCell ref="C321:H321"/>
    <mergeCell ref="C328:H328"/>
    <mergeCell ref="C329:H329"/>
    <mergeCell ref="A1:H1"/>
    <mergeCell ref="A3:H3"/>
    <mergeCell ref="C307:H307"/>
    <mergeCell ref="A305:B305"/>
    <mergeCell ref="D237:E238"/>
    <mergeCell ref="F237:F238"/>
    <mergeCell ref="C235:D235"/>
  </mergeCells>
  <printOptions horizontalCentered="1"/>
  <pageMargins left="0.7" right="0.7" top="0.7" bottom="0.7" header="0.3" footer="0.5"/>
  <pageSetup scale="51" fitToHeight="6" orientation="portrait" r:id="rId1"/>
  <headerFooter>
    <oddFooter>&amp;R&amp;12&amp;A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66"/>
  <sheetViews>
    <sheetView zoomScale="88" zoomScaleNormal="88" workbookViewId="0">
      <selection sqref="A1:B1"/>
    </sheetView>
  </sheetViews>
  <sheetFormatPr defaultColWidth="9.109375" defaultRowHeight="13.2"/>
  <cols>
    <col min="1" max="1" width="7" style="856" bestFit="1" customWidth="1"/>
    <col min="2" max="2" width="28.88671875" style="544" customWidth="1"/>
    <col min="3" max="9" width="11.33203125" style="544" bestFit="1" customWidth="1"/>
    <col min="10" max="12" width="11.88671875" style="544" bestFit="1" customWidth="1"/>
    <col min="13" max="14" width="11.44140625" style="544" bestFit="1" customWidth="1"/>
    <col min="15" max="15" width="11.33203125" style="544" bestFit="1" customWidth="1"/>
    <col min="16" max="16" width="18.6640625" style="854" customWidth="1"/>
    <col min="17" max="17" width="9.33203125" style="544" bestFit="1" customWidth="1"/>
    <col min="18" max="18" width="13" style="544" bestFit="1" customWidth="1"/>
    <col min="19" max="16384" width="9.109375" style="544"/>
  </cols>
  <sheetData>
    <row r="1" spans="1:18">
      <c r="A1" s="1944" t="str">
        <f>+'MISO Cover'!C6</f>
        <v>Entergy Arkansas, Inc.</v>
      </c>
      <c r="B1" s="1944"/>
      <c r="C1" s="1944"/>
      <c r="D1" s="1944"/>
      <c r="E1" s="1944"/>
      <c r="F1" s="1944"/>
      <c r="G1" s="1944"/>
      <c r="H1" s="1944"/>
      <c r="I1" s="1944"/>
      <c r="J1" s="1944"/>
      <c r="K1" s="1944"/>
      <c r="L1" s="1944"/>
      <c r="M1" s="1944"/>
      <c r="N1" s="1944"/>
      <c r="O1" s="1944"/>
      <c r="P1" s="1944"/>
    </row>
    <row r="2" spans="1:18">
      <c r="A2" s="1882" t="s">
        <v>917</v>
      </c>
      <c r="B2" s="1882"/>
      <c r="C2" s="1882"/>
      <c r="D2" s="1882"/>
      <c r="E2" s="1882"/>
      <c r="F2" s="1882"/>
      <c r="G2" s="1882"/>
      <c r="H2" s="1882"/>
      <c r="I2" s="1882"/>
      <c r="J2" s="1882"/>
      <c r="K2" s="1882"/>
      <c r="L2" s="1882"/>
      <c r="M2" s="1882"/>
      <c r="N2" s="1882"/>
      <c r="O2" s="1882"/>
      <c r="P2" s="1882"/>
    </row>
    <row r="3" spans="1:18">
      <c r="A3" s="1883" t="str">
        <f>+'MISO Cover'!K4</f>
        <v>For  the 12 Months Ended 12/31/2016</v>
      </c>
      <c r="B3" s="1883"/>
      <c r="C3" s="1883"/>
      <c r="D3" s="1883"/>
      <c r="E3" s="1883"/>
      <c r="F3" s="1883"/>
      <c r="G3" s="1883"/>
      <c r="H3" s="1883"/>
      <c r="I3" s="1883"/>
      <c r="J3" s="1883"/>
      <c r="K3" s="1883"/>
      <c r="L3" s="1883"/>
      <c r="M3" s="1883"/>
      <c r="N3" s="1883"/>
      <c r="O3" s="1883"/>
      <c r="P3" s="1883"/>
      <c r="Q3" s="183"/>
      <c r="R3" s="183"/>
    </row>
    <row r="4" spans="1:18">
      <c r="B4" s="795"/>
      <c r="C4" s="795"/>
      <c r="D4" s="795"/>
      <c r="E4" s="795"/>
      <c r="F4" s="795"/>
      <c r="G4" s="795"/>
      <c r="H4" s="795"/>
      <c r="I4" s="795"/>
      <c r="J4" s="795"/>
      <c r="K4" s="795"/>
      <c r="L4" s="795"/>
      <c r="M4" s="795"/>
      <c r="N4" s="795"/>
      <c r="O4" s="795"/>
      <c r="P4" s="855"/>
      <c r="Q4" s="183"/>
      <c r="R4" s="183"/>
    </row>
    <row r="5" spans="1:18">
      <c r="A5" s="856" t="s">
        <v>290</v>
      </c>
      <c r="B5" s="1256" t="s">
        <v>72</v>
      </c>
      <c r="C5" s="1256" t="s">
        <v>119</v>
      </c>
      <c r="D5" s="1256" t="s">
        <v>60</v>
      </c>
      <c r="E5" s="1256" t="s">
        <v>73</v>
      </c>
      <c r="F5" s="1256" t="s">
        <v>71</v>
      </c>
      <c r="G5" s="1256" t="s">
        <v>161</v>
      </c>
      <c r="H5" s="1256" t="s">
        <v>74</v>
      </c>
      <c r="I5" s="1256" t="s">
        <v>174</v>
      </c>
      <c r="J5" s="1256" t="s">
        <v>469</v>
      </c>
      <c r="K5" s="1256" t="s">
        <v>470</v>
      </c>
      <c r="L5" s="1256" t="s">
        <v>471</v>
      </c>
      <c r="M5" s="1256" t="s">
        <v>472</v>
      </c>
      <c r="N5" s="1256" t="s">
        <v>473</v>
      </c>
      <c r="O5" s="1256" t="s">
        <v>474</v>
      </c>
      <c r="P5" s="183"/>
      <c r="Q5" s="183"/>
    </row>
    <row r="6" spans="1:18">
      <c r="A6" s="1033"/>
      <c r="P6" s="183"/>
      <c r="Q6" s="183"/>
    </row>
    <row r="7" spans="1:18" ht="13.2" customHeight="1">
      <c r="A7" s="1033">
        <v>1</v>
      </c>
      <c r="B7" s="44" t="s">
        <v>30</v>
      </c>
      <c r="C7" s="1540" t="s">
        <v>1786</v>
      </c>
      <c r="D7" s="44"/>
      <c r="E7" s="44"/>
      <c r="F7" s="44"/>
      <c r="G7" s="44"/>
      <c r="H7" s="44"/>
      <c r="I7" s="44"/>
      <c r="J7" s="44"/>
      <c r="K7" s="44"/>
      <c r="L7" s="44"/>
      <c r="M7" s="44"/>
      <c r="N7" s="44"/>
      <c r="O7" s="44"/>
      <c r="P7" s="544"/>
    </row>
    <row r="8" spans="1:18" ht="13.2" customHeight="1">
      <c r="A8" s="1033">
        <f t="shared" ref="A8:A14" si="0">+A7+1</f>
        <v>2</v>
      </c>
      <c r="B8" s="44" t="s">
        <v>459</v>
      </c>
      <c r="C8" s="1257" t="s">
        <v>460</v>
      </c>
      <c r="D8" s="43"/>
      <c r="E8" s="43"/>
      <c r="F8" s="43"/>
      <c r="G8" s="43"/>
      <c r="H8" s="43"/>
      <c r="I8" s="43"/>
      <c r="J8" s="43"/>
      <c r="K8" s="43"/>
      <c r="L8" s="43"/>
      <c r="M8" s="43"/>
      <c r="N8" s="43"/>
      <c r="O8" s="43"/>
      <c r="P8" s="544"/>
    </row>
    <row r="9" spans="1:18">
      <c r="A9" s="1033">
        <f t="shared" si="0"/>
        <v>3</v>
      </c>
      <c r="B9" s="44"/>
      <c r="C9" s="1943"/>
      <c r="D9" s="1943"/>
      <c r="E9" s="1943"/>
      <c r="F9" s="1943"/>
      <c r="G9" s="1943"/>
      <c r="H9" s="1943"/>
      <c r="I9" s="1943"/>
      <c r="J9" s="1943"/>
      <c r="K9" s="1943"/>
      <c r="L9" s="1943"/>
      <c r="M9" s="1943"/>
      <c r="N9" s="1943"/>
      <c r="O9" s="44"/>
      <c r="P9" s="544"/>
    </row>
    <row r="10" spans="1:18">
      <c r="A10" s="1033">
        <f t="shared" si="0"/>
        <v>4</v>
      </c>
      <c r="B10" s="79"/>
      <c r="C10" s="1263" t="s">
        <v>32</v>
      </c>
      <c r="D10" s="1263" t="s">
        <v>33</v>
      </c>
      <c r="E10" s="1263" t="s">
        <v>34</v>
      </c>
      <c r="F10" s="1263" t="s">
        <v>35</v>
      </c>
      <c r="G10" s="1263" t="s">
        <v>31</v>
      </c>
      <c r="H10" s="1263" t="s">
        <v>36</v>
      </c>
      <c r="I10" s="1263" t="s">
        <v>37</v>
      </c>
      <c r="J10" s="1263" t="s">
        <v>38</v>
      </c>
      <c r="K10" s="1263" t="s">
        <v>39</v>
      </c>
      <c r="L10" s="1263" t="s">
        <v>40</v>
      </c>
      <c r="M10" s="1263" t="s">
        <v>41</v>
      </c>
      <c r="N10" s="1263" t="s">
        <v>42</v>
      </c>
      <c r="O10" s="1263" t="s">
        <v>461</v>
      </c>
      <c r="P10" s="544"/>
    </row>
    <row r="11" spans="1:18">
      <c r="A11" s="1033">
        <f t="shared" si="0"/>
        <v>5</v>
      </c>
      <c r="B11" s="79" t="s">
        <v>462</v>
      </c>
      <c r="C11" s="1439">
        <v>11</v>
      </c>
      <c r="D11" s="1439">
        <v>10</v>
      </c>
      <c r="E11" s="1439">
        <v>21</v>
      </c>
      <c r="F11" s="1439">
        <v>27</v>
      </c>
      <c r="G11" s="1439">
        <v>11</v>
      </c>
      <c r="H11" s="1439">
        <v>16</v>
      </c>
      <c r="I11" s="1439">
        <v>21</v>
      </c>
      <c r="J11" s="1439">
        <v>2</v>
      </c>
      <c r="K11" s="1439">
        <v>7</v>
      </c>
      <c r="L11" s="1439">
        <v>5</v>
      </c>
      <c r="M11" s="1439">
        <v>1</v>
      </c>
      <c r="N11" s="1439">
        <v>20</v>
      </c>
      <c r="O11" s="586"/>
      <c r="P11" s="544"/>
    </row>
    <row r="12" spans="1:18">
      <c r="A12" s="1033">
        <f t="shared" si="0"/>
        <v>6</v>
      </c>
      <c r="B12" s="79" t="s">
        <v>463</v>
      </c>
      <c r="C12" s="1439">
        <v>900</v>
      </c>
      <c r="D12" s="1439">
        <v>800</v>
      </c>
      <c r="E12" s="1439">
        <v>800</v>
      </c>
      <c r="F12" s="1439">
        <v>1800</v>
      </c>
      <c r="G12" s="1439">
        <v>1800</v>
      </c>
      <c r="H12" s="1439">
        <v>1700</v>
      </c>
      <c r="I12" s="1439">
        <v>1500</v>
      </c>
      <c r="J12" s="1439">
        <v>1700</v>
      </c>
      <c r="K12" s="1439">
        <v>1600</v>
      </c>
      <c r="L12" s="1439">
        <v>1700</v>
      </c>
      <c r="M12" s="1439">
        <v>1700</v>
      </c>
      <c r="N12" s="1439">
        <v>900</v>
      </c>
      <c r="O12" s="586"/>
      <c r="P12" s="544"/>
    </row>
    <row r="13" spans="1:18">
      <c r="A13" s="1033">
        <f t="shared" si="0"/>
        <v>7</v>
      </c>
      <c r="B13" s="79"/>
      <c r="C13" s="586"/>
      <c r="D13" s="586"/>
      <c r="E13" s="586"/>
      <c r="F13" s="586"/>
      <c r="G13" s="586"/>
      <c r="H13" s="586"/>
      <c r="I13" s="586"/>
      <c r="J13" s="586"/>
      <c r="K13" s="586"/>
      <c r="L13" s="586"/>
      <c r="M13" s="586"/>
      <c r="N13" s="586"/>
      <c r="O13" s="586"/>
      <c r="P13" s="544"/>
    </row>
    <row r="14" spans="1:18">
      <c r="A14" s="1033">
        <f t="shared" si="0"/>
        <v>8</v>
      </c>
      <c r="B14" s="1264" t="s">
        <v>464</v>
      </c>
      <c r="C14" s="586"/>
      <c r="D14" s="586"/>
      <c r="E14" s="586"/>
      <c r="F14" s="586"/>
      <c r="G14" s="586"/>
      <c r="H14" s="586"/>
      <c r="I14" s="586"/>
      <c r="J14" s="586"/>
      <c r="K14" s="586"/>
      <c r="L14" s="586"/>
      <c r="M14" s="586"/>
      <c r="N14" s="586"/>
      <c r="O14" s="586"/>
      <c r="P14" s="544"/>
    </row>
    <row r="15" spans="1:18">
      <c r="A15" s="1097">
        <f>+A14+0.01</f>
        <v>8.01</v>
      </c>
      <c r="B15" s="586" t="s">
        <v>1099</v>
      </c>
      <c r="C15" s="1440">
        <v>42.927</v>
      </c>
      <c r="D15" s="1440">
        <v>42.927</v>
      </c>
      <c r="E15" s="1440">
        <v>34.750999999999998</v>
      </c>
      <c r="F15" s="1440">
        <v>28.619</v>
      </c>
      <c r="G15" s="1440">
        <v>41.905000000000001</v>
      </c>
      <c r="H15" s="1440">
        <v>59.149000000000001</v>
      </c>
      <c r="I15" s="1440">
        <v>57.109000000000002</v>
      </c>
      <c r="J15" s="1440">
        <v>58.128999999999998</v>
      </c>
      <c r="K15" s="1440">
        <v>56.09</v>
      </c>
      <c r="L15" s="1440">
        <v>48.951000000000001</v>
      </c>
      <c r="M15" s="1440">
        <v>42.832999999999998</v>
      </c>
      <c r="N15" s="1440">
        <v>44.872</v>
      </c>
      <c r="O15" s="1041">
        <f>+SUM(C15:N15)/12</f>
        <v>46.521833333333326</v>
      </c>
      <c r="P15" s="544"/>
    </row>
    <row r="16" spans="1:18">
      <c r="A16" s="1097">
        <f t="shared" ref="A16:A27" si="1">+A15+0.01</f>
        <v>8.02</v>
      </c>
      <c r="B16" s="586" t="s">
        <v>1100</v>
      </c>
      <c r="C16" s="1440">
        <v>36.795999999999999</v>
      </c>
      <c r="D16" s="1440">
        <v>33.414999999999999</v>
      </c>
      <c r="E16" s="1440">
        <v>28.620999999999999</v>
      </c>
      <c r="F16" s="1440">
        <v>41.207999999999998</v>
      </c>
      <c r="G16" s="1440">
        <v>44.718000000000004</v>
      </c>
      <c r="H16" s="1440">
        <v>66.353999999999999</v>
      </c>
      <c r="I16" s="1440">
        <v>65.760999999999996</v>
      </c>
      <c r="J16" s="1440">
        <v>70.903999999999996</v>
      </c>
      <c r="K16" s="1440">
        <v>63.945999999999998</v>
      </c>
      <c r="L16" s="1440">
        <v>53.892000000000003</v>
      </c>
      <c r="M16" s="1440">
        <v>39.191000000000003</v>
      </c>
      <c r="N16" s="1440">
        <v>38.15</v>
      </c>
      <c r="O16" s="1041">
        <f t="shared" ref="O16:O29" si="2">+SUM(C16:N16)/12</f>
        <v>48.579666666666661</v>
      </c>
      <c r="P16" s="544"/>
    </row>
    <row r="17" spans="1:21">
      <c r="A17" s="1097">
        <f t="shared" si="1"/>
        <v>8.0299999999999994</v>
      </c>
      <c r="B17" s="586" t="s">
        <v>1101</v>
      </c>
      <c r="C17" s="1440">
        <v>149.23099999999999</v>
      </c>
      <c r="D17" s="1440">
        <v>136.47800000000001</v>
      </c>
      <c r="E17" s="1440">
        <v>119.762</v>
      </c>
      <c r="F17" s="1440">
        <v>145.30799999999999</v>
      </c>
      <c r="G17" s="1440">
        <v>161.97200000000001</v>
      </c>
      <c r="H17" s="1440">
        <v>204.98</v>
      </c>
      <c r="I17" s="1440">
        <v>210.398</v>
      </c>
      <c r="J17" s="1440">
        <v>208.08600000000001</v>
      </c>
      <c r="K17" s="1440">
        <v>194.077</v>
      </c>
      <c r="L17" s="1440">
        <v>162.648</v>
      </c>
      <c r="M17" s="1440">
        <v>139.423</v>
      </c>
      <c r="N17" s="1440">
        <v>150.75800000000001</v>
      </c>
      <c r="O17" s="1041">
        <f t="shared" si="2"/>
        <v>165.26008333333331</v>
      </c>
      <c r="P17" s="544"/>
    </row>
    <row r="18" spans="1:21">
      <c r="A18" s="1097">
        <f t="shared" si="1"/>
        <v>8.0399999999999991</v>
      </c>
      <c r="B18" s="586" t="s">
        <v>1102</v>
      </c>
      <c r="C18" s="1440">
        <v>4.0880000000000001</v>
      </c>
      <c r="D18" s="1440">
        <v>4.0880000000000001</v>
      </c>
      <c r="E18" s="1440">
        <v>3.0659999999999998</v>
      </c>
      <c r="F18" s="1440">
        <v>2.044</v>
      </c>
      <c r="G18" s="1440">
        <v>2.044</v>
      </c>
      <c r="H18" s="1440">
        <v>4.0789999999999997</v>
      </c>
      <c r="I18" s="1440">
        <v>5.0990000000000002</v>
      </c>
      <c r="J18" s="1440">
        <v>4.0789999999999997</v>
      </c>
      <c r="K18" s="1440">
        <v>4.0789999999999997</v>
      </c>
      <c r="L18" s="1440">
        <v>2.04</v>
      </c>
      <c r="M18" s="1440">
        <v>2.04</v>
      </c>
      <c r="N18" s="1440">
        <v>4.0789999999999997</v>
      </c>
      <c r="O18" s="1041">
        <f t="shared" si="2"/>
        <v>3.4020833333333336</v>
      </c>
      <c r="P18" s="544"/>
    </row>
    <row r="19" spans="1:21">
      <c r="A19" s="1097">
        <f t="shared" si="1"/>
        <v>8.0499999999999989</v>
      </c>
      <c r="B19" s="586" t="s">
        <v>1103</v>
      </c>
      <c r="C19" s="1440">
        <v>126.319</v>
      </c>
      <c r="D19" s="1440">
        <v>114.54</v>
      </c>
      <c r="E19" s="1440">
        <v>99.135999999999996</v>
      </c>
      <c r="F19" s="1440">
        <v>136.08699999999999</v>
      </c>
      <c r="G19" s="1440">
        <v>157.511</v>
      </c>
      <c r="H19" s="1440">
        <v>225.60599999999999</v>
      </c>
      <c r="I19" s="1440">
        <v>217.89</v>
      </c>
      <c r="J19" s="1440">
        <v>231.339</v>
      </c>
      <c r="K19" s="1440">
        <v>212.74</v>
      </c>
      <c r="L19" s="1440">
        <v>176.989</v>
      </c>
      <c r="M19" s="1440">
        <v>131.833</v>
      </c>
      <c r="N19" s="1440">
        <v>124.27</v>
      </c>
      <c r="O19" s="1041">
        <f t="shared" si="2"/>
        <v>162.85499999999999</v>
      </c>
      <c r="P19" s="544"/>
    </row>
    <row r="20" spans="1:21">
      <c r="A20" s="1097">
        <f t="shared" si="1"/>
        <v>8.0599999999999987</v>
      </c>
      <c r="B20" s="586" t="s">
        <v>1104</v>
      </c>
      <c r="C20" s="1440">
        <v>0</v>
      </c>
      <c r="D20" s="1440">
        <v>0</v>
      </c>
      <c r="E20" s="1440">
        <v>0</v>
      </c>
      <c r="F20" s="1440">
        <v>0</v>
      </c>
      <c r="G20" s="1440">
        <v>0</v>
      </c>
      <c r="H20" s="1440">
        <v>0</v>
      </c>
      <c r="I20" s="1440">
        <v>0</v>
      </c>
      <c r="J20" s="1440">
        <v>0</v>
      </c>
      <c r="K20" s="1440">
        <v>0</v>
      </c>
      <c r="L20" s="1440">
        <v>0</v>
      </c>
      <c r="M20" s="1440">
        <v>0</v>
      </c>
      <c r="N20" s="1440">
        <v>0</v>
      </c>
      <c r="O20" s="1041">
        <f t="shared" si="2"/>
        <v>0</v>
      </c>
      <c r="P20" s="544"/>
    </row>
    <row r="21" spans="1:21">
      <c r="A21" s="1097">
        <f t="shared" si="1"/>
        <v>8.0699999999999985</v>
      </c>
      <c r="B21" s="586" t="s">
        <v>1105</v>
      </c>
      <c r="C21" s="1440">
        <v>14.31</v>
      </c>
      <c r="D21" s="1440">
        <v>12.265000000000001</v>
      </c>
      <c r="E21" s="1440">
        <v>10.221</v>
      </c>
      <c r="F21" s="1440">
        <v>11.243</v>
      </c>
      <c r="G21" s="1440">
        <v>10.220000000000001</v>
      </c>
      <c r="H21" s="1440">
        <v>13.257999999999999</v>
      </c>
      <c r="I21" s="1440">
        <v>15.298</v>
      </c>
      <c r="J21" s="1440">
        <v>13.257999999999999</v>
      </c>
      <c r="K21" s="1440">
        <v>13.257999999999999</v>
      </c>
      <c r="L21" s="1440">
        <v>13.257999999999999</v>
      </c>
      <c r="M21" s="1440">
        <v>12.238</v>
      </c>
      <c r="N21" s="1440">
        <v>11.218</v>
      </c>
      <c r="O21" s="1041">
        <f t="shared" si="2"/>
        <v>12.503749999999998</v>
      </c>
      <c r="P21" s="544"/>
    </row>
    <row r="22" spans="1:21">
      <c r="A22" s="1097">
        <f t="shared" si="1"/>
        <v>8.0799999999999983</v>
      </c>
      <c r="B22" s="586" t="s">
        <v>1106</v>
      </c>
      <c r="C22" s="1440">
        <v>56.982999999999997</v>
      </c>
      <c r="D22" s="1440">
        <v>57.822000000000003</v>
      </c>
      <c r="E22" s="1440">
        <v>44.497</v>
      </c>
      <c r="F22" s="1440">
        <v>48.972000000000001</v>
      </c>
      <c r="G22" s="1440">
        <v>62.530999999999999</v>
      </c>
      <c r="H22" s="1440">
        <v>82.156999999999996</v>
      </c>
      <c r="I22" s="1440">
        <v>81.84</v>
      </c>
      <c r="J22" s="1440">
        <v>82.432000000000002</v>
      </c>
      <c r="K22" s="1440">
        <v>79.653000000000006</v>
      </c>
      <c r="L22" s="1440">
        <v>67.906999999999996</v>
      </c>
      <c r="M22" s="1440">
        <v>55.386000000000003</v>
      </c>
      <c r="N22" s="1440">
        <v>60.935000000000002</v>
      </c>
      <c r="O22" s="1041">
        <f t="shared" si="2"/>
        <v>65.092916666666667</v>
      </c>
      <c r="P22" s="544"/>
    </row>
    <row r="23" spans="1:21" ht="13.5" customHeight="1">
      <c r="A23" s="1097">
        <f t="shared" si="1"/>
        <v>8.0899999999999981</v>
      </c>
      <c r="B23" s="586" t="s">
        <v>1107</v>
      </c>
      <c r="C23" s="1440">
        <v>0</v>
      </c>
      <c r="D23" s="1440">
        <v>0</v>
      </c>
      <c r="E23" s="1440">
        <v>0</v>
      </c>
      <c r="F23" s="1440">
        <v>0</v>
      </c>
      <c r="G23" s="1440">
        <v>0</v>
      </c>
      <c r="H23" s="1440">
        <v>0</v>
      </c>
      <c r="I23" s="1440">
        <v>0</v>
      </c>
      <c r="J23" s="1440">
        <v>0</v>
      </c>
      <c r="K23" s="1440">
        <v>0</v>
      </c>
      <c r="L23" s="1440">
        <v>0</v>
      </c>
      <c r="M23" s="1440">
        <v>0</v>
      </c>
      <c r="N23" s="1440">
        <v>0</v>
      </c>
      <c r="O23" s="1041">
        <f t="shared" si="2"/>
        <v>0</v>
      </c>
      <c r="P23" s="544"/>
    </row>
    <row r="24" spans="1:21">
      <c r="A24" s="1097">
        <f t="shared" si="1"/>
        <v>8.0999999999999979</v>
      </c>
      <c r="B24" s="586" t="s">
        <v>1108</v>
      </c>
      <c r="C24" s="1440">
        <v>220.54599999999999</v>
      </c>
      <c r="D24" s="1440">
        <v>215.43700000000001</v>
      </c>
      <c r="E24" s="1440">
        <v>168.185</v>
      </c>
      <c r="F24" s="1440">
        <v>185.15600000000001</v>
      </c>
      <c r="G24" s="1440">
        <v>225.48599999999999</v>
      </c>
      <c r="H24" s="1440">
        <v>291.31599999999997</v>
      </c>
      <c r="I24" s="1440">
        <v>293.30799999999999</v>
      </c>
      <c r="J24" s="1440">
        <v>285.70999999999998</v>
      </c>
      <c r="K24" s="1440">
        <v>279.61500000000001</v>
      </c>
      <c r="L24" s="1440">
        <v>227.857</v>
      </c>
      <c r="M24" s="1440">
        <v>192.23699999999999</v>
      </c>
      <c r="N24" s="1440">
        <v>238.483</v>
      </c>
      <c r="O24" s="1041">
        <f t="shared" si="2"/>
        <v>235.27800000000002</v>
      </c>
      <c r="P24" s="544"/>
    </row>
    <row r="25" spans="1:21">
      <c r="A25" s="1097">
        <f t="shared" si="1"/>
        <v>8.1099999999999977</v>
      </c>
      <c r="B25" s="586" t="s">
        <v>1109</v>
      </c>
      <c r="C25" s="1440">
        <v>1554.4490000000001</v>
      </c>
      <c r="D25" s="1440">
        <v>1362.087</v>
      </c>
      <c r="E25" s="1440">
        <v>1263.3869999999999</v>
      </c>
      <c r="F25" s="1440">
        <v>915.40800000000002</v>
      </c>
      <c r="G25" s="1440">
        <v>1255.259</v>
      </c>
      <c r="H25" s="1440">
        <v>1579.951</v>
      </c>
      <c r="I25" s="1440">
        <v>1586.616</v>
      </c>
      <c r="J25" s="1440">
        <v>1645.175</v>
      </c>
      <c r="K25" s="1440">
        <v>1348.8820000000001</v>
      </c>
      <c r="L25" s="1440">
        <v>1233.211</v>
      </c>
      <c r="M25" s="1440">
        <v>1049.001</v>
      </c>
      <c r="N25" s="1440">
        <v>1721.5350000000001</v>
      </c>
      <c r="O25" s="1041">
        <f t="shared" si="2"/>
        <v>1376.24675</v>
      </c>
      <c r="P25" s="544"/>
    </row>
    <row r="26" spans="1:21">
      <c r="A26" s="1097">
        <f t="shared" si="1"/>
        <v>8.1199999999999974</v>
      </c>
      <c r="B26" s="586" t="s">
        <v>1110</v>
      </c>
      <c r="C26" s="1440">
        <v>281.077</v>
      </c>
      <c r="D26" s="1440">
        <v>235.083</v>
      </c>
      <c r="E26" s="1440">
        <v>183.977</v>
      </c>
      <c r="F26" s="1440">
        <v>158.42500000000001</v>
      </c>
      <c r="G26" s="1440">
        <v>229.97300000000001</v>
      </c>
      <c r="H26" s="1440">
        <v>316.14400000000001</v>
      </c>
      <c r="I26" s="1440">
        <v>323.28399999999999</v>
      </c>
      <c r="J26" s="1440">
        <v>337.56099999999998</v>
      </c>
      <c r="K26" s="1440">
        <v>279.43299999999999</v>
      </c>
      <c r="L26" s="1440">
        <v>219.262</v>
      </c>
      <c r="M26" s="1440">
        <v>176.43100000000001</v>
      </c>
      <c r="N26" s="1440">
        <v>263.11399999999998</v>
      </c>
      <c r="O26" s="1041">
        <f t="shared" si="2"/>
        <v>250.31366666666668</v>
      </c>
      <c r="P26" s="544"/>
    </row>
    <row r="27" spans="1:21">
      <c r="A27" s="1445">
        <f t="shared" si="1"/>
        <v>8.1299999999999972</v>
      </c>
      <c r="B27" s="1439" t="s">
        <v>969</v>
      </c>
      <c r="C27" s="1440"/>
      <c r="D27" s="1441"/>
      <c r="E27" s="1441"/>
      <c r="F27" s="1441"/>
      <c r="G27" s="1441"/>
      <c r="H27" s="1441"/>
      <c r="I27" s="1441"/>
      <c r="J27" s="1441"/>
      <c r="K27" s="1440"/>
      <c r="L27" s="1441"/>
      <c r="M27" s="1441"/>
      <c r="N27" s="1441"/>
      <c r="O27" s="1041">
        <f t="shared" si="2"/>
        <v>0</v>
      </c>
      <c r="P27" s="544"/>
    </row>
    <row r="28" spans="1:21" ht="13.5" customHeight="1">
      <c r="A28" s="1445" t="s">
        <v>960</v>
      </c>
      <c r="B28" s="1439" t="s">
        <v>969</v>
      </c>
      <c r="C28" s="1442"/>
      <c r="D28" s="1442"/>
      <c r="E28" s="1442"/>
      <c r="F28" s="1442"/>
      <c r="G28" s="1442"/>
      <c r="H28" s="1442"/>
      <c r="I28" s="1442"/>
      <c r="J28" s="1442"/>
      <c r="K28" s="1442"/>
      <c r="L28" s="1442"/>
      <c r="M28" s="1442"/>
      <c r="N28" s="1442"/>
      <c r="O28" s="1041">
        <f t="shared" si="2"/>
        <v>0</v>
      </c>
      <c r="P28" s="544"/>
    </row>
    <row r="29" spans="1:21" ht="13.8" thickBot="1">
      <c r="A29" s="1445" t="s">
        <v>966</v>
      </c>
      <c r="B29" s="1446" t="s">
        <v>969</v>
      </c>
      <c r="C29" s="1443"/>
      <c r="D29" s="1444"/>
      <c r="E29" s="1444"/>
      <c r="F29" s="1444"/>
      <c r="G29" s="1444"/>
      <c r="H29" s="1444"/>
      <c r="I29" s="1444"/>
      <c r="J29" s="1444"/>
      <c r="K29" s="1443"/>
      <c r="L29" s="1444"/>
      <c r="M29" s="1444"/>
      <c r="N29" s="1444"/>
      <c r="O29" s="1484">
        <f t="shared" si="2"/>
        <v>0</v>
      </c>
      <c r="P29" s="544"/>
    </row>
    <row r="30" spans="1:21" ht="13.8" thickTop="1">
      <c r="A30" s="1033">
        <f>+A14+1</f>
        <v>9</v>
      </c>
      <c r="B30" s="858" t="str">
        <f>+"Total "&amp;B14&amp;"  "&amp;A59</f>
        <v>Total Network Customers  (1)</v>
      </c>
      <c r="C30" s="1265">
        <f t="shared" ref="C30:O30" si="3">SUM(C15:C29)</f>
        <v>2486.7260000000006</v>
      </c>
      <c r="D30" s="1265">
        <f t="shared" si="3"/>
        <v>2214.1419999999998</v>
      </c>
      <c r="E30" s="1265">
        <f t="shared" si="3"/>
        <v>1955.6030000000001</v>
      </c>
      <c r="F30" s="1265">
        <f t="shared" si="3"/>
        <v>1672.47</v>
      </c>
      <c r="G30" s="1265">
        <f t="shared" si="3"/>
        <v>2191.6190000000001</v>
      </c>
      <c r="H30" s="1265">
        <f t="shared" si="3"/>
        <v>2842.9940000000006</v>
      </c>
      <c r="I30" s="1265">
        <f t="shared" si="3"/>
        <v>2856.6030000000001</v>
      </c>
      <c r="J30" s="1265">
        <f t="shared" si="3"/>
        <v>2936.6730000000002</v>
      </c>
      <c r="K30" s="1265">
        <f t="shared" si="3"/>
        <v>2531.7730000000001</v>
      </c>
      <c r="L30" s="1265">
        <f t="shared" si="3"/>
        <v>2206.0149999999999</v>
      </c>
      <c r="M30" s="1265">
        <f t="shared" si="3"/>
        <v>1840.6130000000001</v>
      </c>
      <c r="N30" s="1265">
        <f t="shared" si="3"/>
        <v>2657.4140000000002</v>
      </c>
      <c r="O30" s="1265">
        <f t="shared" si="3"/>
        <v>2366.05375</v>
      </c>
      <c r="P30" s="544"/>
    </row>
    <row r="31" spans="1:21">
      <c r="A31" s="1033">
        <f>+A30+1</f>
        <v>10</v>
      </c>
      <c r="B31" s="857"/>
      <c r="C31" s="1265"/>
      <c r="D31" s="1265"/>
      <c r="E31" s="1265"/>
      <c r="F31" s="1265"/>
      <c r="G31" s="1265"/>
      <c r="H31" s="1265"/>
      <c r="I31" s="1265"/>
      <c r="J31" s="1265"/>
      <c r="K31" s="1265"/>
      <c r="L31" s="1265"/>
      <c r="M31" s="1265"/>
      <c r="N31" s="1265"/>
      <c r="O31" s="1265"/>
      <c r="P31" s="544"/>
    </row>
    <row r="32" spans="1:21">
      <c r="A32" s="1033">
        <f>+A31+1</f>
        <v>11</v>
      </c>
      <c r="B32" s="1266" t="str">
        <f>+"Grandfathered Contracts "&amp;A60</f>
        <v>Grandfathered Contracts (2)</v>
      </c>
      <c r="C32" s="1042"/>
      <c r="D32" s="1041"/>
      <c r="E32" s="1041"/>
      <c r="F32" s="1041"/>
      <c r="G32" s="1041"/>
      <c r="H32" s="1041"/>
      <c r="I32" s="1041"/>
      <c r="J32" s="1041"/>
      <c r="K32" s="1042"/>
      <c r="L32" s="1041"/>
      <c r="M32" s="1041"/>
      <c r="N32" s="1041"/>
      <c r="O32" s="1041"/>
      <c r="P32" s="183"/>
      <c r="R32" s="183"/>
      <c r="S32" s="183"/>
      <c r="T32" s="183"/>
      <c r="U32" s="183"/>
    </row>
    <row r="33" spans="1:21">
      <c r="A33" s="1097">
        <f>+A32+0.01</f>
        <v>11.01</v>
      </c>
      <c r="B33" s="586" t="str">
        <f>+"SPA DEGRAY  "&amp;A66</f>
        <v>SPA DEGRAY  (8)</v>
      </c>
      <c r="C33" s="1440">
        <v>68</v>
      </c>
      <c r="D33" s="1440">
        <v>68</v>
      </c>
      <c r="E33" s="1440">
        <v>68</v>
      </c>
      <c r="F33" s="1440">
        <v>68</v>
      </c>
      <c r="G33" s="1440">
        <v>68</v>
      </c>
      <c r="H33" s="1440">
        <v>68</v>
      </c>
      <c r="I33" s="1440">
        <v>68</v>
      </c>
      <c r="J33" s="1440">
        <v>68</v>
      </c>
      <c r="K33" s="1440">
        <v>68</v>
      </c>
      <c r="L33" s="1440">
        <v>68</v>
      </c>
      <c r="M33" s="1440">
        <v>68</v>
      </c>
      <c r="N33" s="1440">
        <v>68</v>
      </c>
      <c r="O33" s="1041">
        <f>+SUM(C33:N33)/12</f>
        <v>68</v>
      </c>
      <c r="P33" s="183"/>
      <c r="R33" s="183"/>
      <c r="S33" s="183"/>
      <c r="T33" s="183"/>
      <c r="U33" s="183"/>
    </row>
    <row r="34" spans="1:21">
      <c r="A34" s="1097">
        <f>+A33+0.01</f>
        <v>11.02</v>
      </c>
      <c r="B34" s="1362" t="s">
        <v>1111</v>
      </c>
      <c r="C34" s="1440">
        <v>75</v>
      </c>
      <c r="D34" s="1440">
        <v>75</v>
      </c>
      <c r="E34" s="1440">
        <v>75</v>
      </c>
      <c r="F34" s="1440">
        <v>75</v>
      </c>
      <c r="G34" s="1440">
        <v>75</v>
      </c>
      <c r="H34" s="1440">
        <v>75</v>
      </c>
      <c r="I34" s="1440">
        <v>75</v>
      </c>
      <c r="J34" s="1440">
        <v>75</v>
      </c>
      <c r="K34" s="1440">
        <v>75</v>
      </c>
      <c r="L34" s="1440">
        <v>75</v>
      </c>
      <c r="M34" s="1440">
        <v>75</v>
      </c>
      <c r="N34" s="1440">
        <v>75</v>
      </c>
      <c r="O34" s="1485">
        <f>+SUM(C34:N34)/12</f>
        <v>75</v>
      </c>
      <c r="P34" s="183"/>
      <c r="R34" s="183"/>
      <c r="S34" s="183"/>
      <c r="T34" s="183"/>
      <c r="U34" s="183"/>
    </row>
    <row r="35" spans="1:21">
      <c r="A35" s="1445">
        <f>+A34+0.01</f>
        <v>11.03</v>
      </c>
      <c r="B35" s="1439" t="s">
        <v>969</v>
      </c>
      <c r="C35" s="1440"/>
      <c r="D35" s="1441"/>
      <c r="E35" s="1441"/>
      <c r="F35" s="1441"/>
      <c r="G35" s="1441"/>
      <c r="H35" s="1441"/>
      <c r="I35" s="1441"/>
      <c r="J35" s="1441"/>
      <c r="K35" s="1440"/>
      <c r="L35" s="1441"/>
      <c r="M35" s="1441"/>
      <c r="N35" s="1441"/>
      <c r="O35" s="1041">
        <f>+SUM(C35:N35)/12</f>
        <v>0</v>
      </c>
      <c r="P35" s="183"/>
      <c r="R35" s="183"/>
      <c r="S35" s="183"/>
      <c r="T35" s="183"/>
      <c r="U35" s="183"/>
    </row>
    <row r="36" spans="1:21">
      <c r="A36" s="1445" t="s">
        <v>959</v>
      </c>
      <c r="B36" s="1439" t="s">
        <v>969</v>
      </c>
      <c r="C36" s="1440"/>
      <c r="D36" s="1441"/>
      <c r="E36" s="1441"/>
      <c r="F36" s="1441"/>
      <c r="G36" s="1441"/>
      <c r="H36" s="1441"/>
      <c r="I36" s="1441"/>
      <c r="J36" s="1441"/>
      <c r="K36" s="1440"/>
      <c r="L36" s="1441"/>
      <c r="M36" s="1441"/>
      <c r="N36" s="1441"/>
      <c r="O36" s="1041">
        <f>+SUM(C36:N36)/12</f>
        <v>0</v>
      </c>
      <c r="P36" s="183"/>
      <c r="R36" s="183"/>
      <c r="S36" s="183"/>
      <c r="T36" s="183"/>
      <c r="U36" s="183"/>
    </row>
    <row r="37" spans="1:21" ht="13.8" thickBot="1">
      <c r="A37" s="1445" t="s">
        <v>967</v>
      </c>
      <c r="B37" s="1446" t="s">
        <v>969</v>
      </c>
      <c r="C37" s="1443"/>
      <c r="D37" s="1444"/>
      <c r="E37" s="1444"/>
      <c r="F37" s="1444"/>
      <c r="G37" s="1444"/>
      <c r="H37" s="1444"/>
      <c r="I37" s="1444"/>
      <c r="J37" s="1444"/>
      <c r="K37" s="1443"/>
      <c r="L37" s="1444"/>
      <c r="M37" s="1444"/>
      <c r="N37" s="1444"/>
      <c r="O37" s="1484">
        <f>+SUM(C37:N37)/12</f>
        <v>0</v>
      </c>
      <c r="P37" s="183"/>
      <c r="R37" s="183"/>
      <c r="S37" s="183"/>
      <c r="T37" s="183"/>
      <c r="U37" s="183"/>
    </row>
    <row r="38" spans="1:21" ht="13.8" thickTop="1">
      <c r="A38" s="1033">
        <f>+A32+1</f>
        <v>12</v>
      </c>
      <c r="B38" s="858" t="str">
        <f>+"Total Grandfathered Contracts"&amp;"  "&amp;A61</f>
        <v>Total Grandfathered Contracts  (3)</v>
      </c>
      <c r="C38" s="1265">
        <f>SUM(C33:C37)</f>
        <v>143</v>
      </c>
      <c r="D38" s="1265">
        <f t="shared" ref="D38:O38" si="4">SUM(D33:D37)</f>
        <v>143</v>
      </c>
      <c r="E38" s="1265">
        <f t="shared" si="4"/>
        <v>143</v>
      </c>
      <c r="F38" s="1265">
        <f t="shared" si="4"/>
        <v>143</v>
      </c>
      <c r="G38" s="1265">
        <f t="shared" si="4"/>
        <v>143</v>
      </c>
      <c r="H38" s="1265">
        <f t="shared" si="4"/>
        <v>143</v>
      </c>
      <c r="I38" s="1265">
        <f t="shared" si="4"/>
        <v>143</v>
      </c>
      <c r="J38" s="1265">
        <f t="shared" si="4"/>
        <v>143</v>
      </c>
      <c r="K38" s="1265">
        <f t="shared" si="4"/>
        <v>143</v>
      </c>
      <c r="L38" s="1265">
        <f t="shared" si="4"/>
        <v>143</v>
      </c>
      <c r="M38" s="1265">
        <f t="shared" si="4"/>
        <v>143</v>
      </c>
      <c r="N38" s="1265">
        <f t="shared" si="4"/>
        <v>143</v>
      </c>
      <c r="O38" s="1265">
        <f t="shared" si="4"/>
        <v>143</v>
      </c>
      <c r="P38" s="183"/>
      <c r="R38" s="183"/>
      <c r="S38" s="183"/>
      <c r="T38" s="183"/>
      <c r="U38" s="183"/>
    </row>
    <row r="39" spans="1:21">
      <c r="A39" s="1033">
        <f>+A38+1</f>
        <v>13</v>
      </c>
      <c r="B39" s="857"/>
      <c r="C39" s="1265"/>
      <c r="D39" s="1265"/>
      <c r="E39" s="1265"/>
      <c r="F39" s="1265"/>
      <c r="G39" s="1265"/>
      <c r="H39" s="1265"/>
      <c r="I39" s="1265"/>
      <c r="J39" s="1265"/>
      <c r="K39" s="1265"/>
      <c r="L39" s="1265"/>
      <c r="M39" s="1265"/>
      <c r="N39" s="1265"/>
      <c r="O39" s="1265"/>
      <c r="P39" s="544"/>
    </row>
    <row r="40" spans="1:21">
      <c r="A40" s="1033">
        <f>+A39+1</f>
        <v>14</v>
      </c>
      <c r="B40" s="1264" t="s">
        <v>465</v>
      </c>
      <c r="C40" s="1042"/>
      <c r="D40" s="1041"/>
      <c r="E40" s="1041"/>
      <c r="F40" s="1041"/>
      <c r="G40" s="1041"/>
      <c r="H40" s="1041"/>
      <c r="I40" s="1041"/>
      <c r="J40" s="1041"/>
      <c r="K40" s="1042"/>
      <c r="L40" s="1041"/>
      <c r="M40" s="1041"/>
      <c r="N40" s="1041"/>
      <c r="O40" s="1041"/>
      <c r="P40" s="544"/>
    </row>
    <row r="41" spans="1:21">
      <c r="A41" s="1033">
        <f>+A40+0.01</f>
        <v>14.01</v>
      </c>
      <c r="B41" s="586" t="s">
        <v>1112</v>
      </c>
      <c r="C41" s="1440">
        <v>0</v>
      </c>
      <c r="D41" s="1440">
        <v>0</v>
      </c>
      <c r="E41" s="1440">
        <v>0</v>
      </c>
      <c r="F41" s="1440">
        <v>0</v>
      </c>
      <c r="G41" s="1440">
        <v>0</v>
      </c>
      <c r="H41" s="1440">
        <v>0</v>
      </c>
      <c r="I41" s="1440">
        <v>0</v>
      </c>
      <c r="J41" s="1440">
        <v>0</v>
      </c>
      <c r="K41" s="1440">
        <v>0</v>
      </c>
      <c r="L41" s="1440">
        <v>0</v>
      </c>
      <c r="M41" s="1440">
        <v>0</v>
      </c>
      <c r="N41" s="1440">
        <v>0</v>
      </c>
      <c r="O41" s="1041">
        <f>+SUM(C41:N41)/12</f>
        <v>0</v>
      </c>
      <c r="P41" s="544"/>
    </row>
    <row r="42" spans="1:21">
      <c r="A42" s="1447">
        <f>+A41+0.01</f>
        <v>14.02</v>
      </c>
      <c r="B42" s="1439" t="s">
        <v>969</v>
      </c>
      <c r="C42" s="1440"/>
      <c r="D42" s="1441"/>
      <c r="E42" s="1441"/>
      <c r="F42" s="1441"/>
      <c r="G42" s="1441"/>
      <c r="H42" s="1441"/>
      <c r="I42" s="1441"/>
      <c r="J42" s="1441"/>
      <c r="K42" s="1440"/>
      <c r="L42" s="1441"/>
      <c r="M42" s="1441"/>
      <c r="N42" s="1441"/>
      <c r="O42" s="1041">
        <f>+SUM(C42:N42)/12</f>
        <v>0</v>
      </c>
      <c r="P42" s="544"/>
    </row>
    <row r="43" spans="1:21">
      <c r="A43" s="1447" t="s">
        <v>959</v>
      </c>
      <c r="B43" s="1439" t="s">
        <v>969</v>
      </c>
      <c r="C43" s="1440"/>
      <c r="D43" s="1441"/>
      <c r="E43" s="1441"/>
      <c r="F43" s="1441"/>
      <c r="G43" s="1441"/>
      <c r="H43" s="1441"/>
      <c r="I43" s="1441"/>
      <c r="J43" s="1441"/>
      <c r="K43" s="1440"/>
      <c r="L43" s="1441"/>
      <c r="M43" s="1441"/>
      <c r="N43" s="1441"/>
      <c r="O43" s="1041">
        <f>+SUM(C43:N43)/12</f>
        <v>0</v>
      </c>
      <c r="P43" s="544"/>
    </row>
    <row r="44" spans="1:21" ht="13.8" thickBot="1">
      <c r="A44" s="1447" t="s">
        <v>968</v>
      </c>
      <c r="B44" s="1446" t="s">
        <v>969</v>
      </c>
      <c r="C44" s="1443"/>
      <c r="D44" s="1444"/>
      <c r="E44" s="1444"/>
      <c r="F44" s="1444"/>
      <c r="G44" s="1444"/>
      <c r="H44" s="1444"/>
      <c r="I44" s="1444"/>
      <c r="J44" s="1444"/>
      <c r="K44" s="1443"/>
      <c r="L44" s="1444"/>
      <c r="M44" s="1444"/>
      <c r="N44" s="1444"/>
      <c r="O44" s="1484">
        <f>+SUM(C44:N44)/12</f>
        <v>0</v>
      </c>
      <c r="P44" s="544"/>
    </row>
    <row r="45" spans="1:21" ht="13.8" thickTop="1">
      <c r="A45" s="1033">
        <f>+A40+1</f>
        <v>15</v>
      </c>
      <c r="B45" s="858" t="str">
        <f>+"Total "&amp;B40&amp;"  "&amp;A62</f>
        <v>Total Long Term Firm PTP  (4)</v>
      </c>
      <c r="C45" s="1267">
        <f>SUM(C41:C44)</f>
        <v>0</v>
      </c>
      <c r="D45" s="1267">
        <f t="shared" ref="D45:O45" si="5">SUM(D41:D44)</f>
        <v>0</v>
      </c>
      <c r="E45" s="1267">
        <f t="shared" si="5"/>
        <v>0</v>
      </c>
      <c r="F45" s="1267">
        <f t="shared" si="5"/>
        <v>0</v>
      </c>
      <c r="G45" s="1267">
        <f t="shared" si="5"/>
        <v>0</v>
      </c>
      <c r="H45" s="1267">
        <f t="shared" si="5"/>
        <v>0</v>
      </c>
      <c r="I45" s="1267">
        <f t="shared" si="5"/>
        <v>0</v>
      </c>
      <c r="J45" s="1267">
        <f t="shared" si="5"/>
        <v>0</v>
      </c>
      <c r="K45" s="1267">
        <f t="shared" si="5"/>
        <v>0</v>
      </c>
      <c r="L45" s="1267">
        <f t="shared" si="5"/>
        <v>0</v>
      </c>
      <c r="M45" s="1267">
        <f t="shared" si="5"/>
        <v>0</v>
      </c>
      <c r="N45" s="1267">
        <f t="shared" si="5"/>
        <v>0</v>
      </c>
      <c r="O45" s="1267">
        <f t="shared" si="5"/>
        <v>0</v>
      </c>
      <c r="P45" s="544"/>
    </row>
    <row r="46" spans="1:21">
      <c r="A46" s="1033">
        <f t="shared" ref="A46:A55" si="6">+A45+1</f>
        <v>16</v>
      </c>
      <c r="B46" s="857"/>
      <c r="C46" s="1043"/>
      <c r="D46" s="1043"/>
      <c r="E46" s="1043"/>
      <c r="F46" s="1043"/>
      <c r="G46" s="1043"/>
      <c r="H46" s="1043"/>
      <c r="I46" s="1044"/>
      <c r="J46" s="1044"/>
      <c r="K46" s="1043"/>
      <c r="L46" s="1044"/>
      <c r="M46" s="1044"/>
      <c r="N46" s="1044"/>
      <c r="O46" s="1044"/>
      <c r="P46" s="544"/>
    </row>
    <row r="47" spans="1:21">
      <c r="A47" s="1033">
        <f t="shared" si="6"/>
        <v>17</v>
      </c>
      <c r="B47" s="1264" t="s">
        <v>466</v>
      </c>
      <c r="C47" s="1042"/>
      <c r="D47" s="1041"/>
      <c r="E47" s="1041"/>
      <c r="F47" s="1041"/>
      <c r="G47" s="1041"/>
      <c r="H47" s="1041"/>
      <c r="I47" s="1041"/>
      <c r="J47" s="1041"/>
      <c r="K47" s="1042"/>
      <c r="L47" s="1041"/>
      <c r="M47" s="1041"/>
      <c r="N47" s="1041"/>
      <c r="O47" s="1041"/>
      <c r="P47" s="544"/>
    </row>
    <row r="48" spans="1:21">
      <c r="A48" s="1033">
        <f t="shared" si="6"/>
        <v>18</v>
      </c>
      <c r="B48" s="79" t="s">
        <v>467</v>
      </c>
      <c r="C48" s="1448">
        <v>2790.2739999999999</v>
      </c>
      <c r="D48" s="1449">
        <v>2550.8580000000002</v>
      </c>
      <c r="E48" s="1449">
        <v>2248.3969999999999</v>
      </c>
      <c r="F48" s="1449">
        <v>2430.5300000000002</v>
      </c>
      <c r="G48" s="1449">
        <v>2598.3809999999999</v>
      </c>
      <c r="H48" s="1449">
        <v>3907.0059999999999</v>
      </c>
      <c r="I48" s="1449">
        <v>3797.3969999999999</v>
      </c>
      <c r="J48" s="1449">
        <v>3652.3270000000002</v>
      </c>
      <c r="K48" s="1448">
        <v>3505.2269999999999</v>
      </c>
      <c r="L48" s="1449">
        <v>2774.9850000000001</v>
      </c>
      <c r="M48" s="1449">
        <v>2175.3870000000002</v>
      </c>
      <c r="N48" s="1449">
        <v>2986.5859999999998</v>
      </c>
      <c r="O48" s="1486">
        <f>+SUM(C48:N48)/12</f>
        <v>2951.4462500000004</v>
      </c>
      <c r="P48" s="544"/>
    </row>
    <row r="49" spans="1:17">
      <c r="A49" s="1033">
        <f t="shared" si="6"/>
        <v>19</v>
      </c>
      <c r="B49" s="79"/>
      <c r="C49" s="1045"/>
      <c r="D49" s="1046"/>
      <c r="E49" s="1041"/>
      <c r="F49" s="1041"/>
      <c r="G49" s="1041"/>
      <c r="H49" s="1041"/>
      <c r="I49" s="1041"/>
      <c r="J49" s="1041"/>
      <c r="K49" s="1042"/>
      <c r="L49" s="1041"/>
      <c r="M49" s="1041"/>
      <c r="N49" s="1041"/>
      <c r="O49" s="1041"/>
      <c r="P49" s="544"/>
    </row>
    <row r="50" spans="1:17" ht="14.4" customHeight="1">
      <c r="A50" s="1033">
        <f t="shared" si="6"/>
        <v>20</v>
      </c>
      <c r="B50" s="1264" t="s">
        <v>468</v>
      </c>
      <c r="C50" s="1045"/>
      <c r="D50" s="1045"/>
      <c r="E50" s="1045"/>
      <c r="F50" s="1045"/>
      <c r="G50" s="1045"/>
      <c r="H50" s="1045"/>
      <c r="I50" s="1045"/>
      <c r="J50" s="1045"/>
      <c r="K50" s="1045"/>
      <c r="L50" s="1045"/>
      <c r="M50" s="1045"/>
      <c r="N50" s="1045"/>
      <c r="O50" s="1042"/>
      <c r="P50" s="544"/>
    </row>
    <row r="51" spans="1:17">
      <c r="A51" s="1033">
        <f t="shared" si="6"/>
        <v>21</v>
      </c>
      <c r="B51" s="1266" t="str">
        <f>+"EATO  "&amp;A63</f>
        <v>EATO  (5)</v>
      </c>
      <c r="C51" s="1268">
        <f>C30+C38+C45+C48</f>
        <v>5420</v>
      </c>
      <c r="D51" s="1268">
        <f t="shared" ref="D51:N51" si="7">D30+D38+D45+D48</f>
        <v>4908</v>
      </c>
      <c r="E51" s="1268">
        <f t="shared" si="7"/>
        <v>4347</v>
      </c>
      <c r="F51" s="1268">
        <f t="shared" si="7"/>
        <v>4246</v>
      </c>
      <c r="G51" s="1268">
        <f t="shared" si="7"/>
        <v>4933</v>
      </c>
      <c r="H51" s="1268">
        <f t="shared" si="7"/>
        <v>6893</v>
      </c>
      <c r="I51" s="1268">
        <f t="shared" si="7"/>
        <v>6797</v>
      </c>
      <c r="J51" s="1268">
        <f t="shared" si="7"/>
        <v>6732</v>
      </c>
      <c r="K51" s="1268">
        <f t="shared" si="7"/>
        <v>6180</v>
      </c>
      <c r="L51" s="1268">
        <f t="shared" si="7"/>
        <v>5124</v>
      </c>
      <c r="M51" s="1268">
        <f t="shared" si="7"/>
        <v>4159</v>
      </c>
      <c r="N51" s="1268">
        <f t="shared" si="7"/>
        <v>5787</v>
      </c>
      <c r="O51" s="1268">
        <f>+SUM(C51:N51)/12</f>
        <v>5460.5</v>
      </c>
      <c r="P51" s="544"/>
    </row>
    <row r="52" spans="1:17">
      <c r="A52" s="1033">
        <f t="shared" si="6"/>
        <v>22</v>
      </c>
      <c r="B52" s="857" t="str">
        <f>+"Reference  "&amp;A64</f>
        <v>Reference  (6)</v>
      </c>
      <c r="C52" s="1043" t="s">
        <v>616</v>
      </c>
      <c r="D52" s="1043" t="s">
        <v>617</v>
      </c>
      <c r="E52" s="1043" t="s">
        <v>618</v>
      </c>
      <c r="F52" s="1043" t="s">
        <v>619</v>
      </c>
      <c r="G52" s="1043" t="s">
        <v>620</v>
      </c>
      <c r="H52" s="1043" t="s">
        <v>621</v>
      </c>
      <c r="I52" s="1044" t="s">
        <v>622</v>
      </c>
      <c r="J52" s="1044" t="s">
        <v>623</v>
      </c>
      <c r="K52" s="1043" t="s">
        <v>624</v>
      </c>
      <c r="L52" s="1044" t="s">
        <v>625</v>
      </c>
      <c r="M52" s="1044" t="s">
        <v>626</v>
      </c>
      <c r="N52" s="1044" t="s">
        <v>627</v>
      </c>
      <c r="O52" s="1044"/>
      <c r="P52" s="544"/>
    </row>
    <row r="53" spans="1:17">
      <c r="A53" s="1033">
        <f t="shared" si="6"/>
        <v>23</v>
      </c>
      <c r="B53" s="858" t="s">
        <v>976</v>
      </c>
      <c r="C53" s="1442">
        <v>0</v>
      </c>
      <c r="D53" s="1442">
        <v>0</v>
      </c>
      <c r="E53" s="1442">
        <v>0</v>
      </c>
      <c r="F53" s="1442">
        <v>0</v>
      </c>
      <c r="G53" s="1442">
        <v>0</v>
      </c>
      <c r="H53" s="1442">
        <v>0</v>
      </c>
      <c r="I53" s="1442">
        <v>0</v>
      </c>
      <c r="J53" s="1442">
        <v>0</v>
      </c>
      <c r="K53" s="1442">
        <v>0</v>
      </c>
      <c r="L53" s="1442">
        <v>0</v>
      </c>
      <c r="M53" s="1442">
        <v>0</v>
      </c>
      <c r="N53" s="1442">
        <v>0</v>
      </c>
      <c r="O53" s="1041">
        <f>+SUM(C53:N53)/12</f>
        <v>0</v>
      </c>
      <c r="P53" s="183"/>
      <c r="Q53" s="183"/>
    </row>
    <row r="54" spans="1:17">
      <c r="A54" s="1033">
        <f t="shared" si="6"/>
        <v>24</v>
      </c>
      <c r="B54" s="857"/>
      <c r="C54" s="1043">
        <v>0</v>
      </c>
      <c r="D54" s="1043"/>
      <c r="E54" s="1043"/>
      <c r="F54" s="1043"/>
      <c r="G54" s="1043"/>
      <c r="H54" s="1043"/>
      <c r="I54" s="1044"/>
      <c r="J54" s="1044"/>
      <c r="K54" s="1043"/>
      <c r="L54" s="1044"/>
      <c r="M54" s="1044"/>
      <c r="N54" s="1044"/>
      <c r="O54" s="1044"/>
      <c r="P54" s="183"/>
      <c r="Q54" s="183"/>
    </row>
    <row r="55" spans="1:17">
      <c r="A55" s="1033">
        <f t="shared" si="6"/>
        <v>25</v>
      </c>
      <c r="B55" s="1565" t="s">
        <v>1167</v>
      </c>
      <c r="C55" s="1268">
        <f>+C51+C53</f>
        <v>5420</v>
      </c>
      <c r="D55" s="1268">
        <f t="shared" ref="D55:N55" si="8">+D51+D53</f>
        <v>4908</v>
      </c>
      <c r="E55" s="1268">
        <f t="shared" si="8"/>
        <v>4347</v>
      </c>
      <c r="F55" s="1268">
        <f t="shared" si="8"/>
        <v>4246</v>
      </c>
      <c r="G55" s="1268">
        <f t="shared" si="8"/>
        <v>4933</v>
      </c>
      <c r="H55" s="1268">
        <f t="shared" si="8"/>
        <v>6893</v>
      </c>
      <c r="I55" s="1268">
        <f t="shared" si="8"/>
        <v>6797</v>
      </c>
      <c r="J55" s="1268">
        <f t="shared" si="8"/>
        <v>6732</v>
      </c>
      <c r="K55" s="1268">
        <f t="shared" si="8"/>
        <v>6180</v>
      </c>
      <c r="L55" s="1268">
        <f t="shared" si="8"/>
        <v>5124</v>
      </c>
      <c r="M55" s="1268">
        <f t="shared" si="8"/>
        <v>4159</v>
      </c>
      <c r="N55" s="1268">
        <f t="shared" si="8"/>
        <v>5787</v>
      </c>
      <c r="O55" s="1268">
        <f>+SUM(C55:N55)/12</f>
        <v>5460.5</v>
      </c>
      <c r="P55" s="544"/>
    </row>
    <row r="56" spans="1:17">
      <c r="A56" s="1033"/>
      <c r="B56" s="43"/>
      <c r="C56" s="43"/>
      <c r="D56" s="43"/>
      <c r="E56" s="43"/>
      <c r="F56" s="43"/>
      <c r="G56" s="43"/>
      <c r="H56" s="43"/>
      <c r="I56" s="43"/>
      <c r="J56" s="43"/>
      <c r="K56" s="43"/>
      <c r="L56" s="43"/>
      <c r="M56" s="43"/>
      <c r="N56" s="43"/>
      <c r="O56" s="43"/>
      <c r="P56" s="544"/>
    </row>
    <row r="57" spans="1:17">
      <c r="A57" s="1033"/>
      <c r="B57" s="43"/>
      <c r="C57" s="43"/>
      <c r="D57" s="43"/>
      <c r="E57" s="43"/>
      <c r="F57" s="43"/>
      <c r="G57" s="43"/>
      <c r="H57" s="43"/>
      <c r="I57" s="43"/>
      <c r="J57" s="43"/>
      <c r="K57" s="43"/>
      <c r="L57" s="43"/>
      <c r="M57" s="43"/>
      <c r="N57" s="43"/>
      <c r="O57" s="43"/>
      <c r="P57" s="544"/>
    </row>
    <row r="58" spans="1:17">
      <c r="A58" s="1257" t="s">
        <v>316</v>
      </c>
      <c r="B58" s="183"/>
      <c r="C58" s="43"/>
      <c r="D58" s="43"/>
      <c r="E58" s="43"/>
      <c r="F58" s="43"/>
      <c r="G58" s="43"/>
      <c r="H58" s="43"/>
      <c r="I58" s="43"/>
      <c r="J58" s="43"/>
      <c r="K58" s="43"/>
      <c r="L58" s="43"/>
      <c r="M58" s="43"/>
      <c r="N58" s="43"/>
      <c r="O58" s="43"/>
      <c r="P58" s="544"/>
    </row>
    <row r="59" spans="1:17">
      <c r="A59" s="1034" t="s">
        <v>176</v>
      </c>
      <c r="B59" s="1433" t="str">
        <f>+"Sum (Ln "&amp;A14&amp;" Subparts)"</f>
        <v>Sum (Ln 8 Subparts)</v>
      </c>
      <c r="C59" s="43"/>
      <c r="D59" s="43"/>
      <c r="E59" s="43"/>
      <c r="F59" s="43"/>
      <c r="G59" s="43"/>
      <c r="H59" s="43"/>
      <c r="I59" s="43"/>
      <c r="J59" s="43"/>
      <c r="K59" s="43"/>
      <c r="L59" s="43"/>
      <c r="M59" s="43"/>
      <c r="N59" s="43"/>
      <c r="O59" s="43"/>
      <c r="P59" s="544"/>
    </row>
    <row r="60" spans="1:17" ht="12.75" customHeight="1">
      <c r="A60" s="1034" t="s">
        <v>338</v>
      </c>
      <c r="B60" s="1857" t="s">
        <v>907</v>
      </c>
      <c r="C60" s="1857"/>
      <c r="D60" s="1857"/>
      <c r="E60" s="1857"/>
      <c r="F60" s="1857"/>
      <c r="G60" s="1857"/>
      <c r="H60" s="1857"/>
      <c r="I60" s="1857"/>
      <c r="J60" s="1857"/>
      <c r="K60" s="1857"/>
      <c r="L60" s="1857"/>
      <c r="M60" s="1857"/>
      <c r="N60" s="1857"/>
      <c r="O60" s="1857"/>
      <c r="P60" s="544"/>
    </row>
    <row r="61" spans="1:17">
      <c r="A61" s="1034" t="s">
        <v>339</v>
      </c>
      <c r="B61" s="1433" t="str">
        <f>+"Sum (Ln "&amp;A32&amp;" Subparts)"</f>
        <v>Sum (Ln 11 Subparts)</v>
      </c>
      <c r="C61" s="43"/>
      <c r="D61" s="43"/>
      <c r="E61" s="43"/>
      <c r="F61" s="43"/>
      <c r="G61" s="43"/>
      <c r="H61" s="43"/>
      <c r="I61" s="43"/>
      <c r="J61" s="43"/>
      <c r="K61" s="43"/>
      <c r="L61" s="43"/>
      <c r="M61" s="43"/>
      <c r="N61" s="43"/>
      <c r="O61" s="43"/>
      <c r="P61" s="544"/>
    </row>
    <row r="62" spans="1:17">
      <c r="A62" s="1034" t="s">
        <v>340</v>
      </c>
      <c r="B62" s="1433" t="str">
        <f>+"Sum (Ln "&amp;A40&amp;" Subparts)"</f>
        <v>Sum (Ln 14 Subparts)</v>
      </c>
      <c r="C62" s="43"/>
      <c r="D62" s="43"/>
      <c r="E62" s="43"/>
      <c r="F62" s="43"/>
      <c r="G62" s="43"/>
      <c r="H62" s="43"/>
      <c r="I62" s="43"/>
      <c r="J62" s="43"/>
      <c r="K62" s="43"/>
      <c r="L62" s="43"/>
      <c r="M62" s="43"/>
      <c r="N62" s="43"/>
      <c r="O62" s="43"/>
      <c r="P62" s="544"/>
    </row>
    <row r="63" spans="1:17">
      <c r="A63" s="1034" t="s">
        <v>341</v>
      </c>
      <c r="B63" s="855" t="str">
        <f>+"Sum (Ln "&amp;A30&amp;" + "&amp;A38&amp;" + "&amp;A45&amp;" + "&amp;A48&amp;")"</f>
        <v>Sum (Ln 9 + 12 + 15 + 18)</v>
      </c>
      <c r="C63" s="43"/>
      <c r="D63" s="43"/>
      <c r="E63" s="43"/>
      <c r="F63" s="43"/>
      <c r="G63" s="43"/>
      <c r="H63" s="43"/>
      <c r="I63" s="43"/>
      <c r="J63" s="43"/>
      <c r="K63" s="43"/>
      <c r="L63" s="43"/>
      <c r="M63" s="43"/>
      <c r="N63" s="43"/>
      <c r="O63" s="43"/>
      <c r="P63" s="544"/>
    </row>
    <row r="64" spans="1:17">
      <c r="A64" s="1034" t="s">
        <v>745</v>
      </c>
      <c r="B64" s="43" t="s">
        <v>1151</v>
      </c>
      <c r="C64" s="43"/>
      <c r="D64" s="43"/>
      <c r="E64" s="43"/>
      <c r="F64" s="43"/>
      <c r="G64" s="43"/>
      <c r="H64" s="43"/>
      <c r="I64" s="43"/>
      <c r="J64" s="43"/>
      <c r="K64" s="43"/>
      <c r="L64" s="43"/>
      <c r="M64" s="43"/>
      <c r="N64" s="43"/>
      <c r="O64" s="43"/>
      <c r="P64" s="544"/>
    </row>
    <row r="65" spans="1:16">
      <c r="A65" s="1034" t="s">
        <v>747</v>
      </c>
      <c r="B65" s="43" t="s">
        <v>1135</v>
      </c>
      <c r="C65" s="43"/>
      <c r="D65" s="43"/>
      <c r="E65" s="43"/>
      <c r="F65" s="43"/>
      <c r="G65" s="43"/>
      <c r="H65" s="43"/>
      <c r="I65" s="43"/>
      <c r="J65" s="43"/>
      <c r="K65" s="43"/>
      <c r="L65" s="43"/>
      <c r="M65" s="43"/>
      <c r="N65" s="43"/>
      <c r="O65" s="43"/>
      <c r="P65" s="544"/>
    </row>
    <row r="66" spans="1:16">
      <c r="A66" s="1034" t="s">
        <v>1134</v>
      </c>
      <c r="B66" s="855" t="str">
        <f>+"Sum (Ln "&amp;A51&amp;" + "&amp;A53&amp;")"</f>
        <v>Sum (Ln 21 + 23)</v>
      </c>
      <c r="P66" s="544"/>
    </row>
  </sheetData>
  <mergeCells count="5">
    <mergeCell ref="B60:O60"/>
    <mergeCell ref="C9:N9"/>
    <mergeCell ref="A1:P1"/>
    <mergeCell ref="A2:P2"/>
    <mergeCell ref="A3:P3"/>
  </mergeCells>
  <printOptions horizontalCentered="1"/>
  <pageMargins left="0.5" right="0.5" top="0.5" bottom="0.75" header="0.3" footer="0.5"/>
  <pageSetup scale="63" orientation="landscape" r:id="rId1"/>
  <headerFooter>
    <oddFooter>&amp;R&amp;A</oddFooter>
  </headerFooter>
  <ignoredErrors>
    <ignoredError sqref="C7 A59:A6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31"/>
  <sheetViews>
    <sheetView zoomScale="90" zoomScaleNormal="90" workbookViewId="0">
      <selection sqref="A1:B1"/>
    </sheetView>
  </sheetViews>
  <sheetFormatPr defaultColWidth="9.109375" defaultRowHeight="13.2"/>
  <cols>
    <col min="1" max="1" width="5.88671875" style="867" customWidth="1"/>
    <col min="2" max="2" width="7.6640625" style="860" bestFit="1" customWidth="1"/>
    <col min="3" max="3" width="30.33203125" style="860" customWidth="1"/>
    <col min="4" max="17" width="12.109375" style="860" bestFit="1" customWidth="1"/>
    <col min="18" max="18" width="6.88671875" style="860" customWidth="1"/>
    <col min="19" max="19" width="6.88671875" style="1992" customWidth="1"/>
    <col min="20" max="20" width="23.33203125" style="1992" bestFit="1" customWidth="1"/>
    <col min="21" max="21" width="27.44140625" style="860" bestFit="1" customWidth="1"/>
    <col min="22" max="22" width="23.33203125" style="860" bestFit="1" customWidth="1"/>
    <col min="23" max="23" width="27.44140625" style="860" bestFit="1" customWidth="1"/>
    <col min="24" max="24" width="23.33203125" style="860" bestFit="1" customWidth="1"/>
    <col min="25" max="25" width="27.44140625" style="860" bestFit="1" customWidth="1"/>
    <col min="26" max="26" width="23.33203125" style="860" bestFit="1" customWidth="1"/>
    <col min="27" max="27" width="32.6640625" style="860" bestFit="1" customWidth="1"/>
    <col min="28" max="28" width="28.5546875" style="860" bestFit="1" customWidth="1"/>
    <col min="29" max="29" width="32.6640625" style="860" bestFit="1" customWidth="1"/>
    <col min="30" max="30" width="28.5546875" style="860" bestFit="1" customWidth="1"/>
    <col min="31" max="16384" width="9.109375" style="860"/>
  </cols>
  <sheetData>
    <row r="1" spans="1:20" s="44" customFormat="1">
      <c r="A1" s="1866" t="str">
        <f>+'MISO Cover'!C6</f>
        <v>Entergy Arkansas, Inc.</v>
      </c>
      <c r="B1" s="1866"/>
      <c r="C1" s="1866"/>
      <c r="D1" s="1866"/>
      <c r="E1" s="1866"/>
      <c r="F1" s="1866"/>
      <c r="G1" s="1866"/>
      <c r="H1" s="1866"/>
      <c r="I1" s="1866"/>
      <c r="J1" s="1866"/>
      <c r="K1" s="1866"/>
      <c r="L1" s="1866"/>
      <c r="M1" s="1866"/>
      <c r="N1" s="1866"/>
      <c r="O1" s="1866"/>
      <c r="P1" s="1866"/>
      <c r="Q1" s="1866"/>
      <c r="S1" s="43"/>
      <c r="T1" s="43"/>
    </row>
    <row r="2" spans="1:20" s="44" customFormat="1">
      <c r="A2" s="1858" t="s">
        <v>889</v>
      </c>
      <c r="B2" s="1858"/>
      <c r="C2" s="1858"/>
      <c r="D2" s="1858"/>
      <c r="E2" s="1858"/>
      <c r="F2" s="1858"/>
      <c r="G2" s="1858"/>
      <c r="H2" s="1858"/>
      <c r="I2" s="1858"/>
      <c r="J2" s="1858"/>
      <c r="K2" s="1858"/>
      <c r="L2" s="1858"/>
      <c r="M2" s="1858"/>
      <c r="N2" s="1858"/>
      <c r="O2" s="1858"/>
      <c r="P2" s="1858"/>
      <c r="Q2" s="1858"/>
      <c r="S2" s="43"/>
      <c r="T2" s="43"/>
    </row>
    <row r="3" spans="1:20" s="44" customFormat="1">
      <c r="A3" s="1866" t="str">
        <f>+'MISO Cover'!K4</f>
        <v>For  the 12 Months Ended 12/31/2016</v>
      </c>
      <c r="B3" s="1866"/>
      <c r="C3" s="1866"/>
      <c r="D3" s="1866"/>
      <c r="E3" s="1866"/>
      <c r="F3" s="1866"/>
      <c r="G3" s="1866"/>
      <c r="H3" s="1866"/>
      <c r="I3" s="1866"/>
      <c r="J3" s="1866"/>
      <c r="K3" s="1866"/>
      <c r="L3" s="1866"/>
      <c r="M3" s="1866"/>
      <c r="N3" s="1866"/>
      <c r="O3" s="1866"/>
      <c r="P3" s="1866"/>
      <c r="Q3" s="1866"/>
      <c r="S3" s="43"/>
      <c r="T3" s="43"/>
    </row>
    <row r="4" spans="1:20" s="44" customFormat="1">
      <c r="A4" s="794"/>
      <c r="B4" s="794"/>
      <c r="C4" s="794"/>
      <c r="D4" s="794"/>
      <c r="E4" s="794"/>
      <c r="F4" s="794"/>
      <c r="G4" s="794"/>
      <c r="H4" s="794"/>
      <c r="I4" s="794"/>
      <c r="J4" s="794"/>
      <c r="K4" s="794"/>
      <c r="L4" s="794"/>
      <c r="M4" s="794"/>
      <c r="N4" s="794"/>
      <c r="O4" s="794"/>
      <c r="P4" s="794"/>
      <c r="Q4" s="794"/>
      <c r="S4" s="43"/>
      <c r="T4" s="43"/>
    </row>
    <row r="5" spans="1:20" s="794" customFormat="1">
      <c r="A5" s="794" t="s">
        <v>290</v>
      </c>
      <c r="B5" s="794" t="s">
        <v>72</v>
      </c>
      <c r="C5" s="794" t="s">
        <v>119</v>
      </c>
      <c r="D5" s="794" t="s">
        <v>60</v>
      </c>
      <c r="E5" s="794" t="s">
        <v>73</v>
      </c>
      <c r="F5" s="794" t="s">
        <v>71</v>
      </c>
      <c r="G5" s="794" t="s">
        <v>161</v>
      </c>
      <c r="H5" s="794" t="s">
        <v>74</v>
      </c>
      <c r="I5" s="794" t="s">
        <v>174</v>
      </c>
      <c r="J5" s="794" t="s">
        <v>64</v>
      </c>
      <c r="K5" s="794" t="s">
        <v>470</v>
      </c>
      <c r="L5" s="794" t="s">
        <v>76</v>
      </c>
      <c r="M5" s="794" t="s">
        <v>103</v>
      </c>
      <c r="N5" s="794" t="s">
        <v>104</v>
      </c>
      <c r="O5" s="794" t="s">
        <v>162</v>
      </c>
      <c r="P5" s="794" t="s">
        <v>232</v>
      </c>
      <c r="Q5" s="794" t="s">
        <v>233</v>
      </c>
      <c r="S5" s="1823"/>
      <c r="T5" s="1823"/>
    </row>
    <row r="6" spans="1:20" s="44" customFormat="1">
      <c r="A6" s="934">
        <v>1</v>
      </c>
      <c r="B6" s="195"/>
      <c r="C6" s="195"/>
      <c r="D6" s="195"/>
      <c r="E6" s="195"/>
      <c r="F6" s="195"/>
      <c r="G6" s="195"/>
      <c r="H6" s="195"/>
      <c r="I6" s="195"/>
      <c r="J6" s="195"/>
      <c r="K6" s="195"/>
      <c r="L6" s="195"/>
      <c r="M6" s="195"/>
      <c r="N6" s="195"/>
      <c r="O6" s="195"/>
      <c r="P6" s="195"/>
      <c r="Q6" s="1945" t="s">
        <v>648</v>
      </c>
      <c r="S6" s="43"/>
      <c r="T6" s="43"/>
    </row>
    <row r="7" spans="1:20">
      <c r="A7" s="935">
        <f>1+A6</f>
        <v>2</v>
      </c>
      <c r="B7" s="860" t="s">
        <v>180</v>
      </c>
      <c r="C7" s="860" t="s">
        <v>279</v>
      </c>
      <c r="D7" s="1549" t="s">
        <v>42</v>
      </c>
      <c r="E7" s="1549" t="s">
        <v>32</v>
      </c>
      <c r="F7" s="1549" t="s">
        <v>33</v>
      </c>
      <c r="G7" s="1549" t="s">
        <v>34</v>
      </c>
      <c r="H7" s="1549" t="s">
        <v>35</v>
      </c>
      <c r="I7" s="1549" t="s">
        <v>31</v>
      </c>
      <c r="J7" s="1549" t="s">
        <v>36</v>
      </c>
      <c r="K7" s="1549" t="s">
        <v>37</v>
      </c>
      <c r="L7" s="1549" t="s">
        <v>38</v>
      </c>
      <c r="M7" s="1549" t="s">
        <v>39</v>
      </c>
      <c r="N7" s="1549" t="s">
        <v>40</v>
      </c>
      <c r="O7" s="1549" t="s">
        <v>41</v>
      </c>
      <c r="P7" s="1549" t="s">
        <v>42</v>
      </c>
      <c r="Q7" s="1946"/>
      <c r="T7" s="1992" t="s">
        <v>1791</v>
      </c>
    </row>
    <row r="8" spans="1:20">
      <c r="A8" s="936">
        <f>+A7+0.01</f>
        <v>2.0099999999999998</v>
      </c>
      <c r="B8" s="1580" t="s">
        <v>1434</v>
      </c>
      <c r="C8" s="184"/>
      <c r="D8" s="1437">
        <v>35069257.730001383</v>
      </c>
      <c r="E8" s="1437">
        <v>33297718.420001376</v>
      </c>
      <c r="F8" s="1437">
        <v>31541113.980001044</v>
      </c>
      <c r="G8" s="1437">
        <v>29631778.120001052</v>
      </c>
      <c r="H8" s="1437">
        <v>27888617.390001237</v>
      </c>
      <c r="I8" s="1437">
        <v>26171399.2000014</v>
      </c>
      <c r="J8" s="1437">
        <v>25116434.220001161</v>
      </c>
      <c r="K8" s="1437">
        <v>24140527.910001256</v>
      </c>
      <c r="L8" s="1437">
        <v>25389356.950001147</v>
      </c>
      <c r="M8" s="1437">
        <v>28388226.720000323</v>
      </c>
      <c r="N8" s="1437">
        <v>30223533.120000944</v>
      </c>
      <c r="O8" s="1437">
        <v>27813085.170000903</v>
      </c>
      <c r="P8" s="1437">
        <v>25341265.610000797</v>
      </c>
      <c r="Q8" s="861">
        <f t="shared" ref="Q8:Q25" si="0">SUM(D8:P8)/13</f>
        <v>28462485.733847234</v>
      </c>
      <c r="R8" s="862"/>
    </row>
    <row r="9" spans="1:20">
      <c r="A9" s="936">
        <f>+A8+0.01</f>
        <v>2.0199999999999996</v>
      </c>
      <c r="B9" s="1580" t="s">
        <v>1435</v>
      </c>
      <c r="C9" s="184"/>
      <c r="D9" s="1437">
        <v>7654526.9699999997</v>
      </c>
      <c r="E9" s="1437">
        <v>7816519.3299999991</v>
      </c>
      <c r="F9" s="1437">
        <v>7969553.0100000007</v>
      </c>
      <c r="G9" s="1437">
        <v>8107369.1399999997</v>
      </c>
      <c r="H9" s="1437">
        <v>8247089.1099999994</v>
      </c>
      <c r="I9" s="1437">
        <v>8372071.8099999987</v>
      </c>
      <c r="J9" s="1437">
        <v>8491436.8199999984</v>
      </c>
      <c r="K9" s="1437">
        <v>8605605.129999999</v>
      </c>
      <c r="L9" s="1437">
        <v>8726423.459999999</v>
      </c>
      <c r="M9" s="1437">
        <v>8863210.7699999996</v>
      </c>
      <c r="N9" s="1437">
        <v>9009771.0799999982</v>
      </c>
      <c r="O9" s="1437">
        <v>9143495.7599999998</v>
      </c>
      <c r="P9" s="1437">
        <v>9264058</v>
      </c>
      <c r="Q9" s="861">
        <f t="shared" si="0"/>
        <v>8482394.6453846153</v>
      </c>
      <c r="R9" s="862"/>
    </row>
    <row r="10" spans="1:20">
      <c r="A10" s="936">
        <f t="shared" ref="A10:A23" si="1">+A9+0.01</f>
        <v>2.0299999999999994</v>
      </c>
      <c r="B10" s="1593" t="s">
        <v>1443</v>
      </c>
      <c r="C10" s="184"/>
      <c r="D10" s="1437">
        <v>0</v>
      </c>
      <c r="E10" s="1437">
        <v>0</v>
      </c>
      <c r="F10" s="1437">
        <v>0</v>
      </c>
      <c r="G10" s="1437">
        <v>0</v>
      </c>
      <c r="H10" s="1437">
        <v>0</v>
      </c>
      <c r="I10" s="1437">
        <v>0</v>
      </c>
      <c r="J10" s="1437">
        <v>0</v>
      </c>
      <c r="K10" s="1437">
        <v>0</v>
      </c>
      <c r="L10" s="1437">
        <v>0</v>
      </c>
      <c r="M10" s="1437">
        <v>0</v>
      </c>
      <c r="N10" s="1437">
        <v>0</v>
      </c>
      <c r="O10" s="1437">
        <v>0</v>
      </c>
      <c r="P10" s="1437">
        <v>0</v>
      </c>
      <c r="Q10" s="861">
        <f t="shared" si="0"/>
        <v>0</v>
      </c>
      <c r="R10" s="862"/>
    </row>
    <row r="11" spans="1:20">
      <c r="A11" s="936">
        <f t="shared" si="1"/>
        <v>2.0399999999999991</v>
      </c>
      <c r="B11" s="1593" t="s">
        <v>1444</v>
      </c>
      <c r="C11" s="184"/>
      <c r="D11" s="1437">
        <v>0</v>
      </c>
      <c r="E11" s="1437">
        <v>0</v>
      </c>
      <c r="F11" s="1437">
        <v>0</v>
      </c>
      <c r="G11" s="1437">
        <v>0</v>
      </c>
      <c r="H11" s="1437">
        <v>0</v>
      </c>
      <c r="I11" s="1437">
        <v>0</v>
      </c>
      <c r="J11" s="1437">
        <v>0</v>
      </c>
      <c r="K11" s="1437">
        <v>0</v>
      </c>
      <c r="L11" s="1437">
        <v>0</v>
      </c>
      <c r="M11" s="1437">
        <v>0</v>
      </c>
      <c r="N11" s="1437">
        <v>0</v>
      </c>
      <c r="O11" s="1437">
        <v>0</v>
      </c>
      <c r="P11" s="1437">
        <v>0</v>
      </c>
      <c r="Q11" s="861">
        <f t="shared" si="0"/>
        <v>0</v>
      </c>
      <c r="R11" s="862"/>
    </row>
    <row r="12" spans="1:20">
      <c r="A12" s="936">
        <f t="shared" si="1"/>
        <v>2.0499999999999989</v>
      </c>
      <c r="B12" s="1593" t="s">
        <v>1445</v>
      </c>
      <c r="C12" s="184"/>
      <c r="D12" s="1437">
        <v>0</v>
      </c>
      <c r="E12" s="1437">
        <v>0</v>
      </c>
      <c r="F12" s="1437">
        <v>0</v>
      </c>
      <c r="G12" s="1437">
        <v>0</v>
      </c>
      <c r="H12" s="1437">
        <v>0</v>
      </c>
      <c r="I12" s="1437">
        <v>0</v>
      </c>
      <c r="J12" s="1437">
        <v>0</v>
      </c>
      <c r="K12" s="1437">
        <v>0</v>
      </c>
      <c r="L12" s="1437">
        <v>0</v>
      </c>
      <c r="M12" s="1437">
        <v>0</v>
      </c>
      <c r="N12" s="1437">
        <v>0</v>
      </c>
      <c r="O12" s="1437">
        <v>0</v>
      </c>
      <c r="P12" s="1437">
        <v>0</v>
      </c>
      <c r="Q12" s="861">
        <f t="shared" si="0"/>
        <v>0</v>
      </c>
      <c r="R12" s="862"/>
    </row>
    <row r="13" spans="1:20">
      <c r="A13" s="936">
        <f t="shared" si="1"/>
        <v>2.0599999999999987</v>
      </c>
      <c r="B13" s="1580" t="s">
        <v>1436</v>
      </c>
      <c r="C13" s="184"/>
      <c r="D13" s="1437">
        <v>-42723784.700000003</v>
      </c>
      <c r="E13" s="1437">
        <v>-41114237.75</v>
      </c>
      <c r="F13" s="1437">
        <v>-39510666.990000002</v>
      </c>
      <c r="G13" s="1437">
        <v>-37739147.259999998</v>
      </c>
      <c r="H13" s="1437">
        <v>-36135706.5</v>
      </c>
      <c r="I13" s="1437">
        <v>-34543471.009999998</v>
      </c>
      <c r="J13" s="1437">
        <v>-33607871.039999999</v>
      </c>
      <c r="K13" s="1437">
        <v>-32746133.039999999</v>
      </c>
      <c r="L13" s="1437">
        <v>-34115780.409999996</v>
      </c>
      <c r="M13" s="1437">
        <v>-37251437.490000002</v>
      </c>
      <c r="N13" s="1437">
        <v>-39233304.200000003</v>
      </c>
      <c r="O13" s="1437">
        <v>-36956580.93</v>
      </c>
      <c r="P13" s="1437">
        <v>-47727411.200000003</v>
      </c>
      <c r="Q13" s="861">
        <f t="shared" si="0"/>
        <v>-37954271.732307687</v>
      </c>
      <c r="R13" s="862"/>
      <c r="T13" s="1992" t="s">
        <v>1790</v>
      </c>
    </row>
    <row r="14" spans="1:20">
      <c r="A14" s="936">
        <f t="shared" si="1"/>
        <v>2.0699999999999985</v>
      </c>
      <c r="B14" s="1593" t="s">
        <v>1446</v>
      </c>
      <c r="C14" s="184"/>
      <c r="D14" s="1437">
        <v>0</v>
      </c>
      <c r="E14" s="1437">
        <v>0</v>
      </c>
      <c r="F14" s="1437">
        <v>0</v>
      </c>
      <c r="G14" s="1437">
        <v>0</v>
      </c>
      <c r="H14" s="1437">
        <v>0</v>
      </c>
      <c r="I14" s="1437">
        <v>0</v>
      </c>
      <c r="J14" s="1437">
        <v>0</v>
      </c>
      <c r="K14" s="1437">
        <v>0</v>
      </c>
      <c r="L14" s="1437">
        <v>0</v>
      </c>
      <c r="M14" s="1437">
        <v>0</v>
      </c>
      <c r="N14" s="1437">
        <v>0</v>
      </c>
      <c r="O14" s="1437">
        <v>0</v>
      </c>
      <c r="P14" s="1437">
        <v>0</v>
      </c>
      <c r="Q14" s="861">
        <f t="shared" si="0"/>
        <v>0</v>
      </c>
      <c r="R14" s="862"/>
    </row>
    <row r="15" spans="1:20">
      <c r="A15" s="936">
        <f t="shared" si="1"/>
        <v>2.0799999999999983</v>
      </c>
      <c r="B15" s="1580" t="s">
        <v>1437</v>
      </c>
      <c r="C15" s="184"/>
      <c r="D15" s="1437">
        <v>-3169521.65</v>
      </c>
      <c r="E15" s="1437">
        <v>-3188439.069999998</v>
      </c>
      <c r="F15" s="1437">
        <v>-3207816.3599999989</v>
      </c>
      <c r="G15" s="1437">
        <v>-3535476.5599999954</v>
      </c>
      <c r="H15" s="1437">
        <v>-3563767.5699999933</v>
      </c>
      <c r="I15" s="1437">
        <v>-3621442.909999996</v>
      </c>
      <c r="J15" s="1437">
        <v>-4382289.3099999931</v>
      </c>
      <c r="K15" s="1437">
        <v>-4430171.8799999915</v>
      </c>
      <c r="L15" s="1437">
        <v>-4387005.7099999879</v>
      </c>
      <c r="M15" s="1437">
        <v>-3570815.2599999965</v>
      </c>
      <c r="N15" s="1437">
        <v>-3505157.5999999982</v>
      </c>
      <c r="O15" s="1437">
        <v>-3546745.0499999956</v>
      </c>
      <c r="P15" s="1437">
        <v>-3298464.5599999991</v>
      </c>
      <c r="Q15" s="861">
        <f t="shared" si="0"/>
        <v>-3646701.0376923038</v>
      </c>
      <c r="R15" s="862"/>
      <c r="T15" s="1992" t="s">
        <v>1790</v>
      </c>
    </row>
    <row r="16" spans="1:20">
      <c r="A16" s="936">
        <f t="shared" si="1"/>
        <v>2.0899999999999981</v>
      </c>
      <c r="B16" s="1580" t="s">
        <v>1438</v>
      </c>
      <c r="C16" s="184"/>
      <c r="D16" s="1437">
        <v>-873890.87000000081</v>
      </c>
      <c r="E16" s="1437">
        <v>-873890.87000000081</v>
      </c>
      <c r="F16" s="1437">
        <v>-873890.87000000081</v>
      </c>
      <c r="G16" s="1437">
        <v>-862589.87000000081</v>
      </c>
      <c r="H16" s="1437">
        <v>-862589.87000000081</v>
      </c>
      <c r="I16" s="1437">
        <v>-802589.87000000081</v>
      </c>
      <c r="J16" s="1437">
        <v>-802589.87000000081</v>
      </c>
      <c r="K16" s="1437">
        <v>-802589.87000000081</v>
      </c>
      <c r="L16" s="1437">
        <v>-802589.87000000081</v>
      </c>
      <c r="M16" s="1437">
        <v>-602589.87000000081</v>
      </c>
      <c r="N16" s="1437">
        <v>-602589.87000000081</v>
      </c>
      <c r="O16" s="1437">
        <v>-602589.87000000081</v>
      </c>
      <c r="P16" s="1437">
        <v>-452589.87000000034</v>
      </c>
      <c r="Q16" s="861">
        <f t="shared" si="0"/>
        <v>-755197.79307692393</v>
      </c>
      <c r="R16" s="862"/>
      <c r="T16" s="1992" t="s">
        <v>1790</v>
      </c>
    </row>
    <row r="17" spans="1:20">
      <c r="A17" s="936">
        <v>2.0999999999999979</v>
      </c>
      <c r="B17" s="1580" t="s">
        <v>1439</v>
      </c>
      <c r="C17" s="184"/>
      <c r="D17" s="1437">
        <v>-6633326.29</v>
      </c>
      <c r="E17" s="1437">
        <v>-6633326.29</v>
      </c>
      <c r="F17" s="1437">
        <v>-6633326.29</v>
      </c>
      <c r="G17" s="1437">
        <v>-6633326.29</v>
      </c>
      <c r="H17" s="1437">
        <v>-6633326.29</v>
      </c>
      <c r="I17" s="1437">
        <v>-6633326.29</v>
      </c>
      <c r="J17" s="1437">
        <v>-6633326.29</v>
      </c>
      <c r="K17" s="1437">
        <v>-6633326.29</v>
      </c>
      <c r="L17" s="1437">
        <v>-6633326.29</v>
      </c>
      <c r="M17" s="1437">
        <v>-6633326.29</v>
      </c>
      <c r="N17" s="1437">
        <v>-6633326.29</v>
      </c>
      <c r="O17" s="1437">
        <v>-6633326.29</v>
      </c>
      <c r="P17" s="1437">
        <v>-7438943.29</v>
      </c>
      <c r="Q17" s="861">
        <f t="shared" si="0"/>
        <v>-6695296.828461539</v>
      </c>
      <c r="R17" s="862"/>
      <c r="T17" s="1992" t="s">
        <v>1790</v>
      </c>
    </row>
    <row r="18" spans="1:20">
      <c r="A18" s="936">
        <f t="shared" si="1"/>
        <v>2.1099999999999977</v>
      </c>
      <c r="B18" s="1580" t="s">
        <v>1440</v>
      </c>
      <c r="C18" s="184"/>
      <c r="D18" s="1437">
        <v>-15694000.069999889</v>
      </c>
      <c r="E18" s="1437">
        <v>-13909370.519999951</v>
      </c>
      <c r="F18" s="1437">
        <v>-12131852.759999841</v>
      </c>
      <c r="G18" s="1437">
        <v>-12457228.269999869</v>
      </c>
      <c r="H18" s="1437">
        <v>-10400453.599999933</v>
      </c>
      <c r="I18" s="1437">
        <v>-9280763.299999861</v>
      </c>
      <c r="J18" s="1437">
        <v>-9605426.4199999329</v>
      </c>
      <c r="K18" s="1437">
        <v>-8030531.9199999329</v>
      </c>
      <c r="L18" s="1437">
        <v>-7125988.3099999186</v>
      </c>
      <c r="M18" s="1437">
        <v>-8427924.5499999356</v>
      </c>
      <c r="N18" s="1437">
        <v>-7003558.4999999832</v>
      </c>
      <c r="O18" s="1437">
        <v>-4823530.7900000047</v>
      </c>
      <c r="P18" s="1437">
        <v>-7860999.9600000214</v>
      </c>
      <c r="Q18" s="861">
        <f t="shared" si="0"/>
        <v>-9750125.3053845428</v>
      </c>
      <c r="R18" s="862"/>
      <c r="T18" s="1992" t="s">
        <v>1790</v>
      </c>
    </row>
    <row r="19" spans="1:20">
      <c r="A19" s="936">
        <f t="shared" si="1"/>
        <v>2.1199999999999974</v>
      </c>
      <c r="B19" s="1580" t="s">
        <v>1441</v>
      </c>
      <c r="C19" s="184"/>
      <c r="D19" s="1437">
        <v>-1508998.8299999891</v>
      </c>
      <c r="E19" s="1437">
        <v>-1568760.4999999905</v>
      </c>
      <c r="F19" s="1437">
        <v>-1510555.72999999</v>
      </c>
      <c r="G19" s="1437">
        <v>-1508978.1099999915</v>
      </c>
      <c r="H19" s="1437">
        <v>-1482280.4999999932</v>
      </c>
      <c r="I19" s="1437">
        <v>-1430082.9699999897</v>
      </c>
      <c r="J19" s="1437">
        <v>-1508937.5499999931</v>
      </c>
      <c r="K19" s="1437">
        <v>-1584909.8199999926</v>
      </c>
      <c r="L19" s="1437">
        <v>-1494508.8299999915</v>
      </c>
      <c r="M19" s="1437">
        <v>-1509000.2299999946</v>
      </c>
      <c r="N19" s="1437">
        <v>-1547025.5799999963</v>
      </c>
      <c r="O19" s="1437">
        <v>-1710354.5199999933</v>
      </c>
      <c r="P19" s="1437">
        <v>-1809000.0999999915</v>
      </c>
      <c r="Q19" s="861">
        <f t="shared" si="0"/>
        <v>-1551799.4823076841</v>
      </c>
      <c r="R19" s="862"/>
      <c r="T19" s="1992" t="s">
        <v>1790</v>
      </c>
    </row>
    <row r="20" spans="1:20">
      <c r="A20" s="936">
        <f t="shared" si="1"/>
        <v>2.1299999999999972</v>
      </c>
      <c r="B20" s="1593" t="s">
        <v>1447</v>
      </c>
      <c r="C20" s="184"/>
      <c r="D20" s="1437">
        <v>0</v>
      </c>
      <c r="E20" s="1437">
        <v>0</v>
      </c>
      <c r="F20" s="1437">
        <v>0</v>
      </c>
      <c r="G20" s="1437">
        <v>0</v>
      </c>
      <c r="H20" s="1437">
        <v>0</v>
      </c>
      <c r="I20" s="1437">
        <v>0</v>
      </c>
      <c r="J20" s="1437">
        <v>0</v>
      </c>
      <c r="K20" s="1437">
        <v>0</v>
      </c>
      <c r="L20" s="1437">
        <v>0</v>
      </c>
      <c r="M20" s="1437">
        <v>0</v>
      </c>
      <c r="N20" s="1437">
        <v>0</v>
      </c>
      <c r="O20" s="1437">
        <v>0</v>
      </c>
      <c r="P20" s="1437">
        <v>0</v>
      </c>
      <c r="Q20" s="861">
        <f t="shared" si="0"/>
        <v>0</v>
      </c>
      <c r="R20" s="862"/>
    </row>
    <row r="21" spans="1:20">
      <c r="A21" s="936">
        <f t="shared" si="1"/>
        <v>2.139999999999997</v>
      </c>
      <c r="B21" s="1580" t="s">
        <v>1442</v>
      </c>
      <c r="C21" s="184"/>
      <c r="D21" s="1437">
        <v>0</v>
      </c>
      <c r="E21" s="1437">
        <v>0</v>
      </c>
      <c r="F21" s="1437">
        <v>0</v>
      </c>
      <c r="G21" s="1437">
        <v>0</v>
      </c>
      <c r="H21" s="1437">
        <v>0</v>
      </c>
      <c r="I21" s="1437">
        <v>0</v>
      </c>
      <c r="J21" s="1437">
        <v>0</v>
      </c>
      <c r="K21" s="1437">
        <v>0</v>
      </c>
      <c r="L21" s="1437">
        <v>0</v>
      </c>
      <c r="M21" s="1437">
        <v>0</v>
      </c>
      <c r="N21" s="1437">
        <v>0</v>
      </c>
      <c r="O21" s="1437">
        <v>0</v>
      </c>
      <c r="P21" s="1437">
        <v>0</v>
      </c>
      <c r="Q21" s="861">
        <f t="shared" si="0"/>
        <v>0</v>
      </c>
      <c r="R21" s="862"/>
    </row>
    <row r="22" spans="1:20">
      <c r="A22" s="936">
        <f t="shared" si="1"/>
        <v>2.1499999999999968</v>
      </c>
      <c r="B22" s="1593" t="s">
        <v>1448</v>
      </c>
      <c r="C22" s="184"/>
      <c r="D22" s="1437">
        <v>0</v>
      </c>
      <c r="E22" s="1437">
        <v>0</v>
      </c>
      <c r="F22" s="1437">
        <v>0</v>
      </c>
      <c r="G22" s="1437">
        <v>0</v>
      </c>
      <c r="H22" s="1437">
        <v>0</v>
      </c>
      <c r="I22" s="1437">
        <v>0</v>
      </c>
      <c r="J22" s="1437">
        <v>0</v>
      </c>
      <c r="K22" s="1437">
        <v>0</v>
      </c>
      <c r="L22" s="1437">
        <v>0</v>
      </c>
      <c r="M22" s="1437">
        <v>0</v>
      </c>
      <c r="N22" s="1437">
        <v>0</v>
      </c>
      <c r="O22" s="1437">
        <v>0</v>
      </c>
      <c r="P22" s="1437">
        <v>0</v>
      </c>
      <c r="Q22" s="861">
        <f t="shared" si="0"/>
        <v>0</v>
      </c>
      <c r="R22" s="862"/>
    </row>
    <row r="23" spans="1:20">
      <c r="A23" s="1405">
        <f t="shared" si="1"/>
        <v>2.1599999999999966</v>
      </c>
      <c r="B23" s="1436" t="s">
        <v>969</v>
      </c>
      <c r="C23" s="198"/>
      <c r="D23" s="1437">
        <v>0</v>
      </c>
      <c r="E23" s="1437">
        <v>0</v>
      </c>
      <c r="F23" s="1437">
        <v>0</v>
      </c>
      <c r="G23" s="1437">
        <v>0</v>
      </c>
      <c r="H23" s="1437">
        <v>0</v>
      </c>
      <c r="I23" s="1437">
        <v>0</v>
      </c>
      <c r="J23" s="1437">
        <v>0</v>
      </c>
      <c r="K23" s="1437">
        <v>0</v>
      </c>
      <c r="L23" s="1437">
        <v>0</v>
      </c>
      <c r="M23" s="1437">
        <v>0</v>
      </c>
      <c r="N23" s="1437">
        <v>0</v>
      </c>
      <c r="O23" s="1437">
        <v>0</v>
      </c>
      <c r="P23" s="1437">
        <v>0</v>
      </c>
      <c r="Q23" s="861">
        <f t="shared" si="0"/>
        <v>0</v>
      </c>
      <c r="R23" s="862"/>
    </row>
    <row r="24" spans="1:20">
      <c r="A24" s="1405" t="s">
        <v>959</v>
      </c>
      <c r="B24" s="1436" t="s">
        <v>969</v>
      </c>
      <c r="C24" s="198"/>
      <c r="D24" s="1437">
        <v>0</v>
      </c>
      <c r="E24" s="1437">
        <v>0</v>
      </c>
      <c r="F24" s="1437">
        <v>0</v>
      </c>
      <c r="G24" s="1437">
        <v>0</v>
      </c>
      <c r="H24" s="1437">
        <v>0</v>
      </c>
      <c r="I24" s="1437">
        <v>0</v>
      </c>
      <c r="J24" s="1437">
        <v>0</v>
      </c>
      <c r="K24" s="1437">
        <v>0</v>
      </c>
      <c r="L24" s="1437">
        <v>0</v>
      </c>
      <c r="M24" s="1437">
        <v>0</v>
      </c>
      <c r="N24" s="1437">
        <v>0</v>
      </c>
      <c r="O24" s="1437">
        <v>0</v>
      </c>
      <c r="P24" s="1437">
        <v>0</v>
      </c>
      <c r="Q24" s="861">
        <f t="shared" si="0"/>
        <v>0</v>
      </c>
      <c r="R24" s="862"/>
    </row>
    <row r="25" spans="1:20">
      <c r="A25" s="1405" t="s">
        <v>962</v>
      </c>
      <c r="B25" s="1436" t="s">
        <v>969</v>
      </c>
      <c r="C25" s="198"/>
      <c r="D25" s="1438">
        <v>0</v>
      </c>
      <c r="E25" s="1438">
        <v>0</v>
      </c>
      <c r="F25" s="1438">
        <v>0</v>
      </c>
      <c r="G25" s="1438">
        <v>0</v>
      </c>
      <c r="H25" s="1438">
        <v>0</v>
      </c>
      <c r="I25" s="1438">
        <v>0</v>
      </c>
      <c r="J25" s="1438">
        <v>0</v>
      </c>
      <c r="K25" s="1438">
        <v>0</v>
      </c>
      <c r="L25" s="1438">
        <v>0</v>
      </c>
      <c r="M25" s="1438">
        <v>0</v>
      </c>
      <c r="N25" s="1438">
        <v>0</v>
      </c>
      <c r="O25" s="1438">
        <v>0</v>
      </c>
      <c r="P25" s="1438">
        <v>0</v>
      </c>
      <c r="Q25" s="1363">
        <f t="shared" si="0"/>
        <v>0</v>
      </c>
      <c r="R25" s="862"/>
    </row>
    <row r="26" spans="1:20" s="866" customFormat="1">
      <c r="A26" s="935">
        <f>+A7+1</f>
        <v>3</v>
      </c>
      <c r="B26" s="863"/>
      <c r="C26" s="863" t="str">
        <f>+"Total   Sum (Ln "&amp;A7&amp;" Subparts)"</f>
        <v>Total   Sum (Ln 2 Subparts)</v>
      </c>
      <c r="D26" s="864">
        <f>SUM(D8:D25)</f>
        <v>-27879737.709998503</v>
      </c>
      <c r="E26" s="864">
        <f t="shared" ref="E26:P26" si="2">SUM(E8:E25)</f>
        <v>-26173787.249998558</v>
      </c>
      <c r="F26" s="864">
        <f t="shared" si="2"/>
        <v>-24357442.009998787</v>
      </c>
      <c r="G26" s="864">
        <f t="shared" si="2"/>
        <v>-24997599.099998806</v>
      </c>
      <c r="H26" s="864">
        <f t="shared" si="2"/>
        <v>-22942417.829998679</v>
      </c>
      <c r="I26" s="864">
        <f t="shared" si="2"/>
        <v>-21768205.339998446</v>
      </c>
      <c r="J26" s="864">
        <f t="shared" si="2"/>
        <v>-22932569.439998757</v>
      </c>
      <c r="K26" s="864">
        <f t="shared" si="2"/>
        <v>-21481529.77999866</v>
      </c>
      <c r="L26" s="864">
        <f t="shared" si="2"/>
        <v>-20443419.009998754</v>
      </c>
      <c r="M26" s="864">
        <f t="shared" si="2"/>
        <v>-20743656.199999604</v>
      </c>
      <c r="N26" s="864">
        <f t="shared" si="2"/>
        <v>-19291657.839999042</v>
      </c>
      <c r="O26" s="864">
        <f t="shared" si="2"/>
        <v>-17316546.519999094</v>
      </c>
      <c r="P26" s="864">
        <f t="shared" si="2"/>
        <v>-33982085.369999222</v>
      </c>
      <c r="Q26" s="864">
        <f>SUM(Q8:Q25)</f>
        <v>-23408511.799998831</v>
      </c>
      <c r="R26" s="865"/>
      <c r="S26" s="1992"/>
      <c r="T26" s="1992"/>
    </row>
    <row r="27" spans="1:20" s="866" customFormat="1">
      <c r="A27" s="1212"/>
      <c r="D27" s="1096" t="s">
        <v>338</v>
      </c>
      <c r="P27" s="1096" t="s">
        <v>338</v>
      </c>
      <c r="S27" s="1992"/>
      <c r="T27" s="1992"/>
    </row>
    <row r="28" spans="1:20">
      <c r="A28" s="867" t="s">
        <v>316</v>
      </c>
    </row>
    <row r="29" spans="1:20">
      <c r="A29" s="868" t="s">
        <v>176</v>
      </c>
      <c r="B29" s="1857" t="s">
        <v>988</v>
      </c>
      <c r="C29" s="1857"/>
      <c r="D29" s="1857"/>
      <c r="E29" s="1857"/>
      <c r="F29" s="1857"/>
      <c r="G29" s="1857"/>
      <c r="H29" s="1857"/>
      <c r="I29" s="1857"/>
      <c r="J29" s="1857"/>
      <c r="K29" s="1857"/>
      <c r="L29" s="1857"/>
      <c r="M29" s="1857"/>
      <c r="N29" s="1857"/>
      <c r="O29" s="1857"/>
      <c r="P29" s="1857"/>
      <c r="Q29" s="1857"/>
    </row>
    <row r="30" spans="1:20">
      <c r="A30" s="1096" t="s">
        <v>338</v>
      </c>
      <c r="B30" s="866" t="s">
        <v>701</v>
      </c>
      <c r="C30" s="866"/>
    </row>
    <row r="31" spans="1:20">
      <c r="A31" s="1096" t="s">
        <v>339</v>
      </c>
      <c r="B31" s="1867" t="s">
        <v>888</v>
      </c>
      <c r="C31" s="1867"/>
      <c r="D31" s="1867"/>
      <c r="E31" s="1867"/>
      <c r="F31" s="1867"/>
      <c r="G31" s="1867"/>
      <c r="H31" s="1867"/>
      <c r="I31" s="1867"/>
      <c r="J31" s="1867"/>
      <c r="K31" s="1867"/>
      <c r="L31" s="1867"/>
      <c r="M31" s="1867"/>
      <c r="N31" s="1867"/>
      <c r="O31" s="1867"/>
      <c r="P31" s="1867"/>
      <c r="Q31" s="1867"/>
    </row>
  </sheetData>
  <mergeCells count="6">
    <mergeCell ref="B31:Q31"/>
    <mergeCell ref="B29:Q29"/>
    <mergeCell ref="Q6:Q7"/>
    <mergeCell ref="A1:Q1"/>
    <mergeCell ref="A2:Q2"/>
    <mergeCell ref="A3:Q3"/>
  </mergeCells>
  <printOptions horizontalCentered="1"/>
  <pageMargins left="0.5" right="0.5" top="0.7" bottom="0.7" header="0.3" footer="0.5"/>
  <pageSetup scale="60" orientation="landscape" r:id="rId1"/>
  <headerFooter>
    <oddFooter>&amp;R&amp;A</oddFooter>
  </headerFooter>
  <ignoredErrors>
    <ignoredError sqref="A29:A31 D27 P2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sqref="A1:B1"/>
    </sheetView>
  </sheetViews>
  <sheetFormatPr defaultColWidth="8.88671875" defaultRowHeight="13.2"/>
  <cols>
    <col min="1" max="1" width="3.44140625" style="544" customWidth="1"/>
    <col min="2" max="2" width="7.33203125" style="544" customWidth="1"/>
    <col min="3" max="3" width="13.33203125" style="544" customWidth="1"/>
    <col min="4" max="5" width="15.6640625" style="544" customWidth="1"/>
    <col min="6" max="6" width="14.6640625" style="544" customWidth="1"/>
    <col min="7" max="7" width="13.6640625" style="544" customWidth="1"/>
    <col min="8" max="8" width="12.109375" style="544" customWidth="1"/>
    <col min="9" max="9" width="16" style="544" bestFit="1" customWidth="1"/>
    <col min="10" max="10" width="16" style="544" customWidth="1"/>
    <col min="11" max="11" width="14.88671875" style="544" customWidth="1"/>
    <col min="12" max="12" width="8.88671875" style="544"/>
    <col min="13" max="13" width="18.44140625" style="544" bestFit="1" customWidth="1"/>
    <col min="14" max="16384" width="8.88671875" style="544"/>
  </cols>
  <sheetData>
    <row r="1" spans="1:20" s="183" customFormat="1">
      <c r="A1" s="1947" t="str">
        <f>+'MISO Cover'!C6</f>
        <v>Entergy Arkansas, Inc.</v>
      </c>
      <c r="B1" s="1944"/>
      <c r="C1" s="1944"/>
      <c r="D1" s="1944"/>
      <c r="E1" s="1944"/>
      <c r="F1" s="1944"/>
      <c r="G1" s="1944"/>
      <c r="H1" s="1944"/>
      <c r="I1" s="1944"/>
      <c r="J1" s="1944"/>
      <c r="K1" s="1944"/>
      <c r="L1" s="1660"/>
      <c r="M1" s="1660"/>
      <c r="N1" s="1660"/>
      <c r="O1" s="1660"/>
      <c r="P1" s="1660"/>
      <c r="Q1" s="1660"/>
      <c r="R1" s="1660"/>
      <c r="S1" s="1660"/>
      <c r="T1" s="1660"/>
    </row>
    <row r="2" spans="1:20" s="183" customFormat="1">
      <c r="A2" s="1882" t="s">
        <v>1632</v>
      </c>
      <c r="B2" s="1882"/>
      <c r="C2" s="1882"/>
      <c r="D2" s="1882"/>
      <c r="E2" s="1882"/>
      <c r="F2" s="1882"/>
      <c r="G2" s="1882"/>
      <c r="H2" s="1882"/>
      <c r="I2" s="1882"/>
      <c r="J2" s="1882"/>
      <c r="K2" s="1882"/>
      <c r="L2" s="1661"/>
      <c r="M2" s="1661"/>
      <c r="N2" s="1661"/>
      <c r="O2" s="1661"/>
      <c r="P2" s="1661"/>
      <c r="Q2" s="1661"/>
      <c r="R2" s="1661"/>
      <c r="S2" s="1661"/>
      <c r="T2" s="1661"/>
    </row>
    <row r="3" spans="1:20">
      <c r="A3" s="1947" t="str">
        <f>+'MISO Cover'!K4</f>
        <v>For  the 12 Months Ended 12/31/2016</v>
      </c>
      <c r="B3" s="1944"/>
      <c r="C3" s="1944"/>
      <c r="D3" s="1944"/>
      <c r="E3" s="1944"/>
      <c r="F3" s="1944"/>
      <c r="G3" s="1944"/>
      <c r="H3" s="1944"/>
      <c r="I3" s="1944"/>
      <c r="J3" s="1944"/>
      <c r="K3" s="1944"/>
      <c r="L3" s="1660"/>
      <c r="M3" s="1660"/>
      <c r="N3" s="1660"/>
      <c r="O3" s="1660"/>
      <c r="P3" s="1660"/>
      <c r="Q3" s="1660"/>
    </row>
    <row r="4" spans="1:20">
      <c r="A4" s="1649"/>
      <c r="B4" s="1649"/>
      <c r="C4" s="1649"/>
      <c r="D4" s="1649"/>
      <c r="E4" s="1649"/>
      <c r="F4" s="1649"/>
      <c r="G4" s="1649"/>
      <c r="H4" s="1649"/>
      <c r="I4" s="1649"/>
      <c r="J4" s="1649"/>
      <c r="K4" s="1649"/>
      <c r="L4" s="1660"/>
      <c r="M4" s="1660"/>
      <c r="N4" s="1660"/>
      <c r="O4" s="1660"/>
      <c r="P4" s="1660"/>
      <c r="Q4" s="1660"/>
    </row>
    <row r="5" spans="1:20" s="44" customFormat="1">
      <c r="A5" s="1647" t="s">
        <v>72</v>
      </c>
      <c r="B5" s="1647" t="s">
        <v>119</v>
      </c>
      <c r="C5" s="1647" t="s">
        <v>60</v>
      </c>
      <c r="D5" s="1647" t="s">
        <v>73</v>
      </c>
      <c r="E5" s="1647" t="s">
        <v>71</v>
      </c>
      <c r="F5" s="1647" t="s">
        <v>1633</v>
      </c>
      <c r="G5" s="1647" t="s">
        <v>74</v>
      </c>
      <c r="H5" s="1647" t="s">
        <v>174</v>
      </c>
      <c r="I5" s="1647" t="s">
        <v>64</v>
      </c>
      <c r="J5" s="1647" t="s">
        <v>65</v>
      </c>
      <c r="K5" s="1647" t="s">
        <v>1634</v>
      </c>
      <c r="L5" s="195"/>
      <c r="M5" s="195"/>
      <c r="N5" s="195"/>
      <c r="O5" s="195"/>
      <c r="P5" s="195"/>
      <c r="Q5" s="195"/>
    </row>
    <row r="6" spans="1:20" s="183" customFormat="1">
      <c r="A6" s="1662"/>
      <c r="B6" s="1662"/>
      <c r="F6" s="1663"/>
      <c r="G6" s="1662"/>
      <c r="H6" s="1664"/>
      <c r="I6" s="1664"/>
      <c r="J6" s="1664"/>
      <c r="K6" s="1664"/>
      <c r="L6" s="1664"/>
      <c r="M6" s="1664"/>
    </row>
    <row r="7" spans="1:20">
      <c r="A7" s="544">
        <v>1</v>
      </c>
      <c r="B7" s="544" t="s">
        <v>490</v>
      </c>
      <c r="C7" s="1948" t="s">
        <v>1635</v>
      </c>
      <c r="D7" s="1949"/>
      <c r="E7" s="1949"/>
      <c r="F7" s="1950"/>
      <c r="G7" s="1948" t="s">
        <v>1636</v>
      </c>
      <c r="H7" s="1949"/>
      <c r="I7" s="1949"/>
      <c r="J7" s="1949"/>
      <c r="K7" s="1950"/>
    </row>
    <row r="8" spans="1:20" ht="105.6">
      <c r="A8" s="544">
        <f>+A7+1</f>
        <v>2</v>
      </c>
      <c r="C8" s="1665" t="s">
        <v>1637</v>
      </c>
      <c r="D8" s="1665" t="s">
        <v>1638</v>
      </c>
      <c r="E8" s="1665" t="s">
        <v>1639</v>
      </c>
      <c r="F8" s="1665" t="s">
        <v>1640</v>
      </c>
      <c r="G8" s="1665" t="s">
        <v>1641</v>
      </c>
      <c r="H8" s="1665" t="s">
        <v>1642</v>
      </c>
      <c r="I8" s="1665" t="s">
        <v>1643</v>
      </c>
      <c r="J8" s="1665" t="s">
        <v>1644</v>
      </c>
      <c r="K8" s="1665" t="s">
        <v>1645</v>
      </c>
    </row>
    <row r="9" spans="1:20">
      <c r="A9" s="544">
        <f t="shared" ref="A9:A23" si="0">+A8+1</f>
        <v>3</v>
      </c>
      <c r="B9" s="1666"/>
      <c r="C9" s="1667" t="s">
        <v>176</v>
      </c>
      <c r="D9" s="1668"/>
      <c r="E9" s="1668"/>
      <c r="F9" s="1669"/>
      <c r="G9" s="1668"/>
      <c r="H9" s="1667" t="s">
        <v>338</v>
      </c>
      <c r="I9" s="1669"/>
      <c r="J9" s="1669"/>
    </row>
    <row r="10" spans="1:20">
      <c r="A10" s="544">
        <f t="shared" si="0"/>
        <v>4</v>
      </c>
      <c r="B10" s="2002" t="s">
        <v>42</v>
      </c>
      <c r="C10" s="221">
        <v>-440892860.96000004</v>
      </c>
      <c r="D10" s="221">
        <v>684551760.03999996</v>
      </c>
      <c r="E10" s="221">
        <v>0</v>
      </c>
      <c r="F10" s="550">
        <f t="shared" ref="F10:F22" si="1">C10+D10+E10</f>
        <v>243658899.07999992</v>
      </c>
      <c r="G10" s="221">
        <v>-2128117</v>
      </c>
      <c r="H10" s="221">
        <v>-2566012.62</v>
      </c>
      <c r="I10" s="221">
        <v>2355675.6</v>
      </c>
      <c r="J10" s="221">
        <v>0</v>
      </c>
      <c r="K10" s="80">
        <f>G10+H10+I10+J10</f>
        <v>-2338454.02</v>
      </c>
      <c r="M10" s="2001"/>
      <c r="N10" s="2001"/>
      <c r="O10" s="2001"/>
      <c r="P10" s="2001"/>
    </row>
    <row r="11" spans="1:20">
      <c r="A11" s="544">
        <f t="shared" si="0"/>
        <v>5</v>
      </c>
      <c r="B11" s="2002" t="s">
        <v>32</v>
      </c>
      <c r="C11" s="221">
        <v>-421054844.96000004</v>
      </c>
      <c r="D11" s="221">
        <v>680906312.03999996</v>
      </c>
      <c r="E11" s="221">
        <v>0</v>
      </c>
      <c r="F11" s="550">
        <f t="shared" si="1"/>
        <v>259851467.07999992</v>
      </c>
      <c r="G11" s="221">
        <v>-2128117</v>
      </c>
      <c r="H11" s="221">
        <v>-2558759.9699999997</v>
      </c>
      <c r="I11" s="221">
        <v>2328930.6</v>
      </c>
      <c r="J11" s="221">
        <v>0</v>
      </c>
      <c r="K11" s="80">
        <f t="shared" ref="K11:K22" si="2">G11+H11+I11+J11</f>
        <v>-2357946.3699999996</v>
      </c>
    </row>
    <row r="12" spans="1:20">
      <c r="A12" s="544">
        <f t="shared" si="0"/>
        <v>6</v>
      </c>
      <c r="B12" s="2002" t="s">
        <v>33</v>
      </c>
      <c r="C12" s="221">
        <v>-420542828.96000004</v>
      </c>
      <c r="D12" s="221">
        <v>677260864.03999996</v>
      </c>
      <c r="E12" s="221">
        <v>0</v>
      </c>
      <c r="F12" s="550">
        <f t="shared" si="1"/>
        <v>256718035.07999992</v>
      </c>
      <c r="G12" s="221">
        <v>-2128117</v>
      </c>
      <c r="H12" s="221">
        <v>-2551507.3199999994</v>
      </c>
      <c r="I12" s="221">
        <v>2302185.6</v>
      </c>
      <c r="J12" s="221">
        <v>0</v>
      </c>
      <c r="K12" s="80">
        <f t="shared" si="2"/>
        <v>-2377438.7199999993</v>
      </c>
    </row>
    <row r="13" spans="1:20">
      <c r="A13" s="544">
        <f t="shared" si="0"/>
        <v>7</v>
      </c>
      <c r="B13" s="2002" t="s">
        <v>34</v>
      </c>
      <c r="C13" s="221">
        <v>-419862727.96000004</v>
      </c>
      <c r="D13" s="221">
        <v>673615416.03999996</v>
      </c>
      <c r="E13" s="221">
        <v>0</v>
      </c>
      <c r="F13" s="550">
        <f t="shared" si="1"/>
        <v>253752688.07999992</v>
      </c>
      <c r="G13" s="221">
        <v>-2126968</v>
      </c>
      <c r="H13" s="221">
        <v>-2545403.67</v>
      </c>
      <c r="I13" s="221">
        <v>2275440.6</v>
      </c>
      <c r="J13" s="221">
        <v>0</v>
      </c>
      <c r="K13" s="80">
        <f t="shared" si="2"/>
        <v>-2396931.0699999998</v>
      </c>
    </row>
    <row r="14" spans="1:20">
      <c r="A14" s="544">
        <f t="shared" si="0"/>
        <v>8</v>
      </c>
      <c r="B14" s="2002" t="s">
        <v>35</v>
      </c>
      <c r="C14" s="221">
        <v>-402295711.96000004</v>
      </c>
      <c r="D14" s="221">
        <v>669969968.03999996</v>
      </c>
      <c r="E14" s="221">
        <v>0</v>
      </c>
      <c r="F14" s="550">
        <f t="shared" si="1"/>
        <v>267674256.07999992</v>
      </c>
      <c r="G14" s="221">
        <v>-2126968</v>
      </c>
      <c r="H14" s="221">
        <v>-2538151.0199999996</v>
      </c>
      <c r="I14" s="221">
        <v>2248695.6</v>
      </c>
      <c r="J14" s="221">
        <v>0</v>
      </c>
      <c r="K14" s="80">
        <f t="shared" si="2"/>
        <v>-2416423.4199999995</v>
      </c>
    </row>
    <row r="15" spans="1:20">
      <c r="A15" s="544">
        <f t="shared" si="0"/>
        <v>9</v>
      </c>
      <c r="B15" s="2002" t="s">
        <v>31</v>
      </c>
      <c r="C15" s="221">
        <v>-401783695.96000004</v>
      </c>
      <c r="D15" s="221">
        <v>666324520.03999996</v>
      </c>
      <c r="E15" s="221">
        <v>0</v>
      </c>
      <c r="F15" s="550">
        <f t="shared" si="1"/>
        <v>264540824.07999992</v>
      </c>
      <c r="G15" s="221">
        <v>-2126968</v>
      </c>
      <c r="H15" s="221">
        <v>-2530898.37</v>
      </c>
      <c r="I15" s="221">
        <v>2221950.6</v>
      </c>
      <c r="J15" s="221">
        <v>0</v>
      </c>
      <c r="K15" s="80">
        <f t="shared" si="2"/>
        <v>-2435915.77</v>
      </c>
    </row>
    <row r="16" spans="1:20">
      <c r="A16" s="544">
        <f t="shared" si="0"/>
        <v>10</v>
      </c>
      <c r="B16" s="2002" t="s">
        <v>36</v>
      </c>
      <c r="C16" s="221">
        <v>-401271679.96000004</v>
      </c>
      <c r="D16" s="221">
        <v>662679072.03999996</v>
      </c>
      <c r="E16" s="221">
        <v>0</v>
      </c>
      <c r="F16" s="550">
        <f t="shared" si="1"/>
        <v>261407392.07999992</v>
      </c>
      <c r="G16" s="221">
        <v>-2126968</v>
      </c>
      <c r="H16" s="221">
        <v>-2523645.7199999997</v>
      </c>
      <c r="I16" s="221">
        <v>2195205.6</v>
      </c>
      <c r="J16" s="221">
        <v>0</v>
      </c>
      <c r="K16" s="80">
        <f t="shared" si="2"/>
        <v>-2455408.1199999996</v>
      </c>
    </row>
    <row r="17" spans="1:11">
      <c r="A17" s="544">
        <f t="shared" si="0"/>
        <v>11</v>
      </c>
      <c r="B17" s="2002" t="s">
        <v>37</v>
      </c>
      <c r="C17" s="221">
        <v>-383644419.96000004</v>
      </c>
      <c r="D17" s="221">
        <v>659033624.03999996</v>
      </c>
      <c r="E17" s="221">
        <v>0</v>
      </c>
      <c r="F17" s="550">
        <f t="shared" si="1"/>
        <v>275389204.07999992</v>
      </c>
      <c r="G17" s="221">
        <v>-2126968</v>
      </c>
      <c r="H17" s="221">
        <v>-2516393.0699999994</v>
      </c>
      <c r="I17" s="221">
        <v>2168460.6</v>
      </c>
      <c r="J17" s="221">
        <v>0</v>
      </c>
      <c r="K17" s="80">
        <f t="shared" si="2"/>
        <v>-2474900.4699999993</v>
      </c>
    </row>
    <row r="18" spans="1:11">
      <c r="A18" s="544">
        <f t="shared" si="0"/>
        <v>12</v>
      </c>
      <c r="B18" s="2002" t="s">
        <v>38</v>
      </c>
      <c r="C18" s="221">
        <v>-383132403.96000004</v>
      </c>
      <c r="D18" s="221">
        <v>655388176.03999996</v>
      </c>
      <c r="E18" s="221">
        <v>0</v>
      </c>
      <c r="F18" s="550">
        <f t="shared" si="1"/>
        <v>272255772.07999992</v>
      </c>
      <c r="G18" s="221">
        <v>-2126968</v>
      </c>
      <c r="H18" s="221">
        <v>-2509140.42</v>
      </c>
      <c r="I18" s="221">
        <v>2141715.6</v>
      </c>
      <c r="J18" s="221">
        <v>0</v>
      </c>
      <c r="K18" s="80">
        <f t="shared" si="2"/>
        <v>-2494392.8199999998</v>
      </c>
    </row>
    <row r="19" spans="1:11">
      <c r="A19" s="544">
        <f t="shared" si="0"/>
        <v>13</v>
      </c>
      <c r="B19" s="2002" t="s">
        <v>39</v>
      </c>
      <c r="C19" s="221">
        <v>-370402387.96000004</v>
      </c>
      <c r="D19" s="221">
        <v>651742728.03999996</v>
      </c>
      <c r="E19" s="221">
        <v>0</v>
      </c>
      <c r="F19" s="550">
        <f t="shared" si="1"/>
        <v>281340340.07999992</v>
      </c>
      <c r="G19" s="221">
        <v>-2124671</v>
      </c>
      <c r="H19" s="221">
        <v>-2502991.7699999996</v>
      </c>
      <c r="I19" s="221">
        <v>2114346.6</v>
      </c>
      <c r="J19" s="221">
        <v>0</v>
      </c>
      <c r="K19" s="80">
        <f t="shared" si="2"/>
        <v>-2513316.1699999995</v>
      </c>
    </row>
    <row r="20" spans="1:11">
      <c r="A20" s="544">
        <f t="shared" si="0"/>
        <v>14</v>
      </c>
      <c r="B20" s="2002" t="s">
        <v>40</v>
      </c>
      <c r="C20" s="221">
        <v>-352774371.96000004</v>
      </c>
      <c r="D20" s="221">
        <v>648097280.03999996</v>
      </c>
      <c r="E20" s="221">
        <v>0</v>
      </c>
      <c r="F20" s="550">
        <f t="shared" si="1"/>
        <v>295322908.07999992</v>
      </c>
      <c r="G20" s="221">
        <v>-2124671</v>
      </c>
      <c r="H20" s="221">
        <v>-2494546.12</v>
      </c>
      <c r="I20" s="221">
        <v>2086977.6</v>
      </c>
      <c r="J20" s="221">
        <v>0</v>
      </c>
      <c r="K20" s="80">
        <f t="shared" si="2"/>
        <v>-2532239.52</v>
      </c>
    </row>
    <row r="21" spans="1:11">
      <c r="A21" s="544">
        <f t="shared" si="0"/>
        <v>15</v>
      </c>
      <c r="B21" s="2002" t="s">
        <v>41</v>
      </c>
      <c r="C21" s="221">
        <v>-352262355.96000004</v>
      </c>
      <c r="D21" s="221">
        <v>644451832.03999996</v>
      </c>
      <c r="E21" s="221">
        <v>0</v>
      </c>
      <c r="F21" s="550">
        <f t="shared" si="1"/>
        <v>292189476.07999992</v>
      </c>
      <c r="G21" s="221">
        <v>-2124671</v>
      </c>
      <c r="H21" s="221">
        <v>-2486100.4699999997</v>
      </c>
      <c r="I21" s="221">
        <v>2059608.6</v>
      </c>
      <c r="J21" s="221">
        <v>0</v>
      </c>
      <c r="K21" s="80">
        <f t="shared" si="2"/>
        <v>-2551162.8699999996</v>
      </c>
    </row>
    <row r="22" spans="1:11">
      <c r="A22" s="544">
        <f t="shared" si="0"/>
        <v>16</v>
      </c>
      <c r="B22" s="2002" t="s">
        <v>42</v>
      </c>
      <c r="C22" s="221">
        <v>-412717571.96000004</v>
      </c>
      <c r="D22" s="221">
        <v>701773616.03999996</v>
      </c>
      <c r="E22" s="221">
        <v>0</v>
      </c>
      <c r="F22" s="550">
        <f t="shared" si="1"/>
        <v>289056044.07999992</v>
      </c>
      <c r="G22" s="221">
        <v>-241553</v>
      </c>
      <c r="H22" s="221">
        <v>-3655473.7799999993</v>
      </c>
      <c r="I22" s="221">
        <v>2913957.6</v>
      </c>
      <c r="J22" s="221">
        <v>0</v>
      </c>
      <c r="K22" s="80">
        <f t="shared" si="2"/>
        <v>-983069.17999999924</v>
      </c>
    </row>
    <row r="23" spans="1:11">
      <c r="A23" s="544">
        <f t="shared" si="0"/>
        <v>17</v>
      </c>
      <c r="B23" s="2002"/>
      <c r="C23" s="1670" t="s">
        <v>176</v>
      </c>
      <c r="D23" s="269"/>
      <c r="E23" s="269"/>
      <c r="F23" s="550"/>
      <c r="G23" s="269"/>
      <c r="H23" s="1670" t="s">
        <v>338</v>
      </c>
      <c r="I23" s="269"/>
      <c r="J23" s="269"/>
      <c r="K23" s="80"/>
    </row>
    <row r="24" spans="1:11" s="44" customFormat="1">
      <c r="A24" s="44">
        <f>A23+1</f>
        <v>18</v>
      </c>
      <c r="B24" s="726" t="s">
        <v>1646</v>
      </c>
      <c r="C24" s="550"/>
      <c r="D24" s="550"/>
      <c r="E24" s="550"/>
      <c r="F24" s="550">
        <f>+SUM(F10:F22)/13</f>
        <v>270242869.69538456</v>
      </c>
      <c r="G24" s="550"/>
      <c r="H24" s="550"/>
      <c r="I24" s="550"/>
      <c r="J24" s="550"/>
      <c r="K24" s="282">
        <f>+SUM(K10:K22)/13</f>
        <v>-2332892.1938461536</v>
      </c>
    </row>
    <row r="25" spans="1:11" s="44" customFormat="1">
      <c r="K25" s="43"/>
    </row>
    <row r="26" spans="1:11" s="44" customFormat="1">
      <c r="A26" s="44" t="s">
        <v>316</v>
      </c>
    </row>
    <row r="27" spans="1:11" s="44" customFormat="1">
      <c r="A27" s="829" t="s">
        <v>176</v>
      </c>
      <c r="B27" s="44" t="s">
        <v>1647</v>
      </c>
    </row>
    <row r="28" spans="1:11" s="44" customFormat="1">
      <c r="A28" s="829" t="s">
        <v>338</v>
      </c>
      <c r="B28" s="44" t="s">
        <v>1647</v>
      </c>
    </row>
    <row r="29" spans="1:11" s="44" customFormat="1">
      <c r="A29" s="1671" t="s">
        <v>339</v>
      </c>
      <c r="B29" s="44" t="s">
        <v>1648</v>
      </c>
    </row>
  </sheetData>
  <mergeCells count="6">
    <mergeCell ref="M10:P10"/>
    <mergeCell ref="A1:K1"/>
    <mergeCell ref="A2:K2"/>
    <mergeCell ref="A3:K3"/>
    <mergeCell ref="C7:F7"/>
    <mergeCell ref="G7:K7"/>
  </mergeCells>
  <pageMargins left="0.5" right="0.5" top="0.5" bottom="0.7" header="0.3" footer="0.5"/>
  <pageSetup scale="91" orientation="landscape" r:id="rId1"/>
  <headerFooter>
    <oddFooter>&amp;R&amp;A</oddFooter>
  </headerFooter>
  <ignoredErrors>
    <ignoredError sqref="H9:H23 C9:C23 A27:A2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B1"/>
    </sheetView>
  </sheetViews>
  <sheetFormatPr defaultColWidth="15.6640625" defaultRowHeight="13.2"/>
  <cols>
    <col min="1" max="16384" width="15.6640625" style="544"/>
  </cols>
  <sheetData>
    <row r="1" spans="1:3">
      <c r="A1" s="1951" t="str">
        <f>+'MISO Cover'!C6</f>
        <v>Entergy Arkansas, Inc.</v>
      </c>
      <c r="B1" s="1952"/>
      <c r="C1" s="1952"/>
    </row>
    <row r="2" spans="1:3">
      <c r="A2" s="1953" t="s">
        <v>1627</v>
      </c>
      <c r="B2" s="1953"/>
      <c r="C2" s="1953"/>
    </row>
    <row r="3" spans="1:3">
      <c r="A3" s="1954" t="str">
        <f>+'MISO Cover'!K4</f>
        <v>For  the 12 Months Ended 12/31/2016</v>
      </c>
      <c r="B3" s="1955"/>
      <c r="C3" s="1955"/>
    </row>
    <row r="5" spans="1:3" s="1649" customFormat="1">
      <c r="A5" s="1649" t="s">
        <v>72</v>
      </c>
      <c r="B5" s="1649" t="s">
        <v>119</v>
      </c>
      <c r="C5" s="1649" t="s">
        <v>60</v>
      </c>
    </row>
    <row r="6" spans="1:3" s="1672" customFormat="1" ht="39.6">
      <c r="A6" s="1672" t="s">
        <v>290</v>
      </c>
      <c r="B6" s="1672" t="s">
        <v>1628</v>
      </c>
      <c r="C6" s="1672" t="s">
        <v>1629</v>
      </c>
    </row>
    <row r="7" spans="1:3">
      <c r="A7" s="1649">
        <v>1</v>
      </c>
      <c r="B7" s="221">
        <v>-77665.0199999998</v>
      </c>
      <c r="C7" s="221">
        <v>7414278.1100000096</v>
      </c>
    </row>
    <row r="8" spans="1:3">
      <c r="A8" s="44"/>
      <c r="B8" s="829" t="s">
        <v>176</v>
      </c>
      <c r="C8" s="829" t="s">
        <v>338</v>
      </c>
    </row>
    <row r="9" spans="1:3">
      <c r="A9" s="44"/>
      <c r="B9" s="44"/>
      <c r="C9" s="44"/>
    </row>
    <row r="10" spans="1:3">
      <c r="A10" s="44" t="s">
        <v>316</v>
      </c>
      <c r="B10" s="44"/>
      <c r="C10" s="44"/>
    </row>
    <row r="11" spans="1:3">
      <c r="A11" s="1671" t="s">
        <v>1630</v>
      </c>
      <c r="B11" s="44"/>
      <c r="C11" s="44"/>
    </row>
    <row r="12" spans="1:3">
      <c r="A12" s="1671" t="s">
        <v>1631</v>
      </c>
      <c r="B12" s="44"/>
      <c r="C12" s="44"/>
    </row>
  </sheetData>
  <mergeCells count="3">
    <mergeCell ref="A1:C1"/>
    <mergeCell ref="A2:C2"/>
    <mergeCell ref="A3:C3"/>
  </mergeCells>
  <printOptions horizontalCentered="1"/>
  <pageMargins left="0.7" right="0.7" top="0.75" bottom="0.75" header="0.3" footer="0.5"/>
  <pageSetup orientation="portrait" r:id="rId1"/>
  <headerFooter>
    <oddFooter>&amp;R&amp;A</oddFooter>
  </headerFooter>
  <ignoredErrors>
    <ignoredError sqref="B8:C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W85"/>
  <sheetViews>
    <sheetView zoomScaleNormal="100" workbookViewId="0">
      <selection sqref="A1:B1"/>
    </sheetView>
  </sheetViews>
  <sheetFormatPr defaultColWidth="8.88671875" defaultRowHeight="13.2"/>
  <cols>
    <col min="1" max="1" width="6.109375" style="638" customWidth="1"/>
    <col min="2" max="2" width="43.44140625" style="636" customWidth="1"/>
    <col min="3" max="3" width="11" style="636" bestFit="1" customWidth="1"/>
    <col min="4" max="4" width="7.109375" style="636" bestFit="1" customWidth="1"/>
    <col min="5" max="5" width="5.6640625" style="649" bestFit="1" customWidth="1"/>
    <col min="6" max="6" width="13.109375" style="649" bestFit="1" customWidth="1"/>
    <col min="7" max="7" width="11.109375" style="1031" bestFit="1" customWidth="1"/>
    <col min="8" max="8" width="9.44140625" style="1008" bestFit="1" customWidth="1"/>
    <col min="9" max="9" width="8.88671875" style="649" bestFit="1" customWidth="1"/>
    <col min="10" max="10" width="10.44140625" style="649" bestFit="1" customWidth="1"/>
    <col min="11" max="11" width="12.88671875" style="1031" customWidth="1"/>
    <col min="12" max="12" width="9.88671875" style="636" customWidth="1"/>
    <col min="13" max="13" width="9.5546875" style="636" bestFit="1" customWidth="1"/>
    <col min="14" max="16384" width="8.88671875" style="636"/>
  </cols>
  <sheetData>
    <row r="1" spans="1:23">
      <c r="A1" s="1874" t="str">
        <f>+'MISO Cover'!C6</f>
        <v>Entergy Arkansas, Inc.</v>
      </c>
      <c r="B1" s="1874"/>
      <c r="C1" s="1874"/>
      <c r="D1" s="1874"/>
      <c r="E1" s="1874"/>
      <c r="F1" s="1874"/>
      <c r="G1" s="1874"/>
      <c r="H1" s="1874"/>
      <c r="I1" s="1874"/>
      <c r="J1" s="1874"/>
      <c r="K1" s="1874"/>
      <c r="L1" s="886"/>
    </row>
    <row r="2" spans="1:23">
      <c r="A2" s="1875" t="s">
        <v>977</v>
      </c>
      <c r="B2" s="1875"/>
      <c r="C2" s="1875"/>
      <c r="D2" s="1875"/>
      <c r="E2" s="1875"/>
      <c r="F2" s="1875"/>
      <c r="G2" s="1875"/>
      <c r="H2" s="1875"/>
      <c r="I2" s="1875"/>
      <c r="J2" s="1875"/>
      <c r="K2" s="1875"/>
      <c r="L2" s="173"/>
    </row>
    <row r="3" spans="1:23">
      <c r="A3" s="1874" t="str">
        <f>+'MISO Cover'!K4</f>
        <v>For  the 12 Months Ended 12/31/2016</v>
      </c>
      <c r="B3" s="1874"/>
      <c r="C3" s="1874"/>
      <c r="D3" s="1874"/>
      <c r="E3" s="1874"/>
      <c r="F3" s="1874"/>
      <c r="G3" s="1874"/>
      <c r="H3" s="1874"/>
      <c r="I3" s="1874"/>
      <c r="J3" s="1874"/>
      <c r="K3" s="1874"/>
    </row>
    <row r="4" spans="1:23">
      <c r="B4" s="887"/>
      <c r="C4" s="887"/>
      <c r="D4" s="887"/>
      <c r="E4" s="880"/>
      <c r="F4" s="880"/>
      <c r="G4" s="880"/>
      <c r="I4" s="880"/>
      <c r="J4" s="880"/>
      <c r="K4" s="880"/>
      <c r="L4" s="886"/>
    </row>
    <row r="5" spans="1:23">
      <c r="A5" s="1875" t="s">
        <v>1129</v>
      </c>
      <c r="B5" s="1875"/>
      <c r="C5" s="1875"/>
      <c r="D5" s="1875"/>
      <c r="E5" s="1875"/>
      <c r="F5" s="1875"/>
      <c r="G5" s="1875"/>
      <c r="H5" s="1875"/>
      <c r="I5" s="1875"/>
      <c r="J5" s="1875"/>
      <c r="K5" s="1875"/>
    </row>
    <row r="6" spans="1:23">
      <c r="A6" s="1200"/>
      <c r="B6" s="1200"/>
      <c r="C6" s="1200"/>
      <c r="D6" s="1200"/>
      <c r="E6" s="1200"/>
      <c r="F6" s="1200"/>
      <c r="G6" s="1200"/>
      <c r="H6" s="1200"/>
      <c r="I6" s="1200"/>
      <c r="J6" s="1200"/>
      <c r="K6" s="1200"/>
    </row>
    <row r="7" spans="1:23" s="1008" customFormat="1">
      <c r="A7" s="1005"/>
      <c r="B7" s="1200"/>
      <c r="C7" s="1381"/>
      <c r="D7" s="1381"/>
      <c r="E7" s="1381" t="str">
        <f>+C8&amp;" + "&amp;D8</f>
        <v>B + C</v>
      </c>
      <c r="G7" s="240" t="str">
        <f>+"- ("&amp;E8&amp;"+"&amp;F8&amp;")"</f>
        <v>- (D+E)</v>
      </c>
      <c r="H7" s="1005" t="str">
        <f>+G8&amp;" * "&amp;D8&amp;"/"&amp;E8</f>
        <v>F * C/D</v>
      </c>
      <c r="K7" s="1005" t="str">
        <f>+G8&amp;" - "&amp;I8&amp;" - "&amp;J8</f>
        <v>F - H - I</v>
      </c>
      <c r="L7" s="1030"/>
    </row>
    <row r="8" spans="1:23" s="1008" customFormat="1" ht="13.2" customHeight="1">
      <c r="A8" s="1005" t="s">
        <v>290</v>
      </c>
      <c r="B8" s="871" t="s">
        <v>72</v>
      </c>
      <c r="C8" s="871" t="s">
        <v>119</v>
      </c>
      <c r="D8" s="871" t="s">
        <v>60</v>
      </c>
      <c r="E8" s="872" t="s">
        <v>73</v>
      </c>
      <c r="F8" s="872" t="s">
        <v>71</v>
      </c>
      <c r="G8" s="872" t="s">
        <v>161</v>
      </c>
      <c r="H8" s="872" t="s">
        <v>74</v>
      </c>
      <c r="I8" s="872" t="s">
        <v>174</v>
      </c>
      <c r="J8" s="872" t="s">
        <v>64</v>
      </c>
      <c r="K8" s="872" t="s">
        <v>65</v>
      </c>
      <c r="M8" s="1211"/>
      <c r="N8" s="1211"/>
      <c r="O8" s="1211"/>
      <c r="P8" s="1211"/>
      <c r="Q8" s="1211"/>
      <c r="R8" s="1209"/>
    </row>
    <row r="9" spans="1:23" s="1008" customFormat="1" ht="15">
      <c r="A9" s="1005"/>
      <c r="B9" s="871"/>
      <c r="C9" s="1957" t="s">
        <v>852</v>
      </c>
      <c r="D9" s="1957"/>
      <c r="E9" s="1957"/>
      <c r="F9" s="1326" t="s">
        <v>845</v>
      </c>
      <c r="G9" s="1957" t="s">
        <v>855</v>
      </c>
      <c r="H9" s="1957"/>
      <c r="I9" s="1957" t="s">
        <v>850</v>
      </c>
      <c r="J9" s="1957"/>
      <c r="K9" s="1326" t="s">
        <v>855</v>
      </c>
      <c r="M9" s="1211"/>
      <c r="N9" s="1211"/>
      <c r="O9" s="1211"/>
      <c r="P9" s="1211"/>
      <c r="Q9" s="1211"/>
      <c r="R9" s="1209"/>
    </row>
    <row r="10" spans="1:23" s="1005" customFormat="1" ht="15" customHeight="1">
      <c r="A10" s="1006">
        <v>1</v>
      </c>
      <c r="B10" s="888" t="s">
        <v>180</v>
      </c>
      <c r="C10" s="1425" t="s">
        <v>952</v>
      </c>
      <c r="D10" s="1210" t="s">
        <v>853</v>
      </c>
      <c r="E10" s="1210" t="s">
        <v>118</v>
      </c>
      <c r="F10" s="1210" t="s">
        <v>854</v>
      </c>
      <c r="G10" s="1210" t="s">
        <v>857</v>
      </c>
      <c r="H10" s="1426" t="s">
        <v>856</v>
      </c>
      <c r="I10" s="1210" t="s">
        <v>849</v>
      </c>
      <c r="J10" s="1210" t="s">
        <v>851</v>
      </c>
      <c r="K10" s="1210" t="s">
        <v>118</v>
      </c>
      <c r="M10" s="1211"/>
      <c r="N10" s="1211"/>
      <c r="O10" s="1211"/>
      <c r="P10" s="1211"/>
      <c r="Q10" s="1211"/>
      <c r="R10" s="1209"/>
    </row>
    <row r="11" spans="1:23">
      <c r="A11" s="1007">
        <f>+A10+0.01</f>
        <v>1.01</v>
      </c>
      <c r="B11" s="599" t="s">
        <v>1478</v>
      </c>
      <c r="C11" s="221">
        <v>0</v>
      </c>
      <c r="D11" s="221">
        <v>0</v>
      </c>
      <c r="E11" s="80">
        <f>+C11+D11</f>
        <v>0</v>
      </c>
      <c r="F11" s="221">
        <v>0</v>
      </c>
      <c r="G11" s="80">
        <f>-(E11+F11)</f>
        <v>0</v>
      </c>
      <c r="H11" s="522">
        <f>G11*IF($E11=0,0,+ABS($D11)/(ABS($C11)+ABS($D11)))</f>
        <v>0</v>
      </c>
      <c r="I11" s="221">
        <v>0</v>
      </c>
      <c r="J11" s="221">
        <v>0</v>
      </c>
      <c r="K11" s="889">
        <f>+G11-I11-J11</f>
        <v>0</v>
      </c>
      <c r="L11" s="1127"/>
      <c r="M11" s="1211"/>
      <c r="N11" s="1211"/>
      <c r="O11" s="1211"/>
      <c r="P11" s="1211"/>
      <c r="Q11" s="1211"/>
    </row>
    <row r="12" spans="1:23">
      <c r="A12" s="1007">
        <f t="shared" ref="A12:A52" si="0">+A11+0.01</f>
        <v>1.02</v>
      </c>
      <c r="B12" s="599" t="s">
        <v>1479</v>
      </c>
      <c r="C12" s="221">
        <v>0</v>
      </c>
      <c r="D12" s="221">
        <v>0</v>
      </c>
      <c r="E12" s="80">
        <f t="shared" ref="E12:E54" si="1">+C12+D12</f>
        <v>0</v>
      </c>
      <c r="F12" s="221">
        <v>0</v>
      </c>
      <c r="G12" s="80">
        <f t="shared" ref="G12:G54" si="2">-(E12+F12)</f>
        <v>0</v>
      </c>
      <c r="H12" s="522">
        <f t="shared" ref="H12:H54" si="3">G12*IF($E12=0,0,+ABS($D12)/(ABS($C12)+ABS($D12)))</f>
        <v>0</v>
      </c>
      <c r="I12" s="221">
        <v>0</v>
      </c>
      <c r="J12" s="221">
        <v>0</v>
      </c>
      <c r="K12" s="889">
        <f t="shared" ref="K12:K54" si="4">+G12-I12-J12</f>
        <v>0</v>
      </c>
      <c r="L12" s="1127"/>
      <c r="M12" s="1211"/>
      <c r="N12" s="1211"/>
      <c r="O12" s="1211"/>
      <c r="P12" s="1211"/>
      <c r="Q12" s="1211"/>
    </row>
    <row r="13" spans="1:23">
      <c r="A13" s="1007">
        <f t="shared" si="0"/>
        <v>1.03</v>
      </c>
      <c r="B13" s="599" t="s">
        <v>1480</v>
      </c>
      <c r="C13" s="221">
        <v>0</v>
      </c>
      <c r="D13" s="221">
        <v>0</v>
      </c>
      <c r="E13" s="80">
        <f t="shared" si="1"/>
        <v>0</v>
      </c>
      <c r="F13" s="221">
        <v>0</v>
      </c>
      <c r="G13" s="80">
        <f t="shared" si="2"/>
        <v>0</v>
      </c>
      <c r="H13" s="522">
        <f t="shared" si="3"/>
        <v>0</v>
      </c>
      <c r="I13" s="221">
        <v>0</v>
      </c>
      <c r="J13" s="221">
        <v>0</v>
      </c>
      <c r="K13" s="889">
        <f t="shared" si="4"/>
        <v>0</v>
      </c>
      <c r="L13" s="1127"/>
      <c r="M13" s="1211"/>
      <c r="N13" s="1211"/>
      <c r="O13" s="1211"/>
      <c r="P13" s="1211"/>
      <c r="Q13" s="1211"/>
    </row>
    <row r="14" spans="1:23">
      <c r="A14" s="1007">
        <f t="shared" si="0"/>
        <v>1.04</v>
      </c>
      <c r="B14" s="599" t="s">
        <v>1481</v>
      </c>
      <c r="C14" s="221">
        <v>0</v>
      </c>
      <c r="D14" s="221">
        <v>0</v>
      </c>
      <c r="E14" s="80">
        <f t="shared" si="1"/>
        <v>0</v>
      </c>
      <c r="F14" s="221">
        <v>0</v>
      </c>
      <c r="G14" s="80">
        <f t="shared" si="2"/>
        <v>0</v>
      </c>
      <c r="H14" s="522">
        <f t="shared" si="3"/>
        <v>0</v>
      </c>
      <c r="I14" s="221">
        <v>0</v>
      </c>
      <c r="J14" s="221">
        <v>0</v>
      </c>
      <c r="K14" s="889">
        <f t="shared" si="4"/>
        <v>0</v>
      </c>
      <c r="L14" s="1127"/>
      <c r="M14" s="1211"/>
      <c r="N14" s="1211"/>
      <c r="O14" s="1211"/>
      <c r="P14" s="1211"/>
      <c r="Q14" s="1211"/>
    </row>
    <row r="15" spans="1:23" ht="13.2" customHeight="1">
      <c r="A15" s="1007">
        <f t="shared" si="0"/>
        <v>1.05</v>
      </c>
      <c r="B15" s="1587" t="s">
        <v>1449</v>
      </c>
      <c r="C15" s="221">
        <v>0</v>
      </c>
      <c r="D15" s="221">
        <v>0</v>
      </c>
      <c r="E15" s="80">
        <f t="shared" si="1"/>
        <v>0</v>
      </c>
      <c r="F15" s="221">
        <v>0</v>
      </c>
      <c r="G15" s="80">
        <f t="shared" si="2"/>
        <v>0</v>
      </c>
      <c r="H15" s="522">
        <f t="shared" si="3"/>
        <v>0</v>
      </c>
      <c r="I15" s="221">
        <v>4101.45</v>
      </c>
      <c r="J15" s="221">
        <v>68910.12</v>
      </c>
      <c r="K15" s="889">
        <f t="shared" si="4"/>
        <v>-73011.569999999992</v>
      </c>
      <c r="L15" s="1127"/>
      <c r="M15" s="2003" t="s">
        <v>1703</v>
      </c>
      <c r="N15" s="2003"/>
      <c r="O15" s="2003"/>
      <c r="P15" s="2003"/>
      <c r="Q15" s="2003"/>
      <c r="R15" s="2003"/>
      <c r="S15" s="2003"/>
      <c r="T15" s="2003"/>
      <c r="U15" s="2003"/>
      <c r="V15" s="2003"/>
      <c r="W15" s="2003"/>
    </row>
    <row r="16" spans="1:23">
      <c r="A16" s="1007">
        <f t="shared" si="0"/>
        <v>1.06</v>
      </c>
      <c r="B16" s="1587" t="s">
        <v>1450</v>
      </c>
      <c r="C16" s="221">
        <v>0</v>
      </c>
      <c r="D16" s="221">
        <v>0</v>
      </c>
      <c r="E16" s="80">
        <f t="shared" si="1"/>
        <v>0</v>
      </c>
      <c r="F16" s="221">
        <v>0</v>
      </c>
      <c r="G16" s="80">
        <f t="shared" si="2"/>
        <v>0</v>
      </c>
      <c r="H16" s="522">
        <f t="shared" si="3"/>
        <v>0</v>
      </c>
      <c r="I16" s="221">
        <v>2732.12</v>
      </c>
      <c r="J16" s="221">
        <v>39261.96</v>
      </c>
      <c r="K16" s="889">
        <f t="shared" si="4"/>
        <v>-41994.080000000002</v>
      </c>
      <c r="L16" s="1127"/>
      <c r="M16" s="1211"/>
      <c r="N16" s="1211"/>
    </row>
    <row r="17" spans="1:14">
      <c r="A17" s="1007">
        <f t="shared" si="0"/>
        <v>1.07</v>
      </c>
      <c r="B17" s="1587" t="s">
        <v>1451</v>
      </c>
      <c r="C17" s="221">
        <v>0</v>
      </c>
      <c r="D17" s="221">
        <v>0</v>
      </c>
      <c r="E17" s="80">
        <f t="shared" si="1"/>
        <v>0</v>
      </c>
      <c r="F17" s="221">
        <v>0</v>
      </c>
      <c r="G17" s="80">
        <f t="shared" si="2"/>
        <v>0</v>
      </c>
      <c r="H17" s="522">
        <f t="shared" si="3"/>
        <v>0</v>
      </c>
      <c r="I17" s="221">
        <v>0</v>
      </c>
      <c r="J17" s="221">
        <v>193308.12</v>
      </c>
      <c r="K17" s="889">
        <f t="shared" si="4"/>
        <v>-193308.12</v>
      </c>
      <c r="L17" s="1127"/>
      <c r="M17" s="1211"/>
      <c r="N17" s="1211"/>
    </row>
    <row r="18" spans="1:14">
      <c r="A18" s="1007">
        <f t="shared" si="0"/>
        <v>1.08</v>
      </c>
      <c r="B18" s="599" t="s">
        <v>1482</v>
      </c>
      <c r="C18" s="221">
        <v>0</v>
      </c>
      <c r="D18" s="221">
        <v>0</v>
      </c>
      <c r="E18" s="80">
        <f t="shared" si="1"/>
        <v>0</v>
      </c>
      <c r="F18" s="221">
        <v>0</v>
      </c>
      <c r="G18" s="80">
        <f t="shared" si="2"/>
        <v>0</v>
      </c>
      <c r="H18" s="522">
        <f t="shared" si="3"/>
        <v>0</v>
      </c>
      <c r="I18" s="221">
        <v>0</v>
      </c>
      <c r="J18" s="221">
        <v>0</v>
      </c>
      <c r="K18" s="889">
        <f t="shared" si="4"/>
        <v>0</v>
      </c>
      <c r="L18" s="1127"/>
      <c r="M18" s="1211"/>
      <c r="N18" s="1211"/>
    </row>
    <row r="19" spans="1:14">
      <c r="A19" s="1007">
        <f t="shared" si="0"/>
        <v>1.0900000000000001</v>
      </c>
      <c r="B19" s="599" t="s">
        <v>1483</v>
      </c>
      <c r="C19" s="221">
        <v>0</v>
      </c>
      <c r="D19" s="221">
        <v>0</v>
      </c>
      <c r="E19" s="80">
        <f t="shared" si="1"/>
        <v>0</v>
      </c>
      <c r="F19" s="221">
        <v>0</v>
      </c>
      <c r="G19" s="80">
        <f t="shared" si="2"/>
        <v>0</v>
      </c>
      <c r="H19" s="522">
        <f t="shared" si="3"/>
        <v>0</v>
      </c>
      <c r="I19" s="221">
        <v>0</v>
      </c>
      <c r="J19" s="221">
        <v>0</v>
      </c>
      <c r="K19" s="889">
        <f t="shared" si="4"/>
        <v>0</v>
      </c>
      <c r="L19" s="1127"/>
      <c r="M19" s="1211"/>
      <c r="N19" s="1211"/>
    </row>
    <row r="20" spans="1:14">
      <c r="A20" s="1007">
        <f t="shared" si="0"/>
        <v>1.1000000000000001</v>
      </c>
      <c r="B20" s="1587" t="s">
        <v>1452</v>
      </c>
      <c r="C20" s="221">
        <v>0</v>
      </c>
      <c r="D20" s="221">
        <v>0</v>
      </c>
      <c r="E20" s="80">
        <f t="shared" si="1"/>
        <v>0</v>
      </c>
      <c r="F20" s="221">
        <v>0</v>
      </c>
      <c r="G20" s="80">
        <f t="shared" si="2"/>
        <v>0</v>
      </c>
      <c r="H20" s="522">
        <f t="shared" si="3"/>
        <v>0</v>
      </c>
      <c r="I20" s="221">
        <v>0</v>
      </c>
      <c r="J20" s="221">
        <v>301.44</v>
      </c>
      <c r="K20" s="889">
        <f t="shared" si="4"/>
        <v>-301.44</v>
      </c>
      <c r="L20" s="1127"/>
      <c r="M20" s="1211"/>
      <c r="N20" s="1211"/>
    </row>
    <row r="21" spans="1:14">
      <c r="A21" s="1007">
        <f t="shared" si="0"/>
        <v>1.1100000000000001</v>
      </c>
      <c r="B21" s="1587" t="s">
        <v>1453</v>
      </c>
      <c r="C21" s="221">
        <v>0</v>
      </c>
      <c r="D21" s="221">
        <v>0</v>
      </c>
      <c r="E21" s="80">
        <f t="shared" si="1"/>
        <v>0</v>
      </c>
      <c r="F21" s="221">
        <v>0</v>
      </c>
      <c r="G21" s="80">
        <f t="shared" si="2"/>
        <v>0</v>
      </c>
      <c r="H21" s="522">
        <f t="shared" si="3"/>
        <v>0</v>
      </c>
      <c r="I21" s="221">
        <v>0</v>
      </c>
      <c r="J21" s="221">
        <v>0.24</v>
      </c>
      <c r="K21" s="889">
        <f t="shared" si="4"/>
        <v>-0.24</v>
      </c>
      <c r="L21" s="1127"/>
      <c r="M21" s="1211"/>
      <c r="N21" s="1211"/>
    </row>
    <row r="22" spans="1:14">
      <c r="A22" s="1007">
        <f t="shared" si="0"/>
        <v>1.1200000000000001</v>
      </c>
      <c r="B22" s="1587" t="s">
        <v>1454</v>
      </c>
      <c r="C22" s="221">
        <v>0</v>
      </c>
      <c r="D22" s="221">
        <v>0</v>
      </c>
      <c r="E22" s="80">
        <f t="shared" si="1"/>
        <v>0</v>
      </c>
      <c r="F22" s="221">
        <v>0</v>
      </c>
      <c r="G22" s="80">
        <f t="shared" si="2"/>
        <v>0</v>
      </c>
      <c r="H22" s="522">
        <f t="shared" si="3"/>
        <v>0</v>
      </c>
      <c r="I22" s="221">
        <v>0</v>
      </c>
      <c r="J22" s="221">
        <v>944.88</v>
      </c>
      <c r="K22" s="889">
        <f t="shared" si="4"/>
        <v>-944.88</v>
      </c>
      <c r="L22" s="1127"/>
      <c r="M22" s="1211"/>
      <c r="N22" s="1211"/>
    </row>
    <row r="23" spans="1:14">
      <c r="A23" s="1007">
        <f t="shared" si="0"/>
        <v>1.1300000000000001</v>
      </c>
      <c r="B23" s="1587" t="s">
        <v>1455</v>
      </c>
      <c r="C23" s="221">
        <v>0</v>
      </c>
      <c r="D23" s="221">
        <v>0</v>
      </c>
      <c r="E23" s="80">
        <f t="shared" si="1"/>
        <v>0</v>
      </c>
      <c r="F23" s="221">
        <v>0</v>
      </c>
      <c r="G23" s="80">
        <f t="shared" si="2"/>
        <v>0</v>
      </c>
      <c r="H23" s="522">
        <f t="shared" si="3"/>
        <v>0</v>
      </c>
      <c r="I23" s="221">
        <v>196089.71</v>
      </c>
      <c r="J23" s="221">
        <v>181278.84</v>
      </c>
      <c r="K23" s="889">
        <f t="shared" si="4"/>
        <v>-377368.55</v>
      </c>
      <c r="L23" s="1127"/>
      <c r="M23" s="1211"/>
      <c r="N23" s="1211"/>
    </row>
    <row r="24" spans="1:14">
      <c r="A24" s="1007">
        <f t="shared" si="0"/>
        <v>1.1400000000000001</v>
      </c>
      <c r="B24" s="1587" t="s">
        <v>1456</v>
      </c>
      <c r="C24" s="221">
        <v>0</v>
      </c>
      <c r="D24" s="221">
        <v>0</v>
      </c>
      <c r="E24" s="80">
        <f t="shared" si="1"/>
        <v>0</v>
      </c>
      <c r="F24" s="221">
        <v>0</v>
      </c>
      <c r="G24" s="80">
        <f t="shared" si="2"/>
        <v>0</v>
      </c>
      <c r="H24" s="522">
        <f t="shared" si="3"/>
        <v>0</v>
      </c>
      <c r="I24" s="221">
        <v>21.04</v>
      </c>
      <c r="J24" s="221">
        <v>0</v>
      </c>
      <c r="K24" s="889">
        <f t="shared" si="4"/>
        <v>-21.04</v>
      </c>
      <c r="L24" s="1127"/>
      <c r="M24" s="1211"/>
      <c r="N24" s="1211"/>
    </row>
    <row r="25" spans="1:14">
      <c r="A25" s="1007">
        <f t="shared" si="0"/>
        <v>1.1500000000000001</v>
      </c>
      <c r="B25" s="1587" t="s">
        <v>1457</v>
      </c>
      <c r="C25" s="221">
        <v>0</v>
      </c>
      <c r="D25" s="221">
        <v>0</v>
      </c>
      <c r="E25" s="80">
        <f t="shared" si="1"/>
        <v>0</v>
      </c>
      <c r="F25" s="221">
        <v>0</v>
      </c>
      <c r="G25" s="80">
        <f t="shared" si="2"/>
        <v>0</v>
      </c>
      <c r="H25" s="522">
        <f t="shared" si="3"/>
        <v>0</v>
      </c>
      <c r="I25" s="221">
        <v>876.14</v>
      </c>
      <c r="J25" s="221">
        <v>-34.799999999999997</v>
      </c>
      <c r="K25" s="889">
        <f t="shared" si="4"/>
        <v>-841.34</v>
      </c>
      <c r="L25" s="1127"/>
      <c r="M25" s="1211"/>
      <c r="N25" s="1211"/>
    </row>
    <row r="26" spans="1:14">
      <c r="A26" s="1007">
        <f t="shared" si="0"/>
        <v>1.1600000000000001</v>
      </c>
      <c r="B26" s="1587" t="s">
        <v>1458</v>
      </c>
      <c r="C26" s="221">
        <v>0</v>
      </c>
      <c r="D26" s="221">
        <v>0</v>
      </c>
      <c r="E26" s="80">
        <f t="shared" si="1"/>
        <v>0</v>
      </c>
      <c r="F26" s="221">
        <v>0</v>
      </c>
      <c r="G26" s="80">
        <f t="shared" si="2"/>
        <v>0</v>
      </c>
      <c r="H26" s="522">
        <f t="shared" si="3"/>
        <v>0</v>
      </c>
      <c r="I26" s="221">
        <v>0</v>
      </c>
      <c r="J26" s="221">
        <v>0</v>
      </c>
      <c r="K26" s="889">
        <f>+G26-I26-J26</f>
        <v>0</v>
      </c>
      <c r="L26" s="1127"/>
      <c r="M26" s="1211"/>
      <c r="N26" s="1211"/>
    </row>
    <row r="27" spans="1:14">
      <c r="A27" s="1007">
        <f t="shared" si="0"/>
        <v>1.1700000000000002</v>
      </c>
      <c r="B27" s="1587" t="s">
        <v>1459</v>
      </c>
      <c r="C27" s="221">
        <v>0</v>
      </c>
      <c r="D27" s="221">
        <v>0</v>
      </c>
      <c r="E27" s="80">
        <f t="shared" si="1"/>
        <v>0</v>
      </c>
      <c r="F27" s="221">
        <v>0</v>
      </c>
      <c r="G27" s="80">
        <f t="shared" si="2"/>
        <v>0</v>
      </c>
      <c r="H27" s="522">
        <f t="shared" si="3"/>
        <v>0</v>
      </c>
      <c r="I27" s="221">
        <v>974.79</v>
      </c>
      <c r="J27" s="221">
        <v>-0.84</v>
      </c>
      <c r="K27" s="889">
        <f t="shared" si="4"/>
        <v>-973.94999999999993</v>
      </c>
      <c r="L27" s="1127"/>
      <c r="M27" s="1211"/>
      <c r="N27" s="1211"/>
    </row>
    <row r="28" spans="1:14">
      <c r="A28" s="1007">
        <f t="shared" si="0"/>
        <v>1.1800000000000002</v>
      </c>
      <c r="B28" s="1587" t="s">
        <v>1460</v>
      </c>
      <c r="C28" s="221">
        <v>0</v>
      </c>
      <c r="D28" s="221">
        <v>0</v>
      </c>
      <c r="E28" s="80">
        <f t="shared" si="1"/>
        <v>0</v>
      </c>
      <c r="F28" s="221">
        <v>0</v>
      </c>
      <c r="G28" s="80">
        <f t="shared" si="2"/>
        <v>0</v>
      </c>
      <c r="H28" s="522">
        <f t="shared" si="3"/>
        <v>0</v>
      </c>
      <c r="I28" s="221">
        <v>640.6</v>
      </c>
      <c r="J28" s="221">
        <v>822.12</v>
      </c>
      <c r="K28" s="889">
        <f t="shared" si="4"/>
        <v>-1462.72</v>
      </c>
      <c r="L28" s="1127"/>
      <c r="M28" s="1211"/>
      <c r="N28" s="1211"/>
    </row>
    <row r="29" spans="1:14">
      <c r="A29" s="1007">
        <f t="shared" si="0"/>
        <v>1.1900000000000002</v>
      </c>
      <c r="B29" s="1587" t="s">
        <v>1461</v>
      </c>
      <c r="C29" s="221">
        <v>0</v>
      </c>
      <c r="D29" s="221">
        <v>0</v>
      </c>
      <c r="E29" s="80">
        <f t="shared" si="1"/>
        <v>0</v>
      </c>
      <c r="F29" s="221">
        <v>0</v>
      </c>
      <c r="G29" s="80">
        <f t="shared" si="2"/>
        <v>0</v>
      </c>
      <c r="H29" s="522">
        <f t="shared" si="3"/>
        <v>0</v>
      </c>
      <c r="I29" s="221">
        <v>82091.199999999997</v>
      </c>
      <c r="J29" s="221">
        <v>110779.56</v>
      </c>
      <c r="K29" s="889">
        <f>+G29-I29-J29</f>
        <v>-192870.76</v>
      </c>
      <c r="L29" s="1127"/>
      <c r="M29" s="1211"/>
      <c r="N29" s="1211"/>
    </row>
    <row r="30" spans="1:14">
      <c r="A30" s="1007">
        <f t="shared" si="0"/>
        <v>1.2000000000000002</v>
      </c>
      <c r="B30" s="1587" t="s">
        <v>1462</v>
      </c>
      <c r="C30" s="221">
        <v>0</v>
      </c>
      <c r="D30" s="221">
        <v>0</v>
      </c>
      <c r="E30" s="80">
        <f t="shared" si="1"/>
        <v>0</v>
      </c>
      <c r="F30" s="221">
        <v>0</v>
      </c>
      <c r="G30" s="80">
        <f t="shared" si="2"/>
        <v>0</v>
      </c>
      <c r="H30" s="522">
        <f t="shared" si="3"/>
        <v>0</v>
      </c>
      <c r="I30" s="221">
        <v>387539.01</v>
      </c>
      <c r="J30" s="221">
        <v>515676.72</v>
      </c>
      <c r="K30" s="889">
        <f t="shared" si="4"/>
        <v>-903215.73</v>
      </c>
      <c r="L30" s="1127"/>
      <c r="M30" s="1211"/>
      <c r="N30" s="1211"/>
    </row>
    <row r="31" spans="1:14">
      <c r="A31" s="1007">
        <f t="shared" si="0"/>
        <v>1.2100000000000002</v>
      </c>
      <c r="B31" s="599" t="s">
        <v>1484</v>
      </c>
      <c r="C31" s="221">
        <v>0</v>
      </c>
      <c r="D31" s="221">
        <v>0</v>
      </c>
      <c r="E31" s="80">
        <f t="shared" si="1"/>
        <v>0</v>
      </c>
      <c r="F31" s="221">
        <v>0</v>
      </c>
      <c r="G31" s="80">
        <f t="shared" si="2"/>
        <v>0</v>
      </c>
      <c r="H31" s="522">
        <f t="shared" si="3"/>
        <v>0</v>
      </c>
      <c r="I31" s="221">
        <v>0</v>
      </c>
      <c r="J31" s="221">
        <v>0</v>
      </c>
      <c r="K31" s="889">
        <f>+G31-I31-J31</f>
        <v>0</v>
      </c>
      <c r="L31" s="1127"/>
      <c r="M31" s="1211"/>
      <c r="N31" s="1211"/>
    </row>
    <row r="32" spans="1:14">
      <c r="A32" s="1007">
        <f t="shared" si="0"/>
        <v>1.2200000000000002</v>
      </c>
      <c r="B32" s="1587" t="s">
        <v>1463</v>
      </c>
      <c r="C32" s="221">
        <v>0</v>
      </c>
      <c r="D32" s="221">
        <v>0</v>
      </c>
      <c r="E32" s="80">
        <f t="shared" si="1"/>
        <v>0</v>
      </c>
      <c r="F32" s="221">
        <v>0</v>
      </c>
      <c r="G32" s="80">
        <f t="shared" si="2"/>
        <v>0</v>
      </c>
      <c r="H32" s="522">
        <f t="shared" si="3"/>
        <v>0</v>
      </c>
      <c r="I32" s="221">
        <v>212.06</v>
      </c>
      <c r="J32" s="221">
        <v>0</v>
      </c>
      <c r="K32" s="889">
        <f>+G32-I32-J32</f>
        <v>-212.06</v>
      </c>
      <c r="L32" s="1127"/>
      <c r="M32" s="1211"/>
      <c r="N32" s="1211"/>
    </row>
    <row r="33" spans="1:14">
      <c r="A33" s="1007">
        <f t="shared" si="0"/>
        <v>1.2300000000000002</v>
      </c>
      <c r="B33" s="599" t="s">
        <v>1485</v>
      </c>
      <c r="C33" s="221">
        <v>0</v>
      </c>
      <c r="D33" s="221">
        <v>0</v>
      </c>
      <c r="E33" s="80">
        <f t="shared" si="1"/>
        <v>0</v>
      </c>
      <c r="F33" s="221">
        <v>0</v>
      </c>
      <c r="G33" s="80">
        <f t="shared" si="2"/>
        <v>0</v>
      </c>
      <c r="H33" s="522">
        <f t="shared" si="3"/>
        <v>0</v>
      </c>
      <c r="I33" s="221">
        <v>0</v>
      </c>
      <c r="J33" s="221">
        <v>0</v>
      </c>
      <c r="K33" s="889">
        <f t="shared" si="4"/>
        <v>0</v>
      </c>
      <c r="L33" s="1127"/>
      <c r="M33" s="1211"/>
      <c r="N33" s="1211"/>
    </row>
    <row r="34" spans="1:14">
      <c r="A34" s="1007">
        <f t="shared" si="0"/>
        <v>1.2400000000000002</v>
      </c>
      <c r="B34" s="1587" t="s">
        <v>1464</v>
      </c>
      <c r="C34" s="221">
        <v>0</v>
      </c>
      <c r="D34" s="221">
        <v>0</v>
      </c>
      <c r="E34" s="80">
        <f t="shared" si="1"/>
        <v>0</v>
      </c>
      <c r="F34" s="221">
        <v>0</v>
      </c>
      <c r="G34" s="80">
        <f t="shared" si="2"/>
        <v>0</v>
      </c>
      <c r="H34" s="522">
        <f t="shared" si="3"/>
        <v>0</v>
      </c>
      <c r="I34" s="221">
        <v>282.61</v>
      </c>
      <c r="J34" s="221">
        <v>-63.36</v>
      </c>
      <c r="K34" s="889">
        <f>+G34-I34-J34</f>
        <v>-219.25</v>
      </c>
      <c r="L34" s="1127"/>
      <c r="M34" s="1211"/>
      <c r="N34" s="1211"/>
    </row>
    <row r="35" spans="1:14">
      <c r="A35" s="1007">
        <f t="shared" si="0"/>
        <v>1.2500000000000002</v>
      </c>
      <c r="B35" s="599" t="s">
        <v>1486</v>
      </c>
      <c r="C35" s="221">
        <v>0</v>
      </c>
      <c r="D35" s="221">
        <v>0</v>
      </c>
      <c r="E35" s="80">
        <f t="shared" si="1"/>
        <v>0</v>
      </c>
      <c r="F35" s="221">
        <v>0</v>
      </c>
      <c r="G35" s="80">
        <f t="shared" si="2"/>
        <v>0</v>
      </c>
      <c r="H35" s="522">
        <f t="shared" si="3"/>
        <v>0</v>
      </c>
      <c r="I35" s="221">
        <v>0</v>
      </c>
      <c r="J35" s="221">
        <v>0</v>
      </c>
      <c r="K35" s="889">
        <f>+G35-I35-J35</f>
        <v>0</v>
      </c>
      <c r="L35" s="1127"/>
      <c r="M35" s="1211"/>
      <c r="N35" s="1211"/>
    </row>
    <row r="36" spans="1:14">
      <c r="A36" s="1007">
        <f t="shared" si="0"/>
        <v>1.2600000000000002</v>
      </c>
      <c r="B36" s="599" t="s">
        <v>1487</v>
      </c>
      <c r="C36" s="221">
        <v>0</v>
      </c>
      <c r="D36" s="221">
        <v>0</v>
      </c>
      <c r="E36" s="80">
        <f t="shared" si="1"/>
        <v>0</v>
      </c>
      <c r="F36" s="221">
        <v>0</v>
      </c>
      <c r="G36" s="80">
        <f t="shared" si="2"/>
        <v>0</v>
      </c>
      <c r="H36" s="522">
        <f t="shared" si="3"/>
        <v>0</v>
      </c>
      <c r="I36" s="221">
        <v>0</v>
      </c>
      <c r="J36" s="221">
        <v>0</v>
      </c>
      <c r="K36" s="889">
        <f t="shared" si="4"/>
        <v>0</v>
      </c>
      <c r="L36" s="1127"/>
      <c r="M36" s="1211"/>
      <c r="N36" s="1211"/>
    </row>
    <row r="37" spans="1:14">
      <c r="A37" s="1007">
        <f t="shared" si="0"/>
        <v>1.2700000000000002</v>
      </c>
      <c r="B37" s="1587" t="s">
        <v>1465</v>
      </c>
      <c r="C37" s="221">
        <v>0</v>
      </c>
      <c r="D37" s="221">
        <v>0</v>
      </c>
      <c r="E37" s="80">
        <f t="shared" si="1"/>
        <v>0</v>
      </c>
      <c r="F37" s="221">
        <v>0</v>
      </c>
      <c r="G37" s="80">
        <f t="shared" si="2"/>
        <v>0</v>
      </c>
      <c r="H37" s="522">
        <f t="shared" si="3"/>
        <v>0</v>
      </c>
      <c r="I37" s="221">
        <v>0</v>
      </c>
      <c r="J37" s="221">
        <v>-0.6</v>
      </c>
      <c r="K37" s="889">
        <f t="shared" si="4"/>
        <v>0.6</v>
      </c>
      <c r="L37" s="1127"/>
      <c r="M37" s="1211"/>
      <c r="N37" s="1211"/>
    </row>
    <row r="38" spans="1:14">
      <c r="A38" s="1007">
        <f t="shared" si="0"/>
        <v>1.2800000000000002</v>
      </c>
      <c r="B38" s="1587" t="s">
        <v>1466</v>
      </c>
      <c r="C38" s="221">
        <v>0</v>
      </c>
      <c r="D38" s="221">
        <v>0</v>
      </c>
      <c r="E38" s="80">
        <f t="shared" si="1"/>
        <v>0</v>
      </c>
      <c r="F38" s="221">
        <v>0</v>
      </c>
      <c r="G38" s="80">
        <f t="shared" si="2"/>
        <v>0</v>
      </c>
      <c r="H38" s="522">
        <f t="shared" si="3"/>
        <v>0</v>
      </c>
      <c r="I38" s="221">
        <v>0</v>
      </c>
      <c r="J38" s="221">
        <v>9.48</v>
      </c>
      <c r="K38" s="889">
        <f t="shared" si="4"/>
        <v>-9.48</v>
      </c>
      <c r="L38" s="1127"/>
      <c r="M38" s="1211"/>
      <c r="N38" s="1211"/>
    </row>
    <row r="39" spans="1:14">
      <c r="A39" s="1007">
        <f t="shared" si="0"/>
        <v>1.2900000000000003</v>
      </c>
      <c r="B39" s="599" t="s">
        <v>1488</v>
      </c>
      <c r="C39" s="221">
        <v>0</v>
      </c>
      <c r="D39" s="221">
        <v>0</v>
      </c>
      <c r="E39" s="80">
        <f t="shared" si="1"/>
        <v>0</v>
      </c>
      <c r="F39" s="221">
        <v>0</v>
      </c>
      <c r="G39" s="80">
        <f t="shared" si="2"/>
        <v>0</v>
      </c>
      <c r="H39" s="522">
        <f t="shared" si="3"/>
        <v>0</v>
      </c>
      <c r="I39" s="221">
        <v>0</v>
      </c>
      <c r="J39" s="221">
        <v>0</v>
      </c>
      <c r="K39" s="889">
        <f>+G39-I39-J39</f>
        <v>0</v>
      </c>
      <c r="L39" s="1127"/>
      <c r="M39" s="1211"/>
      <c r="N39" s="1211"/>
    </row>
    <row r="40" spans="1:14">
      <c r="A40" s="1007">
        <f t="shared" si="0"/>
        <v>1.3000000000000003</v>
      </c>
      <c r="B40" s="599" t="s">
        <v>1489</v>
      </c>
      <c r="C40" s="221">
        <v>0</v>
      </c>
      <c r="D40" s="221">
        <v>0</v>
      </c>
      <c r="E40" s="80">
        <f t="shared" si="1"/>
        <v>0</v>
      </c>
      <c r="F40" s="221">
        <v>0</v>
      </c>
      <c r="G40" s="80">
        <f t="shared" si="2"/>
        <v>0</v>
      </c>
      <c r="H40" s="522">
        <f t="shared" si="3"/>
        <v>0</v>
      </c>
      <c r="I40" s="221">
        <v>0</v>
      </c>
      <c r="J40" s="221">
        <v>0</v>
      </c>
      <c r="K40" s="889">
        <f t="shared" si="4"/>
        <v>0</v>
      </c>
      <c r="L40" s="1127"/>
      <c r="M40" s="1211"/>
      <c r="N40" s="1211"/>
    </row>
    <row r="41" spans="1:14">
      <c r="A41" s="1007">
        <f t="shared" si="0"/>
        <v>1.3100000000000003</v>
      </c>
      <c r="B41" s="1587" t="s">
        <v>1467</v>
      </c>
      <c r="C41" s="221">
        <v>0</v>
      </c>
      <c r="D41" s="221">
        <v>0</v>
      </c>
      <c r="E41" s="80">
        <f t="shared" si="1"/>
        <v>0</v>
      </c>
      <c r="F41" s="221">
        <v>0</v>
      </c>
      <c r="G41" s="80">
        <f t="shared" si="2"/>
        <v>0</v>
      </c>
      <c r="H41" s="522">
        <f t="shared" si="3"/>
        <v>0</v>
      </c>
      <c r="I41" s="221">
        <v>28192.46</v>
      </c>
      <c r="J41" s="221">
        <v>310347.71999999997</v>
      </c>
      <c r="K41" s="889">
        <f t="shared" si="4"/>
        <v>-338540.18</v>
      </c>
      <c r="L41" s="1261"/>
      <c r="M41" s="1211"/>
      <c r="N41" s="1211"/>
    </row>
    <row r="42" spans="1:14">
      <c r="A42" s="1007">
        <f t="shared" si="0"/>
        <v>1.3200000000000003</v>
      </c>
      <c r="B42" s="1587" t="s">
        <v>1468</v>
      </c>
      <c r="C42" s="221">
        <v>0</v>
      </c>
      <c r="D42" s="221">
        <v>0</v>
      </c>
      <c r="E42" s="80">
        <f t="shared" si="1"/>
        <v>0</v>
      </c>
      <c r="F42" s="221">
        <v>0</v>
      </c>
      <c r="G42" s="80">
        <f t="shared" si="2"/>
        <v>0</v>
      </c>
      <c r="H42" s="522">
        <f t="shared" si="3"/>
        <v>0</v>
      </c>
      <c r="I42" s="221">
        <v>4056.4</v>
      </c>
      <c r="J42" s="221">
        <v>48022.559999999998</v>
      </c>
      <c r="K42" s="889">
        <f t="shared" si="4"/>
        <v>-52078.96</v>
      </c>
      <c r="L42" s="1127"/>
      <c r="M42" s="1211"/>
      <c r="N42" s="1211"/>
    </row>
    <row r="43" spans="1:14">
      <c r="A43" s="1007">
        <f t="shared" si="0"/>
        <v>1.3300000000000003</v>
      </c>
      <c r="B43" s="1587" t="s">
        <v>1469</v>
      </c>
      <c r="C43" s="221">
        <v>0</v>
      </c>
      <c r="D43" s="221">
        <v>0</v>
      </c>
      <c r="E43" s="80">
        <f t="shared" si="1"/>
        <v>0</v>
      </c>
      <c r="F43" s="221">
        <v>0</v>
      </c>
      <c r="G43" s="80">
        <f t="shared" si="2"/>
        <v>0</v>
      </c>
      <c r="H43" s="522">
        <f t="shared" si="3"/>
        <v>0</v>
      </c>
      <c r="I43" s="221">
        <v>91467.31</v>
      </c>
      <c r="J43" s="221">
        <v>1513945.8</v>
      </c>
      <c r="K43" s="889">
        <f t="shared" si="4"/>
        <v>-1605413.11</v>
      </c>
      <c r="L43" s="1127"/>
      <c r="M43" s="1211"/>
      <c r="N43" s="1211"/>
    </row>
    <row r="44" spans="1:14">
      <c r="A44" s="1007">
        <f t="shared" si="0"/>
        <v>1.3400000000000003</v>
      </c>
      <c r="B44" s="1587" t="s">
        <v>1470</v>
      </c>
      <c r="C44" s="221">
        <v>0</v>
      </c>
      <c r="D44" s="221">
        <v>0</v>
      </c>
      <c r="E44" s="80">
        <f t="shared" si="1"/>
        <v>0</v>
      </c>
      <c r="F44" s="221">
        <v>0</v>
      </c>
      <c r="G44" s="80">
        <f t="shared" si="2"/>
        <v>0</v>
      </c>
      <c r="H44" s="522">
        <f t="shared" si="3"/>
        <v>0</v>
      </c>
      <c r="I44" s="221">
        <v>2.5499999999999998</v>
      </c>
      <c r="J44" s="221">
        <v>0</v>
      </c>
      <c r="K44" s="889">
        <f t="shared" si="4"/>
        <v>-2.5499999999999998</v>
      </c>
      <c r="L44" s="1127"/>
      <c r="M44" s="1211"/>
      <c r="N44" s="1211"/>
    </row>
    <row r="45" spans="1:14" ht="14.25" customHeight="1">
      <c r="A45" s="1007">
        <f t="shared" si="0"/>
        <v>1.3500000000000003</v>
      </c>
      <c r="B45" s="1587" t="s">
        <v>1471</v>
      </c>
      <c r="C45" s="221">
        <v>0</v>
      </c>
      <c r="D45" s="221">
        <v>0</v>
      </c>
      <c r="E45" s="80">
        <f t="shared" si="1"/>
        <v>0</v>
      </c>
      <c r="F45" s="221">
        <v>0</v>
      </c>
      <c r="G45" s="80">
        <f t="shared" si="2"/>
        <v>0</v>
      </c>
      <c r="H45" s="522">
        <f t="shared" si="3"/>
        <v>0</v>
      </c>
      <c r="I45" s="221">
        <v>0.6</v>
      </c>
      <c r="J45" s="221">
        <v>18.72</v>
      </c>
      <c r="K45" s="889">
        <f t="shared" si="4"/>
        <v>-19.32</v>
      </c>
      <c r="L45" s="1127"/>
      <c r="M45" s="1211"/>
      <c r="N45" s="1211"/>
    </row>
    <row r="46" spans="1:14" ht="14.25" customHeight="1">
      <c r="A46" s="1007">
        <f t="shared" si="0"/>
        <v>1.3600000000000003</v>
      </c>
      <c r="B46" s="1587" t="s">
        <v>1472</v>
      </c>
      <c r="C46" s="221">
        <v>0</v>
      </c>
      <c r="D46" s="221">
        <v>0</v>
      </c>
      <c r="E46" s="80">
        <f t="shared" si="1"/>
        <v>0</v>
      </c>
      <c r="F46" s="221">
        <v>0</v>
      </c>
      <c r="G46" s="80">
        <f t="shared" si="2"/>
        <v>0</v>
      </c>
      <c r="H46" s="522">
        <f t="shared" si="3"/>
        <v>0</v>
      </c>
      <c r="I46" s="221">
        <v>20198.759999999998</v>
      </c>
      <c r="J46" s="221">
        <v>245911.92</v>
      </c>
      <c r="K46" s="889">
        <f t="shared" si="4"/>
        <v>-266110.68</v>
      </c>
      <c r="L46" s="1127"/>
      <c r="M46" s="1211"/>
      <c r="N46" s="1211"/>
    </row>
    <row r="47" spans="1:14" ht="14.25" customHeight="1">
      <c r="A47" s="1007">
        <f t="shared" si="0"/>
        <v>1.3700000000000003</v>
      </c>
      <c r="B47" s="1587" t="s">
        <v>1473</v>
      </c>
      <c r="C47" s="221">
        <v>0</v>
      </c>
      <c r="D47" s="221">
        <v>0</v>
      </c>
      <c r="E47" s="80">
        <f t="shared" si="1"/>
        <v>0</v>
      </c>
      <c r="F47" s="221">
        <v>0</v>
      </c>
      <c r="G47" s="80">
        <f t="shared" si="2"/>
        <v>0</v>
      </c>
      <c r="H47" s="522">
        <f t="shared" si="3"/>
        <v>0</v>
      </c>
      <c r="I47" s="221">
        <v>4345.05</v>
      </c>
      <c r="J47" s="221">
        <v>20.399999999999999</v>
      </c>
      <c r="K47" s="889">
        <f t="shared" si="4"/>
        <v>-4365.45</v>
      </c>
      <c r="L47" s="1127"/>
      <c r="M47" s="1211"/>
      <c r="N47" s="1211"/>
    </row>
    <row r="48" spans="1:14" ht="14.25" customHeight="1">
      <c r="A48" s="1007">
        <f t="shared" si="0"/>
        <v>1.3800000000000003</v>
      </c>
      <c r="B48" s="1587" t="s">
        <v>1474</v>
      </c>
      <c r="C48" s="221">
        <v>0</v>
      </c>
      <c r="D48" s="221">
        <v>0</v>
      </c>
      <c r="E48" s="80">
        <f t="shared" si="1"/>
        <v>0</v>
      </c>
      <c r="F48" s="221">
        <v>0</v>
      </c>
      <c r="G48" s="80">
        <f t="shared" si="2"/>
        <v>0</v>
      </c>
      <c r="H48" s="522">
        <f t="shared" si="3"/>
        <v>0</v>
      </c>
      <c r="I48" s="221">
        <v>354.36</v>
      </c>
      <c r="J48" s="221">
        <v>0</v>
      </c>
      <c r="K48" s="889">
        <f t="shared" si="4"/>
        <v>-354.36</v>
      </c>
      <c r="L48" s="1127"/>
      <c r="M48" s="1211"/>
      <c r="N48" s="1211"/>
    </row>
    <row r="49" spans="1:14">
      <c r="A49" s="1007">
        <f t="shared" si="0"/>
        <v>1.3900000000000003</v>
      </c>
      <c r="B49" s="1587" t="s">
        <v>1475</v>
      </c>
      <c r="C49" s="221">
        <v>0</v>
      </c>
      <c r="D49" s="221">
        <v>0</v>
      </c>
      <c r="E49" s="80">
        <f t="shared" si="1"/>
        <v>0</v>
      </c>
      <c r="F49" s="221">
        <v>0</v>
      </c>
      <c r="G49" s="80">
        <f t="shared" si="2"/>
        <v>0</v>
      </c>
      <c r="H49" s="522">
        <f t="shared" si="3"/>
        <v>0</v>
      </c>
      <c r="I49" s="221">
        <v>1157.72</v>
      </c>
      <c r="J49" s="221">
        <v>17982.240000000002</v>
      </c>
      <c r="K49" s="889">
        <f t="shared" si="4"/>
        <v>-19139.960000000003</v>
      </c>
      <c r="L49" s="1127"/>
      <c r="N49" s="1211"/>
    </row>
    <row r="50" spans="1:14">
      <c r="A50" s="1007">
        <f t="shared" si="0"/>
        <v>1.4000000000000004</v>
      </c>
      <c r="B50" s="1587" t="s">
        <v>1476</v>
      </c>
      <c r="C50" s="221">
        <v>0</v>
      </c>
      <c r="D50" s="221">
        <v>0</v>
      </c>
      <c r="E50" s="80">
        <f t="shared" si="1"/>
        <v>0</v>
      </c>
      <c r="F50" s="221">
        <v>0</v>
      </c>
      <c r="G50" s="80">
        <f t="shared" si="2"/>
        <v>0</v>
      </c>
      <c r="H50" s="522">
        <f t="shared" si="3"/>
        <v>0</v>
      </c>
      <c r="I50" s="221">
        <v>23.87</v>
      </c>
      <c r="J50" s="221">
        <v>742.8</v>
      </c>
      <c r="K50" s="889">
        <f t="shared" si="4"/>
        <v>-766.67</v>
      </c>
      <c r="N50" s="1211"/>
    </row>
    <row r="51" spans="1:14">
      <c r="A51" s="1007">
        <f t="shared" si="0"/>
        <v>1.4100000000000004</v>
      </c>
      <c r="B51" s="1587" t="s">
        <v>1477</v>
      </c>
      <c r="C51" s="221">
        <v>0</v>
      </c>
      <c r="D51" s="221">
        <v>0</v>
      </c>
      <c r="E51" s="80">
        <f t="shared" si="1"/>
        <v>0</v>
      </c>
      <c r="F51" s="221">
        <v>0</v>
      </c>
      <c r="G51" s="80">
        <f t="shared" si="2"/>
        <v>0</v>
      </c>
      <c r="H51" s="522">
        <f t="shared" si="3"/>
        <v>0</v>
      </c>
      <c r="I51" s="221">
        <v>13.71</v>
      </c>
      <c r="J51" s="221">
        <v>7.68</v>
      </c>
      <c r="K51" s="889">
        <f t="shared" si="4"/>
        <v>-21.39</v>
      </c>
      <c r="N51" s="1211"/>
    </row>
    <row r="52" spans="1:14">
      <c r="A52" s="1428">
        <f t="shared" si="0"/>
        <v>1.4200000000000004</v>
      </c>
      <c r="B52" s="1394" t="s">
        <v>969</v>
      </c>
      <c r="C52" s="221">
        <v>0</v>
      </c>
      <c r="D52" s="221">
        <v>0</v>
      </c>
      <c r="E52" s="80">
        <f t="shared" si="1"/>
        <v>0</v>
      </c>
      <c r="F52" s="221">
        <v>0</v>
      </c>
      <c r="G52" s="80">
        <f t="shared" si="2"/>
        <v>0</v>
      </c>
      <c r="H52" s="522">
        <f t="shared" si="3"/>
        <v>0</v>
      </c>
      <c r="I52" s="221">
        <v>0</v>
      </c>
      <c r="J52" s="221">
        <v>0</v>
      </c>
      <c r="K52" s="1427">
        <f t="shared" si="4"/>
        <v>0</v>
      </c>
      <c r="N52" s="1211"/>
    </row>
    <row r="53" spans="1:14">
      <c r="A53" s="1428" t="s">
        <v>960</v>
      </c>
      <c r="B53" s="1394" t="s">
        <v>969</v>
      </c>
      <c r="C53" s="221">
        <v>0</v>
      </c>
      <c r="D53" s="221">
        <v>0</v>
      </c>
      <c r="E53" s="80">
        <f t="shared" si="1"/>
        <v>0</v>
      </c>
      <c r="F53" s="221">
        <v>0</v>
      </c>
      <c r="G53" s="80">
        <f t="shared" si="2"/>
        <v>0</v>
      </c>
      <c r="H53" s="522">
        <f t="shared" si="3"/>
        <v>0</v>
      </c>
      <c r="I53" s="221">
        <v>0</v>
      </c>
      <c r="J53" s="221">
        <v>0</v>
      </c>
      <c r="K53" s="1427">
        <f t="shared" si="4"/>
        <v>0</v>
      </c>
      <c r="N53" s="1211"/>
    </row>
    <row r="54" spans="1:14">
      <c r="A54" s="1428" t="s">
        <v>964</v>
      </c>
      <c r="B54" s="1394" t="s">
        <v>969</v>
      </c>
      <c r="C54" s="221">
        <v>0</v>
      </c>
      <c r="D54" s="221">
        <v>0</v>
      </c>
      <c r="E54" s="80">
        <f t="shared" si="1"/>
        <v>0</v>
      </c>
      <c r="F54" s="221">
        <v>0</v>
      </c>
      <c r="G54" s="80">
        <f t="shared" si="2"/>
        <v>0</v>
      </c>
      <c r="H54" s="522">
        <f t="shared" si="3"/>
        <v>0</v>
      </c>
      <c r="I54" s="221">
        <v>0</v>
      </c>
      <c r="J54" s="221">
        <v>0</v>
      </c>
      <c r="K54" s="1427">
        <f t="shared" si="4"/>
        <v>0</v>
      </c>
      <c r="N54" s="1211"/>
    </row>
    <row r="55" spans="1:14" ht="13.8" thickBot="1">
      <c r="A55" s="1006">
        <f>+A10+1</f>
        <v>2</v>
      </c>
      <c r="B55" s="873" t="str">
        <f>+"Total  Sum (Ln "&amp;A10&amp;" Subparts"&amp;")"</f>
        <v>Total  Sum (Ln 1 Subparts)</v>
      </c>
      <c r="C55" s="890">
        <f t="shared" ref="C55:K55" si="5">SUM(C11:C54)</f>
        <v>0</v>
      </c>
      <c r="D55" s="890">
        <f t="shared" si="5"/>
        <v>0</v>
      </c>
      <c r="E55" s="890">
        <f t="shared" si="5"/>
        <v>0</v>
      </c>
      <c r="F55" s="890">
        <f t="shared" si="5"/>
        <v>0</v>
      </c>
      <c r="G55" s="890">
        <f t="shared" si="5"/>
        <v>0</v>
      </c>
      <c r="H55" s="890">
        <f t="shared" si="5"/>
        <v>0</v>
      </c>
      <c r="I55" s="890">
        <f t="shared" si="5"/>
        <v>825373.52000000014</v>
      </c>
      <c r="J55" s="890">
        <f t="shared" si="5"/>
        <v>3248193.72</v>
      </c>
      <c r="K55" s="890">
        <f t="shared" si="5"/>
        <v>-4073567.24</v>
      </c>
    </row>
    <row r="56" spans="1:14" ht="13.8" thickTop="1">
      <c r="A56" s="1006">
        <f t="shared" ref="A56:A77" si="6">+A55+1</f>
        <v>3</v>
      </c>
      <c r="B56" s="873"/>
      <c r="C56" s="891"/>
      <c r="D56" s="891"/>
      <c r="E56" s="891"/>
      <c r="F56" s="891"/>
      <c r="G56" s="891"/>
      <c r="H56" s="891"/>
      <c r="I56" s="891"/>
      <c r="J56" s="891"/>
      <c r="K56" s="891"/>
      <c r="L56" s="910"/>
    </row>
    <row r="57" spans="1:14">
      <c r="A57" s="1006">
        <f t="shared" si="6"/>
        <v>4</v>
      </c>
      <c r="B57" s="873" t="s">
        <v>598</v>
      </c>
      <c r="C57" s="873"/>
      <c r="D57" s="873"/>
      <c r="E57" s="874"/>
      <c r="F57" s="874"/>
      <c r="G57" s="874"/>
      <c r="I57" s="874"/>
      <c r="J57" s="874"/>
      <c r="K57" s="874"/>
      <c r="L57" s="910"/>
    </row>
    <row r="58" spans="1:14">
      <c r="A58" s="1006">
        <f t="shared" si="6"/>
        <v>5</v>
      </c>
      <c r="B58" s="875" t="s">
        <v>696</v>
      </c>
      <c r="C58" s="889">
        <f t="shared" ref="C58:K58" si="7">+SUM(C24:C27)</f>
        <v>0</v>
      </c>
      <c r="D58" s="889">
        <f t="shared" si="7"/>
        <v>0</v>
      </c>
      <c r="E58" s="889">
        <f t="shared" si="7"/>
        <v>0</v>
      </c>
      <c r="F58" s="889">
        <f t="shared" si="7"/>
        <v>0</v>
      </c>
      <c r="G58" s="889">
        <f t="shared" si="7"/>
        <v>0</v>
      </c>
      <c r="H58" s="889">
        <f t="shared" si="7"/>
        <v>0</v>
      </c>
      <c r="I58" s="889">
        <f t="shared" si="7"/>
        <v>1871.9699999999998</v>
      </c>
      <c r="J58" s="889">
        <f t="shared" si="7"/>
        <v>-35.64</v>
      </c>
      <c r="K58" s="889">
        <f t="shared" si="7"/>
        <v>-1836.33</v>
      </c>
      <c r="L58" s="910"/>
    </row>
    <row r="59" spans="1:14" ht="15">
      <c r="A59" s="1006">
        <f t="shared" si="6"/>
        <v>6</v>
      </c>
      <c r="B59" s="875" t="s">
        <v>540</v>
      </c>
      <c r="C59" s="704">
        <f t="shared" ref="C59:K59" si="8">+C28</f>
        <v>0</v>
      </c>
      <c r="D59" s="704">
        <f t="shared" si="8"/>
        <v>0</v>
      </c>
      <c r="E59" s="704">
        <f t="shared" si="8"/>
        <v>0</v>
      </c>
      <c r="F59" s="704">
        <f t="shared" si="8"/>
        <v>0</v>
      </c>
      <c r="G59" s="704">
        <f t="shared" si="8"/>
        <v>0</v>
      </c>
      <c r="H59" s="704">
        <f t="shared" si="8"/>
        <v>0</v>
      </c>
      <c r="I59" s="704">
        <f t="shared" si="8"/>
        <v>640.6</v>
      </c>
      <c r="J59" s="704">
        <f t="shared" si="8"/>
        <v>822.12</v>
      </c>
      <c r="K59" s="704">
        <f t="shared" si="8"/>
        <v>-1462.72</v>
      </c>
      <c r="L59" s="910"/>
    </row>
    <row r="60" spans="1:14">
      <c r="A60" s="1006">
        <f t="shared" si="6"/>
        <v>7</v>
      </c>
      <c r="B60" s="1082" t="str">
        <f>+"Total Lines "&amp;A58&amp;" + "&amp;A59</f>
        <v>Total Lines 5 + 6</v>
      </c>
      <c r="C60" s="889">
        <f t="shared" ref="C60:H60" si="9">SUM(C58:C59)</f>
        <v>0</v>
      </c>
      <c r="D60" s="889">
        <f t="shared" si="9"/>
        <v>0</v>
      </c>
      <c r="E60" s="889">
        <f t="shared" si="9"/>
        <v>0</v>
      </c>
      <c r="F60" s="889">
        <f t="shared" si="9"/>
        <v>0</v>
      </c>
      <c r="G60" s="889">
        <f t="shared" si="9"/>
        <v>0</v>
      </c>
      <c r="H60" s="889">
        <f t="shared" si="9"/>
        <v>0</v>
      </c>
      <c r="I60" s="889">
        <f>SUM(I58:I59)</f>
        <v>2512.5699999999997</v>
      </c>
      <c r="J60" s="889">
        <f>SUM(J58:J59)</f>
        <v>786.48</v>
      </c>
      <c r="K60" s="889">
        <f>SUM(K58:K59)</f>
        <v>-3299.05</v>
      </c>
      <c r="L60" s="910"/>
    </row>
    <row r="61" spans="1:14" ht="15">
      <c r="A61" s="1006">
        <f t="shared" si="6"/>
        <v>8</v>
      </c>
      <c r="B61" s="1208" t="s">
        <v>841</v>
      </c>
      <c r="C61" s="704">
        <f t="shared" ref="C61:K61" si="10">+SUM(C23:C35)-SUM(C24:C28)</f>
        <v>0</v>
      </c>
      <c r="D61" s="704">
        <f t="shared" si="10"/>
        <v>0</v>
      </c>
      <c r="E61" s="704">
        <f t="shared" si="10"/>
        <v>0</v>
      </c>
      <c r="F61" s="704">
        <f t="shared" si="10"/>
        <v>0</v>
      </c>
      <c r="G61" s="704">
        <f t="shared" si="10"/>
        <v>0</v>
      </c>
      <c r="H61" s="704">
        <f t="shared" si="10"/>
        <v>0</v>
      </c>
      <c r="I61" s="704">
        <f t="shared" si="10"/>
        <v>666214.59000000008</v>
      </c>
      <c r="J61" s="704">
        <f t="shared" si="10"/>
        <v>807671.76</v>
      </c>
      <c r="K61" s="704">
        <f t="shared" si="10"/>
        <v>-1473886.3499999999</v>
      </c>
    </row>
    <row r="62" spans="1:14">
      <c r="A62" s="1006">
        <f t="shared" si="6"/>
        <v>9</v>
      </c>
      <c r="B62" s="873" t="s">
        <v>1168</v>
      </c>
      <c r="C62" s="889">
        <f t="shared" ref="C62:K62" si="11">+C60+C61</f>
        <v>0</v>
      </c>
      <c r="D62" s="889">
        <f t="shared" si="11"/>
        <v>0</v>
      </c>
      <c r="E62" s="889">
        <f t="shared" si="11"/>
        <v>0</v>
      </c>
      <c r="F62" s="889">
        <f t="shared" si="11"/>
        <v>0</v>
      </c>
      <c r="G62" s="889">
        <f t="shared" si="11"/>
        <v>0</v>
      </c>
      <c r="H62" s="889">
        <f t="shared" si="11"/>
        <v>0</v>
      </c>
      <c r="I62" s="889">
        <f t="shared" si="11"/>
        <v>668727.16</v>
      </c>
      <c r="J62" s="889">
        <f t="shared" si="11"/>
        <v>808458.23999999999</v>
      </c>
      <c r="K62" s="889">
        <f t="shared" si="11"/>
        <v>-1477185.4</v>
      </c>
    </row>
    <row r="63" spans="1:14">
      <c r="A63" s="1006">
        <f t="shared" si="6"/>
        <v>10</v>
      </c>
      <c r="B63" s="873"/>
      <c r="C63" s="889"/>
      <c r="D63" s="889"/>
      <c r="E63" s="889"/>
      <c r="F63" s="889"/>
      <c r="G63" s="889"/>
      <c r="I63" s="889"/>
      <c r="J63" s="889"/>
      <c r="K63" s="889"/>
    </row>
    <row r="64" spans="1:14">
      <c r="A64" s="1006">
        <f t="shared" si="6"/>
        <v>11</v>
      </c>
      <c r="B64" s="873" t="s">
        <v>56</v>
      </c>
      <c r="C64" s="889"/>
      <c r="D64" s="889"/>
      <c r="E64" s="889"/>
      <c r="F64" s="889"/>
      <c r="G64" s="889"/>
      <c r="I64" s="889"/>
      <c r="J64" s="889"/>
      <c r="K64" s="889"/>
    </row>
    <row r="65" spans="1:12">
      <c r="A65" s="1006">
        <f t="shared" si="6"/>
        <v>12</v>
      </c>
      <c r="B65" s="875" t="s">
        <v>719</v>
      </c>
      <c r="C65" s="876">
        <f>+SUM(C11:C14)</f>
        <v>0</v>
      </c>
      <c r="D65" s="876">
        <f t="shared" ref="D65:K65" si="12">+SUM(D11:D14)</f>
        <v>0</v>
      </c>
      <c r="E65" s="876">
        <f t="shared" si="12"/>
        <v>0</v>
      </c>
      <c r="F65" s="876">
        <f t="shared" si="12"/>
        <v>0</v>
      </c>
      <c r="G65" s="876">
        <f t="shared" si="12"/>
        <v>0</v>
      </c>
      <c r="H65" s="876">
        <f t="shared" si="12"/>
        <v>0</v>
      </c>
      <c r="I65" s="876">
        <f t="shared" si="12"/>
        <v>0</v>
      </c>
      <c r="J65" s="876">
        <f t="shared" si="12"/>
        <v>0</v>
      </c>
      <c r="K65" s="876">
        <f t="shared" si="12"/>
        <v>0</v>
      </c>
    </row>
    <row r="66" spans="1:12">
      <c r="A66" s="1006">
        <f t="shared" si="6"/>
        <v>13</v>
      </c>
      <c r="B66" s="875" t="s">
        <v>718</v>
      </c>
      <c r="C66" s="877">
        <f>+C15</f>
        <v>0</v>
      </c>
      <c r="D66" s="877">
        <f t="shared" ref="D66:K66" si="13">+D15</f>
        <v>0</v>
      </c>
      <c r="E66" s="877">
        <f t="shared" si="13"/>
        <v>0</v>
      </c>
      <c r="F66" s="877">
        <f t="shared" si="13"/>
        <v>0</v>
      </c>
      <c r="G66" s="877">
        <f t="shared" si="13"/>
        <v>0</v>
      </c>
      <c r="H66" s="877">
        <f t="shared" si="13"/>
        <v>0</v>
      </c>
      <c r="I66" s="877">
        <f t="shared" si="13"/>
        <v>4101.45</v>
      </c>
      <c r="J66" s="877">
        <f t="shared" si="13"/>
        <v>68910.12</v>
      </c>
      <c r="K66" s="877">
        <f t="shared" si="13"/>
        <v>-73011.569999999992</v>
      </c>
    </row>
    <row r="67" spans="1:12">
      <c r="A67" s="1006">
        <f t="shared" si="6"/>
        <v>14</v>
      </c>
      <c r="B67" s="875" t="s">
        <v>717</v>
      </c>
      <c r="C67" s="877">
        <f>+C16</f>
        <v>0</v>
      </c>
      <c r="D67" s="877">
        <f t="shared" ref="D67:K67" si="14">+D16</f>
        <v>0</v>
      </c>
      <c r="E67" s="877">
        <f t="shared" si="14"/>
        <v>0</v>
      </c>
      <c r="F67" s="877">
        <f t="shared" si="14"/>
        <v>0</v>
      </c>
      <c r="G67" s="877">
        <f t="shared" si="14"/>
        <v>0</v>
      </c>
      <c r="H67" s="877">
        <f t="shared" si="14"/>
        <v>0</v>
      </c>
      <c r="I67" s="877">
        <f t="shared" si="14"/>
        <v>2732.12</v>
      </c>
      <c r="J67" s="877">
        <f t="shared" si="14"/>
        <v>39261.96</v>
      </c>
      <c r="K67" s="877">
        <f t="shared" si="14"/>
        <v>-41994.080000000002</v>
      </c>
    </row>
    <row r="68" spans="1:12">
      <c r="A68" s="1006">
        <f t="shared" si="6"/>
        <v>15</v>
      </c>
      <c r="B68" s="875" t="s">
        <v>711</v>
      </c>
      <c r="C68" s="876">
        <f>+SUM(C17:C22)</f>
        <v>0</v>
      </c>
      <c r="D68" s="876">
        <f t="shared" ref="D68:K68" si="15">+SUM(D17:D22)</f>
        <v>0</v>
      </c>
      <c r="E68" s="876">
        <f t="shared" si="15"/>
        <v>0</v>
      </c>
      <c r="F68" s="876">
        <f t="shared" si="15"/>
        <v>0</v>
      </c>
      <c r="G68" s="876">
        <f t="shared" si="15"/>
        <v>0</v>
      </c>
      <c r="H68" s="876">
        <f t="shared" si="15"/>
        <v>0</v>
      </c>
      <c r="I68" s="876">
        <f t="shared" si="15"/>
        <v>0</v>
      </c>
      <c r="J68" s="876">
        <f t="shared" si="15"/>
        <v>194554.68</v>
      </c>
      <c r="K68" s="876">
        <f t="shared" si="15"/>
        <v>-194554.68</v>
      </c>
    </row>
    <row r="69" spans="1:12">
      <c r="A69" s="1006">
        <f t="shared" si="6"/>
        <v>16</v>
      </c>
      <c r="B69" s="875" t="s">
        <v>710</v>
      </c>
      <c r="C69" s="876">
        <f>+SUM(C23:C35)</f>
        <v>0</v>
      </c>
      <c r="D69" s="876">
        <f t="shared" ref="D69:K69" si="16">+SUM(D23:D35)</f>
        <v>0</v>
      </c>
      <c r="E69" s="876">
        <f t="shared" si="16"/>
        <v>0</v>
      </c>
      <c r="F69" s="876">
        <f t="shared" si="16"/>
        <v>0</v>
      </c>
      <c r="G69" s="876">
        <f t="shared" si="16"/>
        <v>0</v>
      </c>
      <c r="H69" s="876">
        <f t="shared" si="16"/>
        <v>0</v>
      </c>
      <c r="I69" s="876">
        <f t="shared" si="16"/>
        <v>668727.16</v>
      </c>
      <c r="J69" s="876">
        <f t="shared" si="16"/>
        <v>808458.23999999999</v>
      </c>
      <c r="K69" s="876">
        <f t="shared" si="16"/>
        <v>-1477185.4</v>
      </c>
    </row>
    <row r="70" spans="1:12">
      <c r="A70" s="1006">
        <f t="shared" si="6"/>
        <v>17</v>
      </c>
      <c r="B70" s="875" t="s">
        <v>712</v>
      </c>
      <c r="C70" s="876">
        <f>+C36</f>
        <v>0</v>
      </c>
      <c r="D70" s="876">
        <f t="shared" ref="D70:K70" si="17">+D36</f>
        <v>0</v>
      </c>
      <c r="E70" s="876">
        <f t="shared" si="17"/>
        <v>0</v>
      </c>
      <c r="F70" s="876">
        <f t="shared" si="17"/>
        <v>0</v>
      </c>
      <c r="G70" s="876">
        <f t="shared" si="17"/>
        <v>0</v>
      </c>
      <c r="H70" s="876">
        <f t="shared" si="17"/>
        <v>0</v>
      </c>
      <c r="I70" s="876">
        <f t="shared" si="17"/>
        <v>0</v>
      </c>
      <c r="J70" s="876">
        <f t="shared" si="17"/>
        <v>0</v>
      </c>
      <c r="K70" s="876">
        <f t="shared" si="17"/>
        <v>0</v>
      </c>
    </row>
    <row r="71" spans="1:12">
      <c r="A71" s="1006">
        <f t="shared" si="6"/>
        <v>18</v>
      </c>
      <c r="B71" s="875" t="s">
        <v>713</v>
      </c>
      <c r="C71" s="876"/>
      <c r="D71" s="876"/>
      <c r="E71" s="876"/>
      <c r="F71" s="876"/>
      <c r="G71" s="876"/>
      <c r="H71" s="876"/>
      <c r="I71" s="876"/>
      <c r="J71" s="876"/>
      <c r="K71" s="876"/>
    </row>
    <row r="72" spans="1:12">
      <c r="A72" s="1006">
        <f t="shared" si="6"/>
        <v>19</v>
      </c>
      <c r="B72" s="875" t="s">
        <v>714</v>
      </c>
      <c r="C72" s="876">
        <f>SUM(C37:C38)</f>
        <v>0</v>
      </c>
      <c r="D72" s="876">
        <f t="shared" ref="D72:K72" si="18">SUM(D37:D38)</f>
        <v>0</v>
      </c>
      <c r="E72" s="876">
        <f t="shared" si="18"/>
        <v>0</v>
      </c>
      <c r="F72" s="876">
        <f t="shared" si="18"/>
        <v>0</v>
      </c>
      <c r="G72" s="876">
        <f t="shared" si="18"/>
        <v>0</v>
      </c>
      <c r="H72" s="876">
        <f t="shared" si="18"/>
        <v>0</v>
      </c>
      <c r="I72" s="876">
        <f t="shared" si="18"/>
        <v>0</v>
      </c>
      <c r="J72" s="876">
        <f t="shared" si="18"/>
        <v>8.8800000000000008</v>
      </c>
      <c r="K72" s="876">
        <f t="shared" si="18"/>
        <v>-8.8800000000000008</v>
      </c>
    </row>
    <row r="73" spans="1:12">
      <c r="A73" s="1006">
        <f t="shared" si="6"/>
        <v>20</v>
      </c>
      <c r="B73" s="875" t="s">
        <v>715</v>
      </c>
      <c r="C73" s="876">
        <f>+SUM(C39:C40)</f>
        <v>0</v>
      </c>
      <c r="D73" s="876">
        <f t="shared" ref="D73:K73" si="19">+SUM(D39:D40)</f>
        <v>0</v>
      </c>
      <c r="E73" s="876">
        <f t="shared" si="19"/>
        <v>0</v>
      </c>
      <c r="F73" s="876">
        <f t="shared" si="19"/>
        <v>0</v>
      </c>
      <c r="G73" s="876">
        <f t="shared" si="19"/>
        <v>0</v>
      </c>
      <c r="H73" s="876">
        <f t="shared" si="19"/>
        <v>0</v>
      </c>
      <c r="I73" s="876">
        <f t="shared" si="19"/>
        <v>0</v>
      </c>
      <c r="J73" s="876">
        <f t="shared" si="19"/>
        <v>0</v>
      </c>
      <c r="K73" s="876">
        <f t="shared" si="19"/>
        <v>0</v>
      </c>
    </row>
    <row r="74" spans="1:12" s="1038" customFormat="1">
      <c r="A74" s="1006">
        <f t="shared" si="6"/>
        <v>21</v>
      </c>
      <c r="B74" s="875" t="s">
        <v>716</v>
      </c>
      <c r="C74" s="878">
        <f>SUM(C41:C54)</f>
        <v>0</v>
      </c>
      <c r="D74" s="878">
        <f t="shared" ref="D74:K74" si="20">SUM(D41:D54)</f>
        <v>0</v>
      </c>
      <c r="E74" s="878">
        <f t="shared" si="20"/>
        <v>0</v>
      </c>
      <c r="F74" s="878">
        <f t="shared" si="20"/>
        <v>0</v>
      </c>
      <c r="G74" s="878">
        <f t="shared" si="20"/>
        <v>0</v>
      </c>
      <c r="H74" s="878">
        <f t="shared" si="20"/>
        <v>0</v>
      </c>
      <c r="I74" s="878">
        <f t="shared" si="20"/>
        <v>149812.78999999998</v>
      </c>
      <c r="J74" s="878">
        <f t="shared" si="20"/>
        <v>2136999.8400000003</v>
      </c>
      <c r="K74" s="878">
        <f t="shared" si="20"/>
        <v>-2286812.6300000004</v>
      </c>
      <c r="L74" s="636"/>
    </row>
    <row r="75" spans="1:12" ht="13.8" thickBot="1">
      <c r="A75" s="965">
        <f>+A74+1</f>
        <v>22</v>
      </c>
      <c r="B75" s="873" t="str">
        <f>+"Total  Sum (Ln "&amp;A65&amp;" to Ln "&amp;A74&amp;")"</f>
        <v>Total  Sum (Ln 12 to Ln 21)</v>
      </c>
      <c r="C75" s="879">
        <f t="shared" ref="C75:K75" si="21">SUM(C65:C74)</f>
        <v>0</v>
      </c>
      <c r="D75" s="879">
        <f t="shared" si="21"/>
        <v>0</v>
      </c>
      <c r="E75" s="879">
        <f t="shared" si="21"/>
        <v>0</v>
      </c>
      <c r="F75" s="879">
        <f t="shared" si="21"/>
        <v>0</v>
      </c>
      <c r="G75" s="879">
        <f t="shared" si="21"/>
        <v>0</v>
      </c>
      <c r="H75" s="879">
        <f t="shared" si="21"/>
        <v>0</v>
      </c>
      <c r="I75" s="879">
        <f t="shared" si="21"/>
        <v>825373.52</v>
      </c>
      <c r="J75" s="879">
        <f t="shared" si="21"/>
        <v>3248193.72</v>
      </c>
      <c r="K75" s="879">
        <f t="shared" si="21"/>
        <v>-4073567.24</v>
      </c>
    </row>
    <row r="76" spans="1:12" ht="13.8" thickTop="1">
      <c r="A76" s="1006">
        <f t="shared" si="6"/>
        <v>23</v>
      </c>
      <c r="B76" s="873"/>
      <c r="C76" s="873"/>
      <c r="D76" s="873"/>
      <c r="E76" s="880"/>
      <c r="F76" s="874"/>
      <c r="G76" s="880"/>
      <c r="I76" s="874"/>
      <c r="J76" s="874"/>
      <c r="K76" s="874"/>
    </row>
    <row r="77" spans="1:12">
      <c r="A77" s="1006">
        <f t="shared" si="6"/>
        <v>24</v>
      </c>
      <c r="B77" s="873" t="str">
        <f>+"Payroll O&amp;M Excl A&amp;G  Sum (Ln "&amp;A65&amp;" To Ln "&amp;A73&amp;")"</f>
        <v>Payroll O&amp;M Excl A&amp;G  Sum (Ln 12 To Ln 20)</v>
      </c>
      <c r="C77" s="876"/>
      <c r="D77" s="876"/>
      <c r="E77" s="876"/>
      <c r="F77" s="876"/>
      <c r="G77" s="876"/>
      <c r="H77" s="876">
        <f>+SUM(H65:H73)</f>
        <v>0</v>
      </c>
      <c r="I77" s="876"/>
      <c r="J77" s="876"/>
      <c r="K77" s="876"/>
    </row>
    <row r="78" spans="1:12">
      <c r="A78" s="1005"/>
      <c r="B78" s="873"/>
      <c r="C78" s="873"/>
      <c r="D78" s="876"/>
      <c r="E78" s="874"/>
      <c r="F78" s="874"/>
      <c r="G78" s="874"/>
      <c r="I78" s="874"/>
      <c r="J78" s="874"/>
      <c r="K78" s="874"/>
      <c r="L78" s="1038"/>
    </row>
    <row r="79" spans="1:12">
      <c r="A79" s="1005" t="s">
        <v>694</v>
      </c>
      <c r="B79" s="873"/>
      <c r="C79" s="873"/>
      <c r="D79" s="873"/>
      <c r="E79" s="880"/>
      <c r="F79" s="880"/>
      <c r="G79" s="880"/>
      <c r="I79" s="880"/>
      <c r="J79" s="880"/>
      <c r="K79" s="880"/>
    </row>
    <row r="80" spans="1:12" ht="40.950000000000003" customHeight="1">
      <c r="A80" s="1086" t="s">
        <v>176</v>
      </c>
      <c r="B80" s="1956" t="s">
        <v>886</v>
      </c>
      <c r="C80" s="1956"/>
      <c r="D80" s="1956"/>
      <c r="E80" s="1956"/>
      <c r="F80" s="1956"/>
      <c r="G80" s="1956"/>
      <c r="H80" s="1956"/>
      <c r="I80" s="1956"/>
      <c r="J80" s="1956"/>
      <c r="K80" s="1956"/>
    </row>
    <row r="81" spans="1:11">
      <c r="A81" s="1085" t="s">
        <v>338</v>
      </c>
      <c r="B81" s="873" t="s">
        <v>695</v>
      </c>
      <c r="C81" s="873"/>
      <c r="D81" s="873"/>
      <c r="E81" s="880"/>
      <c r="F81" s="880"/>
      <c r="G81" s="880"/>
      <c r="I81" s="880"/>
      <c r="J81" s="880"/>
      <c r="K81" s="880"/>
    </row>
    <row r="82" spans="1:11">
      <c r="A82" s="1086" t="s">
        <v>339</v>
      </c>
      <c r="B82" s="1857" t="s">
        <v>836</v>
      </c>
      <c r="C82" s="1857"/>
      <c r="D82" s="1857"/>
      <c r="E82" s="1857"/>
      <c r="F82" s="1857"/>
      <c r="G82" s="1857"/>
      <c r="H82" s="1857"/>
      <c r="I82" s="1857"/>
      <c r="J82" s="1857"/>
      <c r="K82" s="1857"/>
    </row>
    <row r="83" spans="1:11">
      <c r="A83" s="1206" t="s">
        <v>875</v>
      </c>
      <c r="B83" s="1876" t="s">
        <v>881</v>
      </c>
      <c r="C83" s="1876"/>
      <c r="D83" s="1876"/>
      <c r="E83" s="1876"/>
      <c r="F83" s="1876"/>
      <c r="G83" s="1876"/>
      <c r="H83" s="1876"/>
      <c r="I83" s="1876"/>
      <c r="J83" s="1876"/>
      <c r="K83" s="1876"/>
    </row>
    <row r="84" spans="1:11">
      <c r="A84" s="1205" t="s">
        <v>341</v>
      </c>
      <c r="B84" s="873" t="s">
        <v>885</v>
      </c>
      <c r="C84" s="873"/>
      <c r="D84" s="873"/>
      <c r="E84" s="873"/>
      <c r="F84" s="873"/>
      <c r="G84" s="873"/>
      <c r="I84" s="873"/>
      <c r="J84" s="873"/>
      <c r="K84" s="873"/>
    </row>
    <row r="85" spans="1:11">
      <c r="B85" s="873"/>
      <c r="C85" s="873"/>
      <c r="D85" s="873"/>
      <c r="E85" s="873"/>
      <c r="F85" s="873"/>
      <c r="G85" s="873"/>
      <c r="I85" s="873"/>
      <c r="J85" s="873"/>
      <c r="K85" s="873"/>
    </row>
  </sheetData>
  <mergeCells count="11">
    <mergeCell ref="M15:W15"/>
    <mergeCell ref="B80:K80"/>
    <mergeCell ref="B82:K82"/>
    <mergeCell ref="B83:K83"/>
    <mergeCell ref="A1:K1"/>
    <mergeCell ref="A2:K2"/>
    <mergeCell ref="I9:J9"/>
    <mergeCell ref="C9:E9"/>
    <mergeCell ref="G9:H9"/>
    <mergeCell ref="A3:K3"/>
    <mergeCell ref="A5:K5"/>
  </mergeCells>
  <phoneticPr fontId="104" type="noConversion"/>
  <printOptions horizontalCentered="1"/>
  <pageMargins left="0.5" right="0.5" top="0.5" bottom="0.5" header="0.3" footer="0.5"/>
  <pageSetup scale="65" orientation="portrait" r:id="rId1"/>
  <headerFooter>
    <oddFooter>&amp;R&amp;12&amp;A</oddFooter>
  </headerFooter>
  <ignoredErrors>
    <ignoredError sqref="C58:J69 C72:J74" formulaRange="1"/>
    <ignoredError sqref="A80:A86"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72"/>
  <sheetViews>
    <sheetView zoomScaleNormal="100" workbookViewId="0">
      <selection sqref="A1:B1"/>
    </sheetView>
  </sheetViews>
  <sheetFormatPr defaultColWidth="8.88671875" defaultRowHeight="13.2"/>
  <cols>
    <col min="1" max="1" width="5.33203125" style="649" customWidth="1"/>
    <col min="2" max="2" width="44.6640625" style="174" customWidth="1"/>
    <col min="3" max="3" width="13.44140625" style="174" bestFit="1" customWidth="1"/>
    <col min="4" max="4" width="16.109375" style="174" bestFit="1" customWidth="1"/>
    <col min="5" max="5" width="14.33203125" style="174" customWidth="1"/>
    <col min="6" max="6" width="15.5546875" style="174" bestFit="1" customWidth="1"/>
    <col min="7" max="8" width="8.88671875" style="174"/>
    <col min="9" max="9" width="10.88671875" style="174" bestFit="1" customWidth="1"/>
    <col min="10" max="16384" width="8.88671875" style="174"/>
  </cols>
  <sheetData>
    <row r="1" spans="1:10">
      <c r="A1" s="1874" t="str">
        <f>'MISO Cover'!C6</f>
        <v>Entergy Arkansas, Inc.</v>
      </c>
      <c r="B1" s="1874"/>
      <c r="C1" s="1874"/>
      <c r="D1" s="1874"/>
      <c r="E1" s="1874"/>
      <c r="F1" s="1874"/>
      <c r="G1" s="881"/>
      <c r="I1" s="882"/>
    </row>
    <row r="2" spans="1:10">
      <c r="A2" s="1875" t="s">
        <v>882</v>
      </c>
      <c r="B2" s="1875"/>
      <c r="C2" s="1875"/>
      <c r="D2" s="1875"/>
      <c r="E2" s="1875"/>
      <c r="F2" s="1875"/>
      <c r="G2" s="1030"/>
      <c r="H2" s="885"/>
    </row>
    <row r="3" spans="1:10">
      <c r="A3" s="1874" t="str">
        <f>'MISO Cover'!K4</f>
        <v>For  the 12 Months Ended 12/31/2016</v>
      </c>
      <c r="B3" s="1874"/>
      <c r="C3" s="1874"/>
      <c r="D3" s="1874"/>
      <c r="E3" s="1874"/>
      <c r="F3" s="1874"/>
      <c r="G3" s="883"/>
    </row>
    <row r="4" spans="1:10">
      <c r="A4" s="639"/>
      <c r="B4" s="639"/>
      <c r="C4" s="639"/>
      <c r="D4" s="639"/>
      <c r="E4" s="639"/>
      <c r="F4" s="639"/>
      <c r="G4" s="639"/>
    </row>
    <row r="5" spans="1:10">
      <c r="A5" s="1116"/>
      <c r="B5" s="885"/>
      <c r="C5" s="803"/>
      <c r="D5" s="1382"/>
      <c r="E5" s="1382"/>
      <c r="F5" s="1382" t="s">
        <v>697</v>
      </c>
      <c r="H5" s="174" t="s">
        <v>1704</v>
      </c>
    </row>
    <row r="6" spans="1:10">
      <c r="A6" s="638" t="s">
        <v>290</v>
      </c>
      <c r="B6" s="1117" t="s">
        <v>72</v>
      </c>
      <c r="C6" s="176"/>
      <c r="D6" s="1117" t="s">
        <v>119</v>
      </c>
      <c r="E6" s="1117" t="s">
        <v>60</v>
      </c>
      <c r="F6" s="1434" t="s">
        <v>73</v>
      </c>
    </row>
    <row r="7" spans="1:10" ht="15">
      <c r="A7" s="965">
        <v>1</v>
      </c>
      <c r="B7" s="637" t="s">
        <v>180</v>
      </c>
      <c r="C7" s="175"/>
      <c r="D7" s="1541" t="s">
        <v>953</v>
      </c>
      <c r="E7" s="1541" t="s">
        <v>509</v>
      </c>
      <c r="F7" s="1541" t="s">
        <v>549</v>
      </c>
      <c r="H7" s="175"/>
      <c r="I7" s="175"/>
    </row>
    <row r="8" spans="1:10">
      <c r="A8" s="1007">
        <f>A7+0.01</f>
        <v>1.01</v>
      </c>
      <c r="B8" s="1385" t="s">
        <v>860</v>
      </c>
      <c r="C8" s="641"/>
      <c r="D8" s="1435">
        <v>0</v>
      </c>
      <c r="E8" s="1435">
        <v>0</v>
      </c>
      <c r="F8" s="642">
        <f>SUM(D8:E8)</f>
        <v>0</v>
      </c>
      <c r="G8" s="176"/>
      <c r="H8" s="175"/>
      <c r="I8" s="175"/>
      <c r="J8" s="176"/>
    </row>
    <row r="9" spans="1:10" s="176" customFormat="1">
      <c r="A9" s="1007">
        <f t="shared" ref="A9:A40" si="0">A8+0.01</f>
        <v>1.02</v>
      </c>
      <c r="B9" s="1385" t="s">
        <v>861</v>
      </c>
      <c r="C9" s="641"/>
      <c r="D9" s="1435">
        <v>0</v>
      </c>
      <c r="E9" s="1435">
        <v>0</v>
      </c>
      <c r="F9" s="642">
        <f t="shared" ref="F9:F40" si="1">SUM(D9:E9)</f>
        <v>0</v>
      </c>
      <c r="G9" s="641"/>
      <c r="H9" s="175"/>
      <c r="I9" s="175"/>
      <c r="J9" s="175"/>
    </row>
    <row r="10" spans="1:10" s="175" customFormat="1">
      <c r="A10" s="1007">
        <f t="shared" si="0"/>
        <v>1.03</v>
      </c>
      <c r="B10" s="1594" t="s">
        <v>1449</v>
      </c>
      <c r="C10" s="641"/>
      <c r="D10" s="1435">
        <v>0</v>
      </c>
      <c r="E10" s="1435">
        <v>0</v>
      </c>
      <c r="F10" s="642">
        <f t="shared" si="1"/>
        <v>0</v>
      </c>
      <c r="G10" s="641"/>
    </row>
    <row r="11" spans="1:10" s="175" customFormat="1">
      <c r="A11" s="1007">
        <f t="shared" si="0"/>
        <v>1.04</v>
      </c>
      <c r="B11" s="1594" t="s">
        <v>1450</v>
      </c>
      <c r="C11" s="641"/>
      <c r="D11" s="1435">
        <v>0</v>
      </c>
      <c r="E11" s="1435">
        <v>0</v>
      </c>
      <c r="F11" s="642">
        <f t="shared" si="1"/>
        <v>0</v>
      </c>
      <c r="G11" s="641"/>
    </row>
    <row r="12" spans="1:10" s="175" customFormat="1">
      <c r="A12" s="1007">
        <f t="shared" si="0"/>
        <v>1.05</v>
      </c>
      <c r="B12" s="1594" t="s">
        <v>1451</v>
      </c>
      <c r="C12" s="641"/>
      <c r="D12" s="1435">
        <v>0</v>
      </c>
      <c r="E12" s="1435">
        <v>0</v>
      </c>
      <c r="F12" s="642">
        <f t="shared" si="1"/>
        <v>0</v>
      </c>
      <c r="G12" s="641"/>
    </row>
    <row r="13" spans="1:10" s="175" customFormat="1">
      <c r="A13" s="1007">
        <f t="shared" si="0"/>
        <v>1.06</v>
      </c>
      <c r="B13" s="1386" t="s">
        <v>1482</v>
      </c>
      <c r="C13" s="641"/>
      <c r="D13" s="1435">
        <v>0</v>
      </c>
      <c r="E13" s="1435">
        <v>0</v>
      </c>
      <c r="F13" s="642">
        <f t="shared" si="1"/>
        <v>0</v>
      </c>
      <c r="G13" s="641"/>
    </row>
    <row r="14" spans="1:10" s="175" customFormat="1">
      <c r="A14" s="1007">
        <f t="shared" si="0"/>
        <v>1.07</v>
      </c>
      <c r="B14" s="1386" t="s">
        <v>1491</v>
      </c>
      <c r="C14" s="641"/>
      <c r="D14" s="1435">
        <v>0</v>
      </c>
      <c r="E14" s="1435">
        <v>0</v>
      </c>
      <c r="F14" s="642">
        <f t="shared" si="1"/>
        <v>0</v>
      </c>
      <c r="G14" s="641"/>
    </row>
    <row r="15" spans="1:10" s="175" customFormat="1">
      <c r="A15" s="1007">
        <f t="shared" si="0"/>
        <v>1.08</v>
      </c>
      <c r="B15" s="1386" t="s">
        <v>1492</v>
      </c>
      <c r="C15" s="641"/>
      <c r="D15" s="1435">
        <v>0</v>
      </c>
      <c r="E15" s="1435">
        <v>0</v>
      </c>
      <c r="F15" s="642">
        <f t="shared" si="1"/>
        <v>0</v>
      </c>
      <c r="G15" s="641"/>
    </row>
    <row r="16" spans="1:10" s="175" customFormat="1">
      <c r="A16" s="1007">
        <f t="shared" si="0"/>
        <v>1.0900000000000001</v>
      </c>
      <c r="B16" s="1594" t="s">
        <v>1490</v>
      </c>
      <c r="C16" s="641"/>
      <c r="D16" s="1435">
        <v>0</v>
      </c>
      <c r="E16" s="1435">
        <v>0</v>
      </c>
      <c r="F16" s="642">
        <f t="shared" si="1"/>
        <v>0</v>
      </c>
      <c r="G16" s="641"/>
    </row>
    <row r="17" spans="1:7" s="175" customFormat="1">
      <c r="A17" s="1007">
        <f t="shared" si="0"/>
        <v>1.1000000000000001</v>
      </c>
      <c r="B17" s="1386" t="s">
        <v>1493</v>
      </c>
      <c r="C17" s="641"/>
      <c r="D17" s="1435">
        <v>0</v>
      </c>
      <c r="E17" s="1435">
        <v>0</v>
      </c>
      <c r="F17" s="642">
        <f t="shared" si="1"/>
        <v>0</v>
      </c>
      <c r="G17" s="641"/>
    </row>
    <row r="18" spans="1:7" s="175" customFormat="1">
      <c r="A18" s="1007">
        <f t="shared" si="0"/>
        <v>1.1100000000000001</v>
      </c>
      <c r="B18" s="1386" t="s">
        <v>1494</v>
      </c>
      <c r="C18" s="641"/>
      <c r="D18" s="1435">
        <v>0</v>
      </c>
      <c r="E18" s="1435">
        <v>0</v>
      </c>
      <c r="F18" s="642">
        <f t="shared" si="1"/>
        <v>0</v>
      </c>
      <c r="G18" s="641"/>
    </row>
    <row r="19" spans="1:7" s="175" customFormat="1">
      <c r="A19" s="1007">
        <f t="shared" si="0"/>
        <v>1.1200000000000001</v>
      </c>
      <c r="B19" s="1386" t="s">
        <v>1495</v>
      </c>
      <c r="C19" s="641"/>
      <c r="D19" s="1435">
        <v>0</v>
      </c>
      <c r="E19" s="1435">
        <v>0</v>
      </c>
      <c r="F19" s="642">
        <f t="shared" si="1"/>
        <v>0</v>
      </c>
      <c r="G19" s="641"/>
    </row>
    <row r="20" spans="1:7" s="175" customFormat="1">
      <c r="A20" s="1007">
        <f t="shared" si="0"/>
        <v>1.1300000000000001</v>
      </c>
      <c r="B20" s="1594" t="s">
        <v>1455</v>
      </c>
      <c r="C20" s="641"/>
      <c r="D20" s="1435">
        <v>0</v>
      </c>
      <c r="E20" s="1435">
        <v>0</v>
      </c>
      <c r="F20" s="642">
        <f t="shared" si="1"/>
        <v>0</v>
      </c>
      <c r="G20" s="641"/>
    </row>
    <row r="21" spans="1:7" s="175" customFormat="1">
      <c r="A21" s="1007">
        <f t="shared" si="0"/>
        <v>1.1400000000000001</v>
      </c>
      <c r="B21" s="1386" t="s">
        <v>1460</v>
      </c>
      <c r="C21" s="641"/>
      <c r="D21" s="1435">
        <v>0</v>
      </c>
      <c r="E21" s="1435">
        <v>0</v>
      </c>
      <c r="F21" s="642">
        <f t="shared" si="1"/>
        <v>0</v>
      </c>
      <c r="G21" s="641"/>
    </row>
    <row r="22" spans="1:7" s="175" customFormat="1">
      <c r="A22" s="1007">
        <f t="shared" si="0"/>
        <v>1.1500000000000001</v>
      </c>
      <c r="B22" s="1594" t="s">
        <v>1462</v>
      </c>
      <c r="C22" s="641"/>
      <c r="D22" s="1435">
        <v>0</v>
      </c>
      <c r="E22" s="1435">
        <v>0</v>
      </c>
      <c r="F22" s="642">
        <f t="shared" si="1"/>
        <v>0</v>
      </c>
      <c r="G22" s="641"/>
    </row>
    <row r="23" spans="1:7" s="175" customFormat="1">
      <c r="A23" s="1007">
        <f t="shared" si="0"/>
        <v>1.1600000000000001</v>
      </c>
      <c r="B23" s="1594" t="s">
        <v>1463</v>
      </c>
      <c r="C23" s="641"/>
      <c r="D23" s="1435">
        <v>0</v>
      </c>
      <c r="E23" s="1435">
        <v>0</v>
      </c>
      <c r="F23" s="642">
        <f t="shared" si="1"/>
        <v>0</v>
      </c>
      <c r="G23" s="641"/>
    </row>
    <row r="24" spans="1:7" s="175" customFormat="1">
      <c r="A24" s="1007">
        <f t="shared" si="0"/>
        <v>1.1700000000000002</v>
      </c>
      <c r="B24" s="1386" t="s">
        <v>1485</v>
      </c>
      <c r="C24" s="641"/>
      <c r="D24" s="1435">
        <v>0</v>
      </c>
      <c r="E24" s="1435">
        <v>0</v>
      </c>
      <c r="F24" s="642">
        <f t="shared" si="1"/>
        <v>0</v>
      </c>
      <c r="G24" s="641"/>
    </row>
    <row r="25" spans="1:7" s="175" customFormat="1">
      <c r="A25" s="1007">
        <f t="shared" si="0"/>
        <v>1.1800000000000002</v>
      </c>
      <c r="B25" s="1386" t="s">
        <v>1496</v>
      </c>
      <c r="C25" s="641"/>
      <c r="D25" s="1435">
        <v>0</v>
      </c>
      <c r="E25" s="1435">
        <v>0</v>
      </c>
      <c r="F25" s="642">
        <f t="shared" si="1"/>
        <v>0</v>
      </c>
      <c r="G25" s="641"/>
    </row>
    <row r="26" spans="1:7" s="175" customFormat="1">
      <c r="A26" s="1007">
        <f t="shared" si="0"/>
        <v>1.1900000000000002</v>
      </c>
      <c r="B26" s="1387" t="s">
        <v>822</v>
      </c>
      <c r="C26" s="641"/>
      <c r="D26" s="1435">
        <v>0</v>
      </c>
      <c r="E26" s="1435">
        <v>0</v>
      </c>
      <c r="F26" s="642">
        <f t="shared" si="1"/>
        <v>0</v>
      </c>
      <c r="G26" s="1037"/>
    </row>
    <row r="27" spans="1:7" s="175" customFormat="1">
      <c r="A27" s="1007">
        <f t="shared" si="0"/>
        <v>1.2000000000000002</v>
      </c>
      <c r="B27" s="1387" t="s">
        <v>862</v>
      </c>
      <c r="C27" s="641"/>
      <c r="D27" s="1435">
        <v>0</v>
      </c>
      <c r="E27" s="1435">
        <v>0</v>
      </c>
      <c r="F27" s="642">
        <f t="shared" si="1"/>
        <v>0</v>
      </c>
      <c r="G27" s="1037"/>
    </row>
    <row r="28" spans="1:7" s="175" customFormat="1">
      <c r="A28" s="1007">
        <f t="shared" si="0"/>
        <v>1.2100000000000002</v>
      </c>
      <c r="B28" s="1387" t="s">
        <v>184</v>
      </c>
      <c r="C28" s="641"/>
      <c r="D28" s="1435">
        <v>0</v>
      </c>
      <c r="E28" s="1435">
        <v>0</v>
      </c>
      <c r="F28" s="642">
        <f t="shared" si="1"/>
        <v>0</v>
      </c>
      <c r="G28" s="641"/>
    </row>
    <row r="29" spans="1:7" s="175" customFormat="1">
      <c r="A29" s="1007">
        <f t="shared" si="0"/>
        <v>1.2200000000000002</v>
      </c>
      <c r="B29" s="1387" t="s">
        <v>883</v>
      </c>
      <c r="C29" s="641"/>
      <c r="D29" s="1435">
        <v>0</v>
      </c>
      <c r="E29" s="1435">
        <v>0</v>
      </c>
      <c r="F29" s="642">
        <f t="shared" si="1"/>
        <v>0</v>
      </c>
      <c r="G29" s="641"/>
    </row>
    <row r="30" spans="1:7" s="175" customFormat="1">
      <c r="A30" s="1007">
        <f t="shared" si="0"/>
        <v>1.2300000000000002</v>
      </c>
      <c r="B30" s="640" t="s">
        <v>185</v>
      </c>
      <c r="C30" s="641"/>
      <c r="D30" s="1435">
        <v>0</v>
      </c>
      <c r="E30" s="1435">
        <v>0</v>
      </c>
      <c r="F30" s="642">
        <f t="shared" si="1"/>
        <v>0</v>
      </c>
      <c r="G30" s="641"/>
    </row>
    <row r="31" spans="1:7" s="175" customFormat="1">
      <c r="A31" s="1007">
        <f t="shared" si="0"/>
        <v>1.2400000000000002</v>
      </c>
      <c r="B31" s="640" t="s">
        <v>186</v>
      </c>
      <c r="C31" s="641"/>
      <c r="D31" s="1435">
        <v>0</v>
      </c>
      <c r="E31" s="1435">
        <v>0</v>
      </c>
      <c r="F31" s="642">
        <f t="shared" si="1"/>
        <v>0</v>
      </c>
      <c r="G31" s="641"/>
    </row>
    <row r="32" spans="1:7" s="175" customFormat="1">
      <c r="A32" s="1007">
        <f t="shared" si="0"/>
        <v>1.2500000000000002</v>
      </c>
      <c r="B32" s="640" t="s">
        <v>187</v>
      </c>
      <c r="C32" s="641"/>
      <c r="D32" s="1435">
        <v>0</v>
      </c>
      <c r="E32" s="1435">
        <v>0</v>
      </c>
      <c r="F32" s="642">
        <f t="shared" si="1"/>
        <v>0</v>
      </c>
      <c r="G32" s="641"/>
    </row>
    <row r="33" spans="1:10" s="175" customFormat="1">
      <c r="A33" s="1007">
        <f t="shared" si="0"/>
        <v>1.2600000000000002</v>
      </c>
      <c r="B33" s="640" t="s">
        <v>188</v>
      </c>
      <c r="C33" s="641"/>
      <c r="D33" s="1435">
        <v>0</v>
      </c>
      <c r="E33" s="1435">
        <v>0</v>
      </c>
      <c r="F33" s="642">
        <f t="shared" si="1"/>
        <v>0</v>
      </c>
      <c r="G33" s="641"/>
    </row>
    <row r="34" spans="1:10" s="175" customFormat="1">
      <c r="A34" s="1007">
        <f t="shared" si="0"/>
        <v>1.2700000000000002</v>
      </c>
      <c r="B34" s="640" t="s">
        <v>189</v>
      </c>
      <c r="C34" s="641"/>
      <c r="D34" s="1435">
        <v>0</v>
      </c>
      <c r="E34" s="1435">
        <v>0</v>
      </c>
      <c r="F34" s="642">
        <f t="shared" si="1"/>
        <v>0</v>
      </c>
      <c r="G34" s="641"/>
    </row>
    <row r="35" spans="1:10" s="175" customFormat="1">
      <c r="A35" s="1007">
        <f t="shared" si="0"/>
        <v>1.2800000000000002</v>
      </c>
      <c r="B35" s="640" t="s">
        <v>190</v>
      </c>
      <c r="C35" s="641"/>
      <c r="D35" s="1435">
        <v>0</v>
      </c>
      <c r="E35" s="1435">
        <v>0</v>
      </c>
      <c r="F35" s="642">
        <f t="shared" si="1"/>
        <v>0</v>
      </c>
      <c r="G35" s="641"/>
    </row>
    <row r="36" spans="1:10" s="175" customFormat="1">
      <c r="A36" s="1007">
        <f t="shared" si="0"/>
        <v>1.2900000000000003</v>
      </c>
      <c r="B36" s="640" t="s">
        <v>191</v>
      </c>
      <c r="C36" s="641"/>
      <c r="D36" s="1435">
        <v>0</v>
      </c>
      <c r="E36" s="1435">
        <v>0</v>
      </c>
      <c r="F36" s="642">
        <f t="shared" si="1"/>
        <v>0</v>
      </c>
      <c r="G36" s="641"/>
    </row>
    <row r="37" spans="1:10" s="175" customFormat="1">
      <c r="A37" s="1007">
        <f t="shared" si="0"/>
        <v>1.3000000000000003</v>
      </c>
      <c r="B37" s="640" t="s">
        <v>310</v>
      </c>
      <c r="C37" s="641"/>
      <c r="D37" s="1435">
        <v>0</v>
      </c>
      <c r="E37" s="1435">
        <v>0</v>
      </c>
      <c r="F37" s="642">
        <f t="shared" si="1"/>
        <v>0</v>
      </c>
      <c r="G37" s="641"/>
    </row>
    <row r="38" spans="1:10" s="175" customFormat="1">
      <c r="A38" s="1007">
        <f t="shared" si="0"/>
        <v>1.3100000000000003</v>
      </c>
      <c r="B38" s="640" t="s">
        <v>192</v>
      </c>
      <c r="C38" s="641"/>
      <c r="D38" s="1435">
        <v>0</v>
      </c>
      <c r="E38" s="1435">
        <v>0</v>
      </c>
      <c r="F38" s="642">
        <f t="shared" si="1"/>
        <v>0</v>
      </c>
      <c r="G38" s="641"/>
    </row>
    <row r="39" spans="1:10" s="175" customFormat="1">
      <c r="A39" s="1007">
        <f t="shared" si="0"/>
        <v>1.3200000000000003</v>
      </c>
      <c r="B39" s="640" t="s">
        <v>311</v>
      </c>
      <c r="C39" s="641"/>
      <c r="D39" s="1435">
        <v>0</v>
      </c>
      <c r="E39" s="1435">
        <v>0</v>
      </c>
      <c r="F39" s="642">
        <f t="shared" si="1"/>
        <v>0</v>
      </c>
      <c r="G39" s="641"/>
    </row>
    <row r="40" spans="1:10" s="175" customFormat="1">
      <c r="A40" s="1007">
        <f t="shared" si="0"/>
        <v>1.3300000000000003</v>
      </c>
      <c r="B40" s="1386" t="s">
        <v>193</v>
      </c>
      <c r="C40" s="641"/>
      <c r="D40" s="1435">
        <v>0</v>
      </c>
      <c r="E40" s="1435">
        <v>0</v>
      </c>
      <c r="F40" s="642">
        <f t="shared" si="1"/>
        <v>0</v>
      </c>
      <c r="G40" s="641"/>
    </row>
    <row r="41" spans="1:10" s="175" customFormat="1" ht="13.8" thickBot="1">
      <c r="A41" s="965">
        <f>A7+1</f>
        <v>2</v>
      </c>
      <c r="B41" s="673" t="s">
        <v>848</v>
      </c>
      <c r="C41" s="641"/>
      <c r="D41" s="674">
        <f>SUM(D8:D40)</f>
        <v>0</v>
      </c>
      <c r="E41" s="674">
        <f>SUM(E8:E40)</f>
        <v>0</v>
      </c>
      <c r="F41" s="674">
        <f>SUM(F8:F40)</f>
        <v>0</v>
      </c>
      <c r="G41" s="641"/>
    </row>
    <row r="42" spans="1:10" s="175" customFormat="1" ht="13.8" thickTop="1">
      <c r="A42" s="965">
        <f>A41+1</f>
        <v>3</v>
      </c>
      <c r="B42" s="1118"/>
      <c r="C42" s="1118"/>
      <c r="D42" s="1118"/>
      <c r="E42" s="1119"/>
      <c r="F42" s="1119"/>
      <c r="G42" s="874"/>
      <c r="H42" s="636"/>
      <c r="I42" s="636"/>
      <c r="J42" s="636"/>
    </row>
    <row r="43" spans="1:10" s="636" customFormat="1">
      <c r="A43" s="965">
        <f t="shared" ref="A43:A48" si="2">A42+1</f>
        <v>4</v>
      </c>
      <c r="B43" s="1118" t="s">
        <v>598</v>
      </c>
      <c r="C43" s="1118"/>
      <c r="D43" s="1118"/>
      <c r="E43" s="1119"/>
      <c r="F43" s="1119"/>
      <c r="G43" s="874"/>
    </row>
    <row r="44" spans="1:10" s="636" customFormat="1">
      <c r="A44" s="965">
        <f t="shared" si="2"/>
        <v>5</v>
      </c>
      <c r="B44" s="1120" t="s">
        <v>696</v>
      </c>
      <c r="C44" s="1121"/>
      <c r="D44" s="1121"/>
      <c r="E44" s="1121"/>
      <c r="F44" s="1121"/>
      <c r="G44" s="889"/>
    </row>
    <row r="45" spans="1:10" s="636" customFormat="1" ht="15">
      <c r="A45" s="965">
        <f t="shared" si="2"/>
        <v>6</v>
      </c>
      <c r="B45" s="1120" t="s">
        <v>540</v>
      </c>
      <c r="C45" s="704"/>
      <c r="D45" s="704">
        <f>D21</f>
        <v>0</v>
      </c>
      <c r="E45" s="704">
        <f>E21</f>
        <v>0</v>
      </c>
      <c r="F45" s="704">
        <f>F21</f>
        <v>0</v>
      </c>
      <c r="G45" s="704"/>
    </row>
    <row r="46" spans="1:10" s="636" customFormat="1">
      <c r="A46" s="965">
        <f t="shared" si="2"/>
        <v>7</v>
      </c>
      <c r="B46" s="1122" t="s">
        <v>823</v>
      </c>
      <c r="C46" s="1121"/>
      <c r="D46" s="1121">
        <f>SUM(D44:D45)</f>
        <v>0</v>
      </c>
      <c r="E46" s="1121">
        <f>SUM(E44:E45)</f>
        <v>0</v>
      </c>
      <c r="F46" s="1121">
        <f>SUM(F44:F45)</f>
        <v>0</v>
      </c>
      <c r="G46" s="889"/>
    </row>
    <row r="47" spans="1:10" s="636" customFormat="1" ht="15">
      <c r="A47" s="965">
        <f t="shared" si="2"/>
        <v>8</v>
      </c>
      <c r="B47" s="1118" t="s">
        <v>863</v>
      </c>
      <c r="C47" s="704"/>
      <c r="D47" s="704">
        <f>SUM(D20:D25)-D21</f>
        <v>0</v>
      </c>
      <c r="E47" s="704">
        <f>SUM(E20:E25)-E21</f>
        <v>0</v>
      </c>
      <c r="F47" s="704">
        <f>SUM(F20:F25)-F21</f>
        <v>0</v>
      </c>
      <c r="G47" s="910"/>
    </row>
    <row r="48" spans="1:10" s="636" customFormat="1">
      <c r="A48" s="965">
        <f t="shared" si="2"/>
        <v>9</v>
      </c>
      <c r="B48" s="1118" t="s">
        <v>787</v>
      </c>
      <c r="C48" s="1121"/>
      <c r="D48" s="1121">
        <f>+D46+D47</f>
        <v>0</v>
      </c>
      <c r="E48" s="1121">
        <f>+E46+E47</f>
        <v>0</v>
      </c>
      <c r="F48" s="1121">
        <f>+F46+F47</f>
        <v>0</v>
      </c>
      <c r="G48" s="889"/>
    </row>
    <row r="49" spans="1:10" s="636" customFormat="1">
      <c r="A49" s="965">
        <f t="shared" ref="A49:A60" si="3">+A48+1</f>
        <v>10</v>
      </c>
      <c r="B49" s="640"/>
      <c r="C49" s="641"/>
      <c r="D49" s="296"/>
      <c r="E49" s="296"/>
      <c r="F49" s="296"/>
      <c r="G49" s="641"/>
      <c r="H49" s="175"/>
      <c r="I49" s="175"/>
      <c r="J49" s="175"/>
    </row>
    <row r="50" spans="1:10" s="175" customFormat="1">
      <c r="A50" s="965">
        <f t="shared" si="3"/>
        <v>11</v>
      </c>
      <c r="B50" s="1118" t="s">
        <v>56</v>
      </c>
      <c r="C50" s="1118"/>
      <c r="D50" s="1118"/>
      <c r="E50" s="1118"/>
      <c r="F50" s="1118"/>
      <c r="G50" s="869"/>
    </row>
    <row r="51" spans="1:10" s="175" customFormat="1">
      <c r="A51" s="965">
        <f t="shared" si="3"/>
        <v>12</v>
      </c>
      <c r="B51" s="1120" t="s">
        <v>719</v>
      </c>
      <c r="D51" s="1123">
        <f>D8+D9</f>
        <v>0</v>
      </c>
      <c r="E51" s="1123">
        <f>E8+E9</f>
        <v>0</v>
      </c>
      <c r="F51" s="1123">
        <f>F8+F9</f>
        <v>0</v>
      </c>
    </row>
    <row r="52" spans="1:10" s="175" customFormat="1">
      <c r="A52" s="965">
        <f t="shared" si="3"/>
        <v>13</v>
      </c>
      <c r="B52" s="1120" t="s">
        <v>718</v>
      </c>
      <c r="D52" s="1124">
        <f t="shared" ref="D52:F53" si="4">D10</f>
        <v>0</v>
      </c>
      <c r="E52" s="1124">
        <f t="shared" si="4"/>
        <v>0</v>
      </c>
      <c r="F52" s="1124">
        <f t="shared" si="4"/>
        <v>0</v>
      </c>
    </row>
    <row r="53" spans="1:10" s="175" customFormat="1">
      <c r="A53" s="965">
        <f t="shared" si="3"/>
        <v>14</v>
      </c>
      <c r="B53" s="1120" t="s">
        <v>717</v>
      </c>
      <c r="D53" s="1124">
        <f t="shared" si="4"/>
        <v>0</v>
      </c>
      <c r="E53" s="1124">
        <f t="shared" si="4"/>
        <v>0</v>
      </c>
      <c r="F53" s="1124">
        <f t="shared" si="4"/>
        <v>0</v>
      </c>
    </row>
    <row r="54" spans="1:10" s="175" customFormat="1">
      <c r="A54" s="965">
        <f t="shared" si="3"/>
        <v>15</v>
      </c>
      <c r="B54" s="1120" t="s">
        <v>711</v>
      </c>
      <c r="D54" s="1123">
        <f>SUM(D12:D19)</f>
        <v>0</v>
      </c>
      <c r="E54" s="1123">
        <f>SUM(E12:E19)</f>
        <v>0</v>
      </c>
      <c r="F54" s="1123">
        <f>SUM(F12:F19)</f>
        <v>0</v>
      </c>
    </row>
    <row r="55" spans="1:10" s="175" customFormat="1">
      <c r="A55" s="965">
        <f t="shared" si="3"/>
        <v>16</v>
      </c>
      <c r="B55" s="1120" t="s">
        <v>710</v>
      </c>
      <c r="D55" s="1123">
        <f>SUM(D20:D25)</f>
        <v>0</v>
      </c>
      <c r="E55" s="1123">
        <f>SUM(E20:E25)</f>
        <v>0</v>
      </c>
      <c r="F55" s="1123">
        <f>SUM(F20:F25)</f>
        <v>0</v>
      </c>
    </row>
    <row r="56" spans="1:10" s="175" customFormat="1">
      <c r="A56" s="965">
        <f t="shared" si="3"/>
        <v>17</v>
      </c>
      <c r="B56" s="1120" t="s">
        <v>712</v>
      </c>
      <c r="D56" s="1123">
        <f t="shared" ref="D56:F57" si="5">D26</f>
        <v>0</v>
      </c>
      <c r="E56" s="1123">
        <f t="shared" si="5"/>
        <v>0</v>
      </c>
      <c r="F56" s="1123">
        <f t="shared" si="5"/>
        <v>0</v>
      </c>
    </row>
    <row r="57" spans="1:10" s="175" customFormat="1">
      <c r="A57" s="965">
        <f t="shared" si="3"/>
        <v>18</v>
      </c>
      <c r="B57" s="1120" t="s">
        <v>713</v>
      </c>
      <c r="D57" s="1123">
        <f t="shared" si="5"/>
        <v>0</v>
      </c>
      <c r="E57" s="1123">
        <f t="shared" si="5"/>
        <v>0</v>
      </c>
      <c r="F57" s="1123">
        <f t="shared" si="5"/>
        <v>0</v>
      </c>
    </row>
    <row r="58" spans="1:10" s="175" customFormat="1">
      <c r="A58" s="965">
        <f t="shared" si="3"/>
        <v>19</v>
      </c>
      <c r="B58" s="1120" t="s">
        <v>714</v>
      </c>
      <c r="D58" s="1123">
        <f>D29</f>
        <v>0</v>
      </c>
      <c r="E58" s="1123">
        <f>E29</f>
        <v>0</v>
      </c>
      <c r="F58" s="1123">
        <f>F29</f>
        <v>0</v>
      </c>
    </row>
    <row r="59" spans="1:10" s="175" customFormat="1">
      <c r="A59" s="965">
        <f t="shared" si="3"/>
        <v>20</v>
      </c>
      <c r="B59" s="1120" t="s">
        <v>715</v>
      </c>
      <c r="D59" s="1123">
        <f>D28</f>
        <v>0</v>
      </c>
      <c r="E59" s="1123">
        <f>E28</f>
        <v>0</v>
      </c>
      <c r="F59" s="1123">
        <f>F28</f>
        <v>0</v>
      </c>
    </row>
    <row r="60" spans="1:10" s="175" customFormat="1">
      <c r="A60" s="965">
        <f t="shared" si="3"/>
        <v>21</v>
      </c>
      <c r="B60" s="1120" t="s">
        <v>716</v>
      </c>
      <c r="D60" s="1124">
        <f>SUM(D30:D40)</f>
        <v>0</v>
      </c>
      <c r="E60" s="1124">
        <f>SUM(E30:E40)</f>
        <v>0</v>
      </c>
      <c r="F60" s="1124">
        <f>SUM(F30:F40)</f>
        <v>0</v>
      </c>
    </row>
    <row r="61" spans="1:10" s="175" customFormat="1" ht="13.8" thickBot="1">
      <c r="A61" s="965">
        <f>A60+1</f>
        <v>22</v>
      </c>
      <c r="B61" s="1118" t="str">
        <f>B41</f>
        <v>Total  Sum Line 1 Subparts</v>
      </c>
      <c r="D61" s="1125">
        <f>SUM(D51:D60)</f>
        <v>0</v>
      </c>
      <c r="E61" s="1125">
        <f>SUM(E51:E60)</f>
        <v>0</v>
      </c>
      <c r="F61" s="1125">
        <f>SUM(F51:F60)</f>
        <v>0</v>
      </c>
    </row>
    <row r="62" spans="1:10" s="175" customFormat="1" ht="13.8" thickTop="1">
      <c r="A62" s="1006">
        <f>A61+1</f>
        <v>23</v>
      </c>
      <c r="B62" s="1118"/>
      <c r="D62" s="1118"/>
      <c r="E62" s="1118"/>
      <c r="F62" s="1126"/>
      <c r="G62" s="876"/>
    </row>
    <row r="63" spans="1:10" s="175" customFormat="1">
      <c r="A63" s="1006">
        <f>A62+1</f>
        <v>24</v>
      </c>
      <c r="B63" s="1204" t="s">
        <v>879</v>
      </c>
      <c r="D63" s="1123"/>
      <c r="E63" s="1123">
        <f>SUM(E51:E59)</f>
        <v>0</v>
      </c>
      <c r="F63" s="1123"/>
      <c r="G63" s="174"/>
    </row>
    <row r="64" spans="1:10" s="175" customFormat="1">
      <c r="A64" s="1006"/>
      <c r="B64" s="1122"/>
      <c r="D64" s="1123"/>
      <c r="E64" s="1123"/>
      <c r="F64" s="1123"/>
      <c r="G64" s="174"/>
    </row>
    <row r="65" spans="1:11" s="175" customFormat="1">
      <c r="A65" s="175" t="s">
        <v>199</v>
      </c>
      <c r="B65" s="640"/>
      <c r="D65" s="296"/>
      <c r="E65" s="296"/>
      <c r="F65" s="296"/>
      <c r="G65" s="174"/>
      <c r="H65" s="174"/>
      <c r="I65" s="174"/>
      <c r="J65" s="174"/>
    </row>
    <row r="66" spans="1:11">
      <c r="A66" s="1203" t="s">
        <v>176</v>
      </c>
      <c r="B66" s="673" t="s">
        <v>776</v>
      </c>
      <c r="C66" s="673"/>
      <c r="D66" s="673"/>
      <c r="E66" s="673"/>
      <c r="F66" s="673"/>
    </row>
    <row r="67" spans="1:11" s="636" customFormat="1" ht="14.25" customHeight="1">
      <c r="A67" s="1206" t="s">
        <v>338</v>
      </c>
      <c r="B67" s="1876" t="s">
        <v>880</v>
      </c>
      <c r="C67" s="1876"/>
      <c r="D67" s="1876"/>
      <c r="E67" s="1876"/>
      <c r="F67" s="1876"/>
      <c r="G67" s="1087"/>
      <c r="H67" s="1088"/>
      <c r="I67" s="1087"/>
      <c r="J67" s="1087"/>
      <c r="K67" s="1087"/>
    </row>
    <row r="68" spans="1:11" s="636" customFormat="1" ht="26.4" customHeight="1">
      <c r="A68" s="1086" t="s">
        <v>339</v>
      </c>
      <c r="B68" s="1857" t="s">
        <v>881</v>
      </c>
      <c r="C68" s="1857"/>
      <c r="D68" s="1857"/>
      <c r="E68" s="1857"/>
      <c r="F68" s="1857"/>
      <c r="G68" s="1087"/>
      <c r="H68" s="1088"/>
      <c r="I68" s="1087"/>
      <c r="J68" s="1087"/>
      <c r="K68" s="1087"/>
    </row>
    <row r="69" spans="1:11">
      <c r="A69" s="1089"/>
      <c r="B69" s="673"/>
      <c r="C69" s="673"/>
      <c r="D69" s="673"/>
      <c r="E69" s="673"/>
      <c r="F69" s="673"/>
    </row>
    <row r="70" spans="1:11">
      <c r="A70" s="1089"/>
      <c r="B70" s="673"/>
      <c r="C70" s="673"/>
      <c r="D70" s="673"/>
      <c r="E70" s="673"/>
      <c r="F70" s="673"/>
    </row>
    <row r="71" spans="1:11">
      <c r="A71" s="1089"/>
      <c r="B71" s="673"/>
      <c r="C71" s="673"/>
      <c r="D71" s="673"/>
      <c r="E71" s="673"/>
      <c r="F71" s="673"/>
    </row>
    <row r="72" spans="1:11">
      <c r="A72" s="174"/>
    </row>
  </sheetData>
  <mergeCells count="5">
    <mergeCell ref="B68:F68"/>
    <mergeCell ref="B67:F67"/>
    <mergeCell ref="A3:F3"/>
    <mergeCell ref="A1:F1"/>
    <mergeCell ref="A2:F2"/>
  </mergeCells>
  <phoneticPr fontId="104" type="noConversion"/>
  <printOptions horizontalCentered="1"/>
  <pageMargins left="0.7" right="0.7" top="0.7" bottom="0.7" header="0.3" footer="0.5"/>
  <pageSetup scale="78" orientation="portrait" r:id="rId1"/>
  <headerFooter>
    <oddFooter>&amp;R&amp;A</oddFooter>
  </headerFooter>
  <ignoredErrors>
    <ignoredError sqref="D47:E60" formulaRange="1"/>
    <ignoredError sqref="A66:A68"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61"/>
  <sheetViews>
    <sheetView zoomScaleNormal="100" workbookViewId="0">
      <selection sqref="A1:B1"/>
    </sheetView>
  </sheetViews>
  <sheetFormatPr defaultColWidth="8.88671875" defaultRowHeight="13.2"/>
  <cols>
    <col min="1" max="1" width="4.88671875" style="1110" customWidth="1"/>
    <col min="2" max="2" width="43.109375" style="1100" customWidth="1"/>
    <col min="3" max="3" width="11.6640625" style="1100" bestFit="1" customWidth="1"/>
    <col min="4" max="6" width="11" style="1100" customWidth="1"/>
    <col min="7" max="7" width="14.109375" style="1100" customWidth="1"/>
    <col min="8" max="11" width="12.44140625" style="1100" customWidth="1"/>
    <col min="12" max="12" width="10.44140625" style="1100" customWidth="1"/>
    <col min="13" max="16384" width="8.88671875" style="1100"/>
  </cols>
  <sheetData>
    <row r="1" spans="1:14" s="44" customFormat="1">
      <c r="A1" s="1878" t="str">
        <f>+'MISO Cover'!C6</f>
        <v>Entergy Arkansas, Inc.</v>
      </c>
      <c r="B1" s="1878"/>
      <c r="C1" s="1878"/>
      <c r="D1" s="1878"/>
      <c r="E1" s="1878"/>
      <c r="F1" s="1878"/>
      <c r="G1" s="1878"/>
      <c r="H1" s="882"/>
    </row>
    <row r="2" spans="1:14" s="44" customFormat="1">
      <c r="A2" s="1941" t="s">
        <v>179</v>
      </c>
      <c r="B2" s="1941"/>
      <c r="C2" s="1941"/>
      <c r="D2" s="1941"/>
      <c r="E2" s="1941"/>
      <c r="F2" s="1941"/>
      <c r="G2" s="1941"/>
    </row>
    <row r="3" spans="1:14" s="44" customFormat="1">
      <c r="A3" s="1959" t="s">
        <v>989</v>
      </c>
      <c r="B3" s="1959"/>
      <c r="C3" s="1959"/>
      <c r="D3" s="1959"/>
      <c r="E3" s="1959"/>
      <c r="F3" s="1959"/>
      <c r="G3" s="1959"/>
    </row>
    <row r="4" spans="1:14" s="44" customFormat="1">
      <c r="A4" s="1941" t="str">
        <f>+'MISO Cover'!K4</f>
        <v>For  the 12 Months Ended 12/31/2016</v>
      </c>
      <c r="B4" s="1941"/>
      <c r="C4" s="1941"/>
      <c r="D4" s="1941"/>
      <c r="E4" s="1941"/>
      <c r="F4" s="1941"/>
      <c r="G4" s="1941"/>
      <c r="H4" s="853"/>
      <c r="I4" s="853"/>
      <c r="J4" s="853"/>
      <c r="K4" s="853"/>
      <c r="L4" s="853"/>
      <c r="M4" s="853"/>
      <c r="N4" s="853"/>
    </row>
    <row r="5" spans="1:14" s="44" customFormat="1">
      <c r="A5" s="1098"/>
      <c r="B5" s="1098"/>
      <c r="C5" s="621"/>
      <c r="D5" s="621"/>
      <c r="E5" s="621"/>
      <c r="F5" s="1099" t="s">
        <v>905</v>
      </c>
      <c r="G5" s="1430" t="s">
        <v>906</v>
      </c>
      <c r="H5" s="853"/>
      <c r="I5" s="853"/>
      <c r="J5" s="853"/>
      <c r="K5" s="853"/>
      <c r="L5" s="853"/>
      <c r="M5" s="853"/>
      <c r="N5" s="853"/>
    </row>
    <row r="6" spans="1:14" s="174" customFormat="1">
      <c r="A6" s="638" t="s">
        <v>290</v>
      </c>
      <c r="B6" s="1099" t="s">
        <v>72</v>
      </c>
      <c r="C6" s="1099" t="s">
        <v>119</v>
      </c>
      <c r="D6" s="1099" t="s">
        <v>60</v>
      </c>
      <c r="E6" s="1099" t="s">
        <v>73</v>
      </c>
      <c r="F6" s="1099" t="s">
        <v>71</v>
      </c>
      <c r="G6" s="1430" t="s">
        <v>161</v>
      </c>
      <c r="H6" s="853"/>
      <c r="I6" s="853"/>
      <c r="J6" s="853"/>
      <c r="K6" s="853"/>
      <c r="L6" s="853"/>
    </row>
    <row r="7" spans="1:14" s="174" customFormat="1" ht="15">
      <c r="A7" s="638"/>
      <c r="B7" s="1099"/>
      <c r="C7" s="1099"/>
      <c r="D7" s="1957" t="s">
        <v>847</v>
      </c>
      <c r="E7" s="1957"/>
      <c r="F7" s="1957"/>
      <c r="G7" s="1430"/>
      <c r="H7" s="853"/>
      <c r="I7" s="853"/>
      <c r="J7" s="853"/>
      <c r="K7" s="853"/>
      <c r="L7" s="853"/>
    </row>
    <row r="8" spans="1:14" s="174" customFormat="1">
      <c r="A8" s="1006">
        <v>1</v>
      </c>
      <c r="B8" s="1541" t="s">
        <v>180</v>
      </c>
      <c r="C8" s="1541" t="s">
        <v>846</v>
      </c>
      <c r="D8" s="1541" t="s">
        <v>899</v>
      </c>
      <c r="E8" s="1541" t="s">
        <v>900</v>
      </c>
      <c r="F8" s="1541" t="s">
        <v>118</v>
      </c>
      <c r="G8" s="1541" t="s">
        <v>549</v>
      </c>
      <c r="H8" s="175"/>
    </row>
    <row r="9" spans="1:14">
      <c r="A9" s="1007">
        <f>+A8+0.01</f>
        <v>1.01</v>
      </c>
      <c r="B9" s="1595" t="s">
        <v>1502</v>
      </c>
      <c r="C9" s="221">
        <v>0</v>
      </c>
      <c r="D9" s="221">
        <v>0</v>
      </c>
      <c r="E9" s="221">
        <v>0</v>
      </c>
      <c r="F9" s="1105">
        <f>+D9+E9</f>
        <v>0</v>
      </c>
      <c r="G9" s="80">
        <f>+C9+F9</f>
        <v>0</v>
      </c>
      <c r="H9" s="1103"/>
    </row>
    <row r="10" spans="1:14">
      <c r="A10" s="1007">
        <f>+A9+0.01</f>
        <v>1.02</v>
      </c>
      <c r="B10" s="1587" t="s">
        <v>1450</v>
      </c>
      <c r="C10" s="221">
        <v>0</v>
      </c>
      <c r="D10" s="221">
        <v>0</v>
      </c>
      <c r="E10" s="221">
        <v>119461.81</v>
      </c>
      <c r="F10" s="1105">
        <f t="shared" ref="F10:F31" si="0">+D10+E10</f>
        <v>119461.81</v>
      </c>
      <c r="G10" s="80">
        <f t="shared" ref="G10:G31" si="1">+C10+F10</f>
        <v>119461.81</v>
      </c>
      <c r="H10" s="1103"/>
    </row>
    <row r="11" spans="1:14">
      <c r="A11" s="1007">
        <f>+A9+0.01</f>
        <v>1.02</v>
      </c>
      <c r="B11" s="1587" t="s">
        <v>1451</v>
      </c>
      <c r="C11" s="221">
        <v>0</v>
      </c>
      <c r="D11" s="221">
        <v>0</v>
      </c>
      <c r="E11" s="221">
        <v>130950.42</v>
      </c>
      <c r="F11" s="1105">
        <f t="shared" si="0"/>
        <v>130950.42</v>
      </c>
      <c r="G11" s="80">
        <f t="shared" si="1"/>
        <v>130950.42</v>
      </c>
      <c r="H11" s="1103"/>
    </row>
    <row r="12" spans="1:14">
      <c r="A12" s="1007">
        <f t="shared" ref="A12:A27" si="2">+A11+0.01</f>
        <v>1.03</v>
      </c>
      <c r="B12" s="1587" t="s">
        <v>1482</v>
      </c>
      <c r="C12" s="221">
        <v>0</v>
      </c>
      <c r="D12" s="221">
        <v>0</v>
      </c>
      <c r="E12" s="221">
        <v>307.61</v>
      </c>
      <c r="F12" s="1105">
        <f t="shared" si="0"/>
        <v>307.61</v>
      </c>
      <c r="G12" s="80">
        <f t="shared" si="1"/>
        <v>307.61</v>
      </c>
      <c r="H12" s="1103"/>
    </row>
    <row r="13" spans="1:14">
      <c r="A13" s="1007">
        <f t="shared" si="2"/>
        <v>1.04</v>
      </c>
      <c r="B13" s="1587" t="s">
        <v>1490</v>
      </c>
      <c r="C13" s="221">
        <v>0</v>
      </c>
      <c r="D13" s="221">
        <v>0</v>
      </c>
      <c r="E13" s="221">
        <v>557551.46</v>
      </c>
      <c r="F13" s="1105">
        <f t="shared" si="0"/>
        <v>557551.46</v>
      </c>
      <c r="G13" s="80">
        <f t="shared" si="1"/>
        <v>557551.46</v>
      </c>
      <c r="H13" s="1103"/>
    </row>
    <row r="14" spans="1:14">
      <c r="A14" s="1007">
        <f t="shared" si="2"/>
        <v>1.05</v>
      </c>
      <c r="B14" s="1587" t="s">
        <v>1493</v>
      </c>
      <c r="C14" s="221">
        <v>0</v>
      </c>
      <c r="D14" s="221">
        <v>0</v>
      </c>
      <c r="E14" s="221">
        <v>672.86</v>
      </c>
      <c r="F14" s="1105">
        <f t="shared" si="0"/>
        <v>672.86</v>
      </c>
      <c r="G14" s="80">
        <f t="shared" si="1"/>
        <v>672.86</v>
      </c>
      <c r="H14" s="1103"/>
    </row>
    <row r="15" spans="1:14">
      <c r="A15" s="1007">
        <f t="shared" si="2"/>
        <v>1.06</v>
      </c>
      <c r="B15" s="1587" t="s">
        <v>1497</v>
      </c>
      <c r="C15" s="221">
        <v>0</v>
      </c>
      <c r="D15" s="221">
        <v>0</v>
      </c>
      <c r="E15" s="221">
        <v>2159.12</v>
      </c>
      <c r="F15" s="1105">
        <f t="shared" si="0"/>
        <v>2159.12</v>
      </c>
      <c r="G15" s="80">
        <f t="shared" si="1"/>
        <v>2159.12</v>
      </c>
      <c r="H15" s="1103"/>
    </row>
    <row r="16" spans="1:14">
      <c r="A16" s="1007">
        <f t="shared" si="2"/>
        <v>1.07</v>
      </c>
      <c r="B16" s="1587" t="s">
        <v>1494</v>
      </c>
      <c r="C16" s="221">
        <v>0</v>
      </c>
      <c r="D16" s="221">
        <v>0</v>
      </c>
      <c r="E16" s="221">
        <v>141.35</v>
      </c>
      <c r="F16" s="1105">
        <f t="shared" si="0"/>
        <v>141.35</v>
      </c>
      <c r="G16" s="80">
        <f t="shared" si="1"/>
        <v>141.35</v>
      </c>
      <c r="H16" s="1103"/>
    </row>
    <row r="17" spans="1:8">
      <c r="A17" s="1007">
        <f t="shared" si="2"/>
        <v>1.08</v>
      </c>
      <c r="B17" s="1587" t="s">
        <v>1455</v>
      </c>
      <c r="C17" s="221">
        <v>0</v>
      </c>
      <c r="D17" s="221">
        <v>0</v>
      </c>
      <c r="E17" s="221">
        <v>54648.95</v>
      </c>
      <c r="F17" s="1105">
        <f t="shared" si="0"/>
        <v>54648.95</v>
      </c>
      <c r="G17" s="80">
        <f t="shared" si="1"/>
        <v>54648.95</v>
      </c>
      <c r="H17" s="1103"/>
    </row>
    <row r="18" spans="1:8">
      <c r="A18" s="1007">
        <f t="shared" si="2"/>
        <v>1.0900000000000001</v>
      </c>
      <c r="B18" s="1587" t="s">
        <v>1462</v>
      </c>
      <c r="C18" s="221">
        <v>0</v>
      </c>
      <c r="D18" s="221">
        <v>0</v>
      </c>
      <c r="E18" s="221">
        <v>27.56</v>
      </c>
      <c r="F18" s="1105">
        <f t="shared" si="0"/>
        <v>27.56</v>
      </c>
      <c r="G18" s="80">
        <f t="shared" si="1"/>
        <v>27.56</v>
      </c>
      <c r="H18" s="1103"/>
    </row>
    <row r="19" spans="1:8">
      <c r="A19" s="1007">
        <f t="shared" si="2"/>
        <v>1.1000000000000001</v>
      </c>
      <c r="B19" s="1587" t="s">
        <v>1485</v>
      </c>
      <c r="C19" s="221">
        <v>0</v>
      </c>
      <c r="D19" s="221">
        <v>0</v>
      </c>
      <c r="E19" s="221">
        <v>0</v>
      </c>
      <c r="F19" s="1105">
        <f t="shared" si="0"/>
        <v>0</v>
      </c>
      <c r="G19" s="80">
        <f t="shared" si="1"/>
        <v>0</v>
      </c>
      <c r="H19" s="1103"/>
    </row>
    <row r="20" spans="1:8">
      <c r="A20" s="1007">
        <f t="shared" si="2"/>
        <v>1.1100000000000001</v>
      </c>
      <c r="B20" s="1587" t="s">
        <v>1486</v>
      </c>
      <c r="C20" s="221">
        <v>0</v>
      </c>
      <c r="D20" s="221">
        <v>0</v>
      </c>
      <c r="E20" s="221">
        <v>0</v>
      </c>
      <c r="F20" s="1105">
        <f t="shared" si="0"/>
        <v>0</v>
      </c>
      <c r="G20" s="80">
        <f t="shared" si="1"/>
        <v>0</v>
      </c>
      <c r="H20" s="1103"/>
    </row>
    <row r="21" spans="1:8">
      <c r="A21" s="1007">
        <f t="shared" si="2"/>
        <v>1.1200000000000001</v>
      </c>
      <c r="B21" s="1587" t="s">
        <v>1498</v>
      </c>
      <c r="C21" s="221">
        <v>0</v>
      </c>
      <c r="D21" s="221">
        <v>0</v>
      </c>
      <c r="E21" s="221">
        <v>164734.31</v>
      </c>
      <c r="F21" s="1105">
        <f t="shared" si="0"/>
        <v>164734.31</v>
      </c>
      <c r="G21" s="80">
        <f t="shared" si="1"/>
        <v>164734.31</v>
      </c>
      <c r="H21" s="1103"/>
    </row>
    <row r="22" spans="1:8">
      <c r="A22" s="1007">
        <f t="shared" si="2"/>
        <v>1.1300000000000001</v>
      </c>
      <c r="B22" s="1587" t="s">
        <v>1499</v>
      </c>
      <c r="C22" s="221">
        <v>0</v>
      </c>
      <c r="D22" s="221">
        <v>0</v>
      </c>
      <c r="E22" s="221">
        <v>0</v>
      </c>
      <c r="F22" s="1105">
        <f t="shared" si="0"/>
        <v>0</v>
      </c>
      <c r="G22" s="80">
        <f t="shared" si="1"/>
        <v>0</v>
      </c>
      <c r="H22" s="1103"/>
    </row>
    <row r="23" spans="1:8">
      <c r="A23" s="1007">
        <f t="shared" si="2"/>
        <v>1.1400000000000001</v>
      </c>
      <c r="B23" s="1587" t="s">
        <v>1500</v>
      </c>
      <c r="C23" s="221">
        <v>0</v>
      </c>
      <c r="D23" s="221">
        <v>0</v>
      </c>
      <c r="E23" s="221">
        <v>26.35</v>
      </c>
      <c r="F23" s="1105">
        <f t="shared" si="0"/>
        <v>26.35</v>
      </c>
      <c r="G23" s="80">
        <f t="shared" si="1"/>
        <v>26.35</v>
      </c>
      <c r="H23" s="1103"/>
    </row>
    <row r="24" spans="1:8">
      <c r="A24" s="1007">
        <f t="shared" si="2"/>
        <v>1.1500000000000001</v>
      </c>
      <c r="B24" s="1587" t="s">
        <v>1501</v>
      </c>
      <c r="C24" s="221">
        <v>0</v>
      </c>
      <c r="D24" s="221">
        <v>0</v>
      </c>
      <c r="E24" s="221">
        <v>382000.01</v>
      </c>
      <c r="F24" s="1105">
        <f t="shared" si="0"/>
        <v>382000.01</v>
      </c>
      <c r="G24" s="80">
        <f t="shared" si="1"/>
        <v>382000.01</v>
      </c>
      <c r="H24" s="1103"/>
    </row>
    <row r="25" spans="1:8">
      <c r="A25" s="1007">
        <f t="shared" si="2"/>
        <v>1.1600000000000001</v>
      </c>
      <c r="B25" s="1595" t="s">
        <v>1503</v>
      </c>
      <c r="C25" s="221">
        <v>0</v>
      </c>
      <c r="D25" s="221">
        <v>0</v>
      </c>
      <c r="E25" s="221">
        <v>0</v>
      </c>
      <c r="F25" s="1105">
        <f t="shared" si="0"/>
        <v>0</v>
      </c>
      <c r="G25" s="80">
        <f t="shared" si="1"/>
        <v>0</v>
      </c>
      <c r="H25" s="1103"/>
    </row>
    <row r="26" spans="1:8">
      <c r="A26" s="1007">
        <f t="shared" si="2"/>
        <v>1.1700000000000002</v>
      </c>
      <c r="B26" s="1106" t="s">
        <v>1467</v>
      </c>
      <c r="C26" s="221">
        <v>0</v>
      </c>
      <c r="D26" s="221">
        <v>0</v>
      </c>
      <c r="E26" s="221">
        <v>273894.25</v>
      </c>
      <c r="F26" s="1105">
        <f t="shared" si="0"/>
        <v>273894.25</v>
      </c>
      <c r="G26" s="80">
        <f t="shared" si="1"/>
        <v>273894.25</v>
      </c>
      <c r="H26" s="1103"/>
    </row>
    <row r="27" spans="1:8">
      <c r="A27" s="1007">
        <f t="shared" si="2"/>
        <v>1.1800000000000002</v>
      </c>
      <c r="B27" s="1106" t="s">
        <v>1468</v>
      </c>
      <c r="C27" s="221">
        <v>0</v>
      </c>
      <c r="D27" s="221">
        <v>0</v>
      </c>
      <c r="E27" s="221">
        <v>33915.03</v>
      </c>
      <c r="F27" s="1105">
        <f t="shared" si="0"/>
        <v>33915.03</v>
      </c>
      <c r="G27" s="80">
        <f t="shared" si="1"/>
        <v>33915.03</v>
      </c>
      <c r="H27" s="1103"/>
    </row>
    <row r="28" spans="1:8">
      <c r="A28" s="1007">
        <f>+A27+0.01</f>
        <v>1.1900000000000002</v>
      </c>
      <c r="B28" s="1106" t="s">
        <v>1469</v>
      </c>
      <c r="C28" s="221">
        <v>0</v>
      </c>
      <c r="D28" s="221">
        <v>0</v>
      </c>
      <c r="E28" s="221">
        <v>398726.3</v>
      </c>
      <c r="F28" s="1105">
        <f t="shared" si="0"/>
        <v>398726.3</v>
      </c>
      <c r="G28" s="80">
        <f t="shared" si="1"/>
        <v>398726.3</v>
      </c>
      <c r="H28" s="1103"/>
    </row>
    <row r="29" spans="1:8">
      <c r="A29" s="1007">
        <f>+A28+0.01</f>
        <v>1.2000000000000002</v>
      </c>
      <c r="B29" s="1106" t="s">
        <v>1472</v>
      </c>
      <c r="C29" s="221">
        <v>0</v>
      </c>
      <c r="D29" s="221">
        <v>0</v>
      </c>
      <c r="E29" s="221">
        <v>1233607.4099999999</v>
      </c>
      <c r="F29" s="1105">
        <f t="shared" si="0"/>
        <v>1233607.4099999999</v>
      </c>
      <c r="G29" s="80">
        <f t="shared" si="1"/>
        <v>1233607.4099999999</v>
      </c>
      <c r="H29" s="1103"/>
    </row>
    <row r="30" spans="1:8">
      <c r="A30" s="1007">
        <f>+A29+0.01</f>
        <v>1.2100000000000002</v>
      </c>
      <c r="B30" s="1106" t="s">
        <v>1476</v>
      </c>
      <c r="C30" s="221">
        <v>0</v>
      </c>
      <c r="D30" s="221">
        <v>0</v>
      </c>
      <c r="E30" s="221">
        <v>0.21</v>
      </c>
      <c r="F30" s="1105">
        <f t="shared" si="0"/>
        <v>0.21</v>
      </c>
      <c r="G30" s="80">
        <f t="shared" si="1"/>
        <v>0.21</v>
      </c>
      <c r="H30" s="1103"/>
    </row>
    <row r="31" spans="1:8">
      <c r="A31" s="1007">
        <f>+A30+0.01</f>
        <v>1.2200000000000002</v>
      </c>
      <c r="B31" s="1106" t="s">
        <v>1477</v>
      </c>
      <c r="C31" s="221">
        <v>0</v>
      </c>
      <c r="D31" s="221">
        <v>0</v>
      </c>
      <c r="E31" s="221">
        <v>301.83</v>
      </c>
      <c r="F31" s="80">
        <f t="shared" si="0"/>
        <v>301.83</v>
      </c>
      <c r="G31" s="80">
        <f t="shared" si="1"/>
        <v>301.83</v>
      </c>
      <c r="H31" s="1103"/>
    </row>
    <row r="32" spans="1:8" ht="13.8" thickBot="1">
      <c r="A32" s="1111">
        <f>+A8+1</f>
        <v>2</v>
      </c>
      <c r="B32" s="1103" t="str">
        <f>+"Total  (Sum of Line "&amp;A8&amp; " Subparts)"</f>
        <v>Total  (Sum of Line 1 Subparts)</v>
      </c>
      <c r="C32" s="1101">
        <f>SUM(C9:C31)</f>
        <v>0</v>
      </c>
      <c r="D32" s="1101">
        <f>SUM(D9:D31)</f>
        <v>0</v>
      </c>
      <c r="E32" s="1101">
        <f>SUM(E9:E31)</f>
        <v>3353126.84</v>
      </c>
      <c r="F32" s="1102">
        <f>SUM(F9:F31)</f>
        <v>3353126.84</v>
      </c>
      <c r="G32" s="1102">
        <f>SUM(G9:G31)</f>
        <v>3353126.84</v>
      </c>
    </row>
    <row r="33" spans="1:9" s="636" customFormat="1" ht="13.8" thickTop="1">
      <c r="A33" s="1006">
        <f t="shared" ref="A33:A54" si="3">+A32+1</f>
        <v>3</v>
      </c>
      <c r="B33" s="1103"/>
      <c r="C33" s="1103"/>
      <c r="D33" s="1103"/>
      <c r="E33" s="1103"/>
      <c r="F33" s="1103"/>
      <c r="G33" s="1104"/>
      <c r="H33" s="1104"/>
      <c r="I33" s="1104"/>
    </row>
    <row r="34" spans="1:9" s="636" customFormat="1">
      <c r="A34" s="1006">
        <f t="shared" si="3"/>
        <v>4</v>
      </c>
      <c r="B34" s="1103" t="s">
        <v>598</v>
      </c>
      <c r="C34" s="1103"/>
      <c r="D34" s="1103"/>
      <c r="E34" s="1103"/>
      <c r="F34" s="1103"/>
      <c r="G34" s="1104"/>
      <c r="H34" s="1105"/>
      <c r="I34" s="1105"/>
    </row>
    <row r="35" spans="1:9" s="636" customFormat="1" ht="15">
      <c r="A35" s="1006">
        <f t="shared" si="3"/>
        <v>5</v>
      </c>
      <c r="B35" s="1106" t="s">
        <v>696</v>
      </c>
      <c r="C35" s="1105"/>
      <c r="D35" s="1105"/>
      <c r="E35" s="1105"/>
      <c r="F35" s="1105"/>
      <c r="G35" s="1105"/>
      <c r="H35" s="704"/>
      <c r="I35" s="704"/>
    </row>
    <row r="36" spans="1:9" s="636" customFormat="1">
      <c r="A36" s="1006">
        <f t="shared" si="3"/>
        <v>6</v>
      </c>
      <c r="B36" s="1106" t="s">
        <v>540</v>
      </c>
      <c r="C36" s="1128"/>
      <c r="D36" s="1128"/>
      <c r="E36" s="1128"/>
      <c r="F36" s="1128"/>
      <c r="G36" s="1128"/>
      <c r="H36" s="1105"/>
      <c r="I36" s="1105"/>
    </row>
    <row r="37" spans="1:9" s="636" customFormat="1" ht="15">
      <c r="A37" s="1006">
        <f t="shared" si="3"/>
        <v>7</v>
      </c>
      <c r="B37" s="1111" t="str">
        <f>+"Total Lines "&amp;A35&amp;" + "&amp;A36</f>
        <v>Total Lines 5 + 6</v>
      </c>
      <c r="C37" s="1105">
        <f>SUM(C35:C36)</f>
        <v>0</v>
      </c>
      <c r="D37" s="1105">
        <f>SUM(D35:D36)</f>
        <v>0</v>
      </c>
      <c r="E37" s="1105">
        <f>SUM(E35:E36)</f>
        <v>0</v>
      </c>
      <c r="F37" s="1105">
        <f>SUM(F35:F36)</f>
        <v>0</v>
      </c>
      <c r="G37" s="1105">
        <f>SUM(G35:G36)</f>
        <v>0</v>
      </c>
      <c r="H37" s="704"/>
      <c r="I37" s="704"/>
    </row>
    <row r="38" spans="1:9" s="636" customFormat="1">
      <c r="A38" s="1006">
        <f t="shared" si="3"/>
        <v>8</v>
      </c>
      <c r="B38" s="1208" t="s">
        <v>841</v>
      </c>
      <c r="C38" s="1128">
        <f>+SUM(C17:C20)-C37</f>
        <v>0</v>
      </c>
      <c r="D38" s="1128">
        <f>+SUM(D17:D20)-D37</f>
        <v>0</v>
      </c>
      <c r="E38" s="1128">
        <f>+SUM(E17:E20)-E37</f>
        <v>54676.509999999995</v>
      </c>
      <c r="F38" s="1128">
        <f>+SUM(F17:F20)-F37</f>
        <v>54676.509999999995</v>
      </c>
      <c r="G38" s="1128">
        <f>+SUM(G17:G20)-G37</f>
        <v>54676.509999999995</v>
      </c>
      <c r="H38" s="910"/>
      <c r="I38" s="1105"/>
    </row>
    <row r="39" spans="1:9">
      <c r="A39" s="1006">
        <f t="shared" si="3"/>
        <v>9</v>
      </c>
      <c r="B39" s="1103" t="str">
        <f>+"Total Transmission Sum of (Line "&amp;A37&amp;" &amp; "&amp;A38&amp;")"</f>
        <v>Total Transmission Sum of (Line 7 &amp; 8)</v>
      </c>
      <c r="C39" s="1105">
        <f>+C37+C38</f>
        <v>0</v>
      </c>
      <c r="D39" s="1105">
        <f>+D37+D38</f>
        <v>0</v>
      </c>
      <c r="E39" s="1105">
        <f>+E37+E38</f>
        <v>54676.509999999995</v>
      </c>
      <c r="F39" s="1105">
        <f>+F37+F38</f>
        <v>54676.509999999995</v>
      </c>
      <c r="G39" s="1105">
        <f>+G37+G38</f>
        <v>54676.509999999995</v>
      </c>
    </row>
    <row r="40" spans="1:9">
      <c r="A40" s="1006">
        <f t="shared" si="3"/>
        <v>10</v>
      </c>
      <c r="B40" s="1103"/>
      <c r="C40" s="1107"/>
      <c r="D40" s="1107"/>
      <c r="E40" s="1107"/>
      <c r="F40" s="1107"/>
      <c r="G40" s="1107"/>
    </row>
    <row r="41" spans="1:9">
      <c r="A41" s="1006">
        <f t="shared" si="3"/>
        <v>11</v>
      </c>
      <c r="B41" s="1103" t="s">
        <v>56</v>
      </c>
      <c r="C41" s="1105"/>
      <c r="D41" s="1105"/>
      <c r="E41" s="1105"/>
      <c r="F41" s="1105"/>
      <c r="G41" s="1105"/>
    </row>
    <row r="42" spans="1:9">
      <c r="A42" s="1006">
        <f t="shared" si="3"/>
        <v>12</v>
      </c>
      <c r="B42" s="1106" t="s">
        <v>719</v>
      </c>
      <c r="C42" s="1258">
        <f>+C9</f>
        <v>0</v>
      </c>
      <c r="D42" s="1258">
        <f>+D9</f>
        <v>0</v>
      </c>
      <c r="E42" s="1258">
        <f>+E9</f>
        <v>0</v>
      </c>
      <c r="F42" s="1258">
        <f>+F9</f>
        <v>0</v>
      </c>
      <c r="G42" s="1258">
        <f>+G9</f>
        <v>0</v>
      </c>
    </row>
    <row r="43" spans="1:9">
      <c r="A43" s="1006">
        <f t="shared" si="3"/>
        <v>13</v>
      </c>
      <c r="B43" s="1106" t="s">
        <v>718</v>
      </c>
      <c r="C43" s="1259"/>
      <c r="D43" s="1259"/>
      <c r="E43" s="1259"/>
      <c r="F43" s="1259"/>
      <c r="G43" s="1259"/>
    </row>
    <row r="44" spans="1:9">
      <c r="A44" s="1006">
        <f t="shared" si="3"/>
        <v>14</v>
      </c>
      <c r="B44" s="1106" t="s">
        <v>717</v>
      </c>
      <c r="C44" s="1259">
        <f>+C10</f>
        <v>0</v>
      </c>
      <c r="D44" s="1259">
        <f>+D10</f>
        <v>0</v>
      </c>
      <c r="E44" s="1259">
        <f>+E10</f>
        <v>119461.81</v>
      </c>
      <c r="F44" s="1259">
        <f>+F10</f>
        <v>119461.81</v>
      </c>
      <c r="G44" s="1259">
        <f>+G10</f>
        <v>119461.81</v>
      </c>
      <c r="H44" s="81" t="s">
        <v>1808</v>
      </c>
      <c r="I44" s="984"/>
    </row>
    <row r="45" spans="1:9">
      <c r="A45" s="1006">
        <f t="shared" si="3"/>
        <v>15</v>
      </c>
      <c r="B45" s="1106" t="s">
        <v>711</v>
      </c>
      <c r="C45" s="1258">
        <f>+SUM(C11:C16)</f>
        <v>0</v>
      </c>
      <c r="D45" s="1258">
        <f>+SUM(D11:D16)</f>
        <v>0</v>
      </c>
      <c r="E45" s="1258">
        <f>+SUM(E11:E16)</f>
        <v>691782.82</v>
      </c>
      <c r="F45" s="1258">
        <f>+SUM(F11:F16)</f>
        <v>691782.82</v>
      </c>
      <c r="G45" s="1258">
        <f>+SUM(G11:G16)</f>
        <v>691782.82</v>
      </c>
    </row>
    <row r="46" spans="1:9">
      <c r="A46" s="1006">
        <f t="shared" si="3"/>
        <v>16</v>
      </c>
      <c r="B46" s="1106" t="s">
        <v>710</v>
      </c>
      <c r="C46" s="1258">
        <f>+SUM(C17:C20)</f>
        <v>0</v>
      </c>
      <c r="D46" s="1258">
        <f>+SUM(D17:D20)</f>
        <v>0</v>
      </c>
      <c r="E46" s="1258">
        <f>+SUM(E17:E20)</f>
        <v>54676.509999999995</v>
      </c>
      <c r="F46" s="1258">
        <f>+SUM(F17:F20)</f>
        <v>54676.509999999995</v>
      </c>
      <c r="G46" s="1258">
        <f>+SUM(G17:G20)</f>
        <v>54676.509999999995</v>
      </c>
    </row>
    <row r="47" spans="1:9">
      <c r="A47" s="1006">
        <f t="shared" si="3"/>
        <v>17</v>
      </c>
      <c r="B47" s="1106" t="s">
        <v>712</v>
      </c>
      <c r="C47" s="1258"/>
      <c r="D47" s="1258"/>
      <c r="E47" s="1258"/>
      <c r="F47" s="1258"/>
      <c r="G47" s="1258"/>
    </row>
    <row r="48" spans="1:9">
      <c r="A48" s="1006">
        <f t="shared" si="3"/>
        <v>18</v>
      </c>
      <c r="B48" s="1106" t="s">
        <v>713</v>
      </c>
      <c r="C48" s="1258">
        <f>+SUM(C21:C23)</f>
        <v>0</v>
      </c>
      <c r="D48" s="1258">
        <f>+SUM(D21:D23)</f>
        <v>0</v>
      </c>
      <c r="E48" s="1258">
        <f>+SUM(E21:E23)</f>
        <v>164760.66</v>
      </c>
      <c r="F48" s="1258">
        <f>+SUM(F21:F23)</f>
        <v>164760.66</v>
      </c>
      <c r="G48" s="1258">
        <f>+SUM(G21:G23)</f>
        <v>164760.66</v>
      </c>
    </row>
    <row r="49" spans="1:13">
      <c r="A49" s="1006">
        <f t="shared" si="3"/>
        <v>19</v>
      </c>
      <c r="B49" s="1106" t="s">
        <v>714</v>
      </c>
      <c r="C49" s="1258"/>
      <c r="D49" s="1258"/>
      <c r="E49" s="1258"/>
      <c r="F49" s="1258"/>
      <c r="G49" s="1258"/>
    </row>
    <row r="50" spans="1:13">
      <c r="A50" s="1006">
        <f t="shared" si="3"/>
        <v>20</v>
      </c>
      <c r="B50" s="1106" t="s">
        <v>715</v>
      </c>
      <c r="C50" s="1258">
        <f>+SUM(C24:C25)</f>
        <v>0</v>
      </c>
      <c r="D50" s="1258">
        <f>+SUM(D24:D25)</f>
        <v>0</v>
      </c>
      <c r="E50" s="1258">
        <f>+SUM(E24:E25)</f>
        <v>382000.01</v>
      </c>
      <c r="F50" s="1258">
        <f>+SUM(F24:F25)</f>
        <v>382000.01</v>
      </c>
      <c r="G50" s="1258">
        <f>+SUM(G24:G25)</f>
        <v>382000.01</v>
      </c>
    </row>
    <row r="51" spans="1:13">
      <c r="A51" s="1006">
        <f t="shared" si="3"/>
        <v>21</v>
      </c>
      <c r="B51" s="1106" t="s">
        <v>716</v>
      </c>
      <c r="C51" s="1260">
        <f>+SUM(C26:C31)</f>
        <v>0</v>
      </c>
      <c r="D51" s="1260">
        <f>+SUM(D26:D31)</f>
        <v>0</v>
      </c>
      <c r="E51" s="1260">
        <f>+SUM(E26:E31)</f>
        <v>1940445.03</v>
      </c>
      <c r="F51" s="1260">
        <f>+SUM(F26:F31)</f>
        <v>1940445.03</v>
      </c>
      <c r="G51" s="1260">
        <f>+SUM(G26:G31)</f>
        <v>1940445.03</v>
      </c>
    </row>
    <row r="52" spans="1:13" ht="13.8" thickBot="1">
      <c r="A52" s="1006">
        <f t="shared" si="3"/>
        <v>22</v>
      </c>
      <c r="B52" s="1103" t="str">
        <f>+"Total Sum of (Line "&amp;A42&amp;" to Line "&amp;A51&amp;")"</f>
        <v>Total Sum of (Line 12 to Line 21)</v>
      </c>
      <c r="C52" s="1108">
        <f>SUM(C42:C51)</f>
        <v>0</v>
      </c>
      <c r="D52" s="1108">
        <f>SUM(D42:D51)</f>
        <v>0</v>
      </c>
      <c r="E52" s="1108">
        <f>SUM(E42:E51)</f>
        <v>3353126.84</v>
      </c>
      <c r="F52" s="1108">
        <f>SUM(F42:F51)</f>
        <v>3353126.84</v>
      </c>
      <c r="G52" s="1108">
        <f>SUM(G42:G51)</f>
        <v>3353126.84</v>
      </c>
    </row>
    <row r="53" spans="1:13" ht="13.8" thickTop="1">
      <c r="A53" s="1006">
        <f t="shared" si="3"/>
        <v>23</v>
      </c>
      <c r="B53" s="1103"/>
      <c r="C53" s="1105"/>
      <c r="D53" s="1105"/>
      <c r="E53" s="1105"/>
      <c r="F53" s="1105"/>
      <c r="G53" s="1105"/>
    </row>
    <row r="54" spans="1:13">
      <c r="A54" s="1006">
        <f t="shared" si="3"/>
        <v>24</v>
      </c>
      <c r="B54" s="1103" t="str">
        <f>+"Payroll O&amp;M Excl A&amp;G  Sum (Ln "&amp;A42&amp;" To Ln "&amp;A50&amp;")"</f>
        <v>Payroll O&amp;M Excl A&amp;G  Sum (Ln 12 To Ln 20)</v>
      </c>
      <c r="C54" s="1105"/>
      <c r="D54" s="1105"/>
      <c r="E54" s="1105"/>
      <c r="F54" s="1105">
        <f>+SUM(F42:F50)</f>
        <v>1412681.81</v>
      </c>
      <c r="G54" s="1105"/>
    </row>
    <row r="55" spans="1:13">
      <c r="A55" s="638"/>
      <c r="C55" s="1107"/>
      <c r="D55" s="1107"/>
      <c r="E55" s="1107"/>
      <c r="F55" s="1107"/>
      <c r="G55" s="1107"/>
    </row>
    <row r="57" spans="1:13">
      <c r="A57" s="1100" t="s">
        <v>316</v>
      </c>
    </row>
    <row r="58" spans="1:13" ht="30" customHeight="1">
      <c r="A58" s="1109" t="s">
        <v>176</v>
      </c>
      <c r="B58" s="1960" t="s">
        <v>995</v>
      </c>
      <c r="C58" s="1960"/>
      <c r="D58" s="1960"/>
      <c r="E58" s="1960"/>
      <c r="F58" s="1960"/>
      <c r="G58" s="1960"/>
    </row>
    <row r="59" spans="1:13" ht="27.6" customHeight="1">
      <c r="A59" s="1109" t="s">
        <v>338</v>
      </c>
      <c r="B59" s="1958" t="s">
        <v>884</v>
      </c>
      <c r="C59" s="1958"/>
      <c r="D59" s="1958"/>
      <c r="E59" s="1958"/>
      <c r="F59" s="1958"/>
      <c r="G59" s="1958"/>
    </row>
    <row r="60" spans="1:13" ht="39" customHeight="1">
      <c r="A60" s="1207" t="s">
        <v>339</v>
      </c>
      <c r="B60" s="1958" t="s">
        <v>1130</v>
      </c>
      <c r="C60" s="1958"/>
      <c r="D60" s="1958"/>
      <c r="E60" s="1958"/>
      <c r="F60" s="1958"/>
      <c r="G60" s="1958"/>
    </row>
    <row r="61" spans="1:13" s="1008" customFormat="1">
      <c r="A61" s="1206"/>
      <c r="B61" s="43"/>
      <c r="C61" s="1087"/>
      <c r="D61" s="1087"/>
      <c r="E61" s="1087"/>
      <c r="F61" s="1087"/>
      <c r="G61" s="1087"/>
      <c r="H61" s="1087"/>
      <c r="I61" s="1087"/>
      <c r="J61" s="1088"/>
      <c r="K61" s="1087"/>
      <c r="L61" s="1087"/>
      <c r="M61" s="1087"/>
    </row>
  </sheetData>
  <mergeCells count="8">
    <mergeCell ref="B60:G60"/>
    <mergeCell ref="A4:G4"/>
    <mergeCell ref="B59:G59"/>
    <mergeCell ref="A1:G1"/>
    <mergeCell ref="A2:G2"/>
    <mergeCell ref="A3:G3"/>
    <mergeCell ref="B58:G58"/>
    <mergeCell ref="D7:F7"/>
  </mergeCells>
  <printOptions horizontalCentered="1"/>
  <pageMargins left="0.7" right="0.7" top="0.7" bottom="0.7" header="0.3" footer="0.5"/>
  <pageSetup scale="85" orientation="portrait" r:id="rId1"/>
  <headerFooter>
    <oddFooter>&amp;R&amp;A</oddFooter>
  </headerFooter>
  <ignoredErrors>
    <ignoredError sqref="A11" formula="1"/>
    <ignoredError sqref="C38:E51" formulaRange="1"/>
    <ignoredError sqref="A58:A60"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sqref="A1:B1"/>
    </sheetView>
  </sheetViews>
  <sheetFormatPr defaultColWidth="8.88671875" defaultRowHeight="13.2"/>
  <cols>
    <col min="1" max="1" width="5.33203125" style="1348" customWidth="1"/>
    <col min="2" max="2" width="59.6640625" style="174" customWidth="1"/>
    <col min="3" max="3" width="16.109375" style="174" bestFit="1" customWidth="1"/>
    <col min="4" max="4" width="13.109375" style="174" bestFit="1" customWidth="1"/>
    <col min="5" max="5" width="15.5546875" style="174" bestFit="1" customWidth="1"/>
    <col min="6" max="7" width="8.88671875" style="174"/>
    <col min="8" max="9" width="10.44140625" style="174" bestFit="1" customWidth="1"/>
    <col min="10" max="16384" width="8.88671875" style="174"/>
  </cols>
  <sheetData>
    <row r="1" spans="1:9">
      <c r="A1" s="1874" t="str">
        <f>+'MISO Cover'!C6</f>
        <v>Entergy Arkansas, Inc.</v>
      </c>
      <c r="B1" s="1874"/>
      <c r="C1" s="1874"/>
      <c r="D1" s="1874"/>
      <c r="E1" s="1874"/>
      <c r="F1" s="881"/>
    </row>
    <row r="2" spans="1:9">
      <c r="A2" s="1875" t="s">
        <v>932</v>
      </c>
      <c r="B2" s="1875"/>
      <c r="C2" s="1875"/>
      <c r="D2" s="1875"/>
      <c r="E2" s="1875"/>
      <c r="F2" s="1328"/>
    </row>
    <row r="3" spans="1:9">
      <c r="A3" s="1874" t="str">
        <f>+'MISO Cover'!K4</f>
        <v>For  the 12 Months Ended 12/31/2016</v>
      </c>
      <c r="B3" s="1874"/>
      <c r="C3" s="1874"/>
      <c r="D3" s="1874"/>
      <c r="E3" s="1874"/>
      <c r="F3" s="883"/>
    </row>
    <row r="4" spans="1:9">
      <c r="A4" s="639"/>
      <c r="B4" s="639"/>
      <c r="C4" s="639"/>
      <c r="D4" s="639"/>
      <c r="E4" s="639"/>
      <c r="F4" s="639"/>
    </row>
    <row r="5" spans="1:9">
      <c r="A5" s="1299"/>
      <c r="B5" s="673"/>
      <c r="C5" s="1382"/>
      <c r="D5" s="1382"/>
      <c r="E5" s="1382" t="s">
        <v>697</v>
      </c>
    </row>
    <row r="6" spans="1:9">
      <c r="A6" s="1329" t="s">
        <v>290</v>
      </c>
      <c r="B6" s="1431" t="s">
        <v>72</v>
      </c>
      <c r="C6" s="1431" t="s">
        <v>119</v>
      </c>
      <c r="D6" s="1431" t="s">
        <v>60</v>
      </c>
      <c r="E6" s="1432" t="s">
        <v>73</v>
      </c>
    </row>
    <row r="7" spans="1:9">
      <c r="A7" s="1330">
        <v>1</v>
      </c>
      <c r="B7" s="1541" t="s">
        <v>180</v>
      </c>
      <c r="C7" s="1541" t="s">
        <v>953</v>
      </c>
      <c r="D7" s="1541" t="s">
        <v>509</v>
      </c>
      <c r="E7" s="1541" t="s">
        <v>549</v>
      </c>
    </row>
    <row r="8" spans="1:9">
      <c r="A8" s="1331">
        <f>A7+0.01</f>
        <v>1.01</v>
      </c>
      <c r="B8" s="1596" t="s">
        <v>1504</v>
      </c>
      <c r="C8" s="221">
        <v>0</v>
      </c>
      <c r="D8" s="1435">
        <v>0</v>
      </c>
      <c r="E8" s="999">
        <f>SUM(C8:D8)</f>
        <v>0</v>
      </c>
      <c r="F8" s="1300"/>
      <c r="G8" s="1254"/>
      <c r="H8" s="1332"/>
      <c r="I8" s="1333"/>
    </row>
    <row r="9" spans="1:9" s="1300" customFormat="1">
      <c r="A9" s="1331">
        <f t="shared" ref="A9:A35" si="0">A8+0.01</f>
        <v>1.02</v>
      </c>
      <c r="B9" s="1596" t="s">
        <v>1505</v>
      </c>
      <c r="C9" s="221">
        <v>0</v>
      </c>
      <c r="D9" s="1435">
        <v>0</v>
      </c>
      <c r="E9" s="999">
        <f t="shared" ref="E9:E35" si="1">SUM(C9:D9)</f>
        <v>0</v>
      </c>
      <c r="F9" s="641"/>
      <c r="G9" s="1254"/>
      <c r="H9" s="1332"/>
      <c r="I9" s="1333"/>
    </row>
    <row r="10" spans="1:9" s="175" customFormat="1">
      <c r="A10" s="1331">
        <f t="shared" si="0"/>
        <v>1.03</v>
      </c>
      <c r="B10" s="1596" t="s">
        <v>1449</v>
      </c>
      <c r="C10" s="221">
        <v>0</v>
      </c>
      <c r="D10" s="1435">
        <v>0</v>
      </c>
      <c r="E10" s="999">
        <f t="shared" si="1"/>
        <v>0</v>
      </c>
      <c r="F10" s="641"/>
      <c r="G10" s="1254"/>
      <c r="H10" s="1332"/>
      <c r="I10" s="1333"/>
    </row>
    <row r="11" spans="1:9" s="175" customFormat="1">
      <c r="A11" s="1331">
        <f t="shared" si="0"/>
        <v>1.04</v>
      </c>
      <c r="B11" s="1596" t="s">
        <v>1450</v>
      </c>
      <c r="C11" s="221">
        <v>0</v>
      </c>
      <c r="D11" s="1435">
        <v>0</v>
      </c>
      <c r="E11" s="999">
        <f t="shared" si="1"/>
        <v>0</v>
      </c>
      <c r="F11" s="641"/>
      <c r="G11" s="1254"/>
      <c r="H11" s="1332"/>
      <c r="I11" s="1333"/>
    </row>
    <row r="12" spans="1:9" s="175" customFormat="1">
      <c r="A12" s="1331">
        <f t="shared" si="0"/>
        <v>1.05</v>
      </c>
      <c r="B12" s="1596" t="s">
        <v>1506</v>
      </c>
      <c r="C12" s="221">
        <v>0</v>
      </c>
      <c r="D12" s="1435">
        <v>0</v>
      </c>
      <c r="E12" s="999">
        <f t="shared" si="1"/>
        <v>0</v>
      </c>
      <c r="F12" s="641"/>
      <c r="G12" s="1254"/>
      <c r="H12" s="1332"/>
      <c r="I12" s="1333"/>
    </row>
    <row r="13" spans="1:9" s="175" customFormat="1">
      <c r="A13" s="1331">
        <f t="shared" si="0"/>
        <v>1.06</v>
      </c>
      <c r="B13" s="1596" t="s">
        <v>1451</v>
      </c>
      <c r="C13" s="221">
        <v>0</v>
      </c>
      <c r="D13" s="1435">
        <v>0</v>
      </c>
      <c r="E13" s="999">
        <f t="shared" si="1"/>
        <v>0</v>
      </c>
      <c r="F13" s="641"/>
      <c r="G13" s="1254"/>
      <c r="H13" s="1332"/>
      <c r="I13" s="1333"/>
    </row>
    <row r="14" spans="1:9" s="175" customFormat="1">
      <c r="A14" s="1331">
        <f t="shared" si="0"/>
        <v>1.07</v>
      </c>
      <c r="B14" s="1596" t="s">
        <v>1482</v>
      </c>
      <c r="C14" s="221">
        <v>0</v>
      </c>
      <c r="D14" s="1435">
        <v>0</v>
      </c>
      <c r="E14" s="999">
        <f t="shared" si="1"/>
        <v>0</v>
      </c>
      <c r="F14" s="641"/>
      <c r="G14" s="1254"/>
      <c r="H14" s="1332"/>
      <c r="I14" s="1333"/>
    </row>
    <row r="15" spans="1:9" s="175" customFormat="1">
      <c r="A15" s="1331">
        <f t="shared" si="0"/>
        <v>1.08</v>
      </c>
      <c r="B15" s="1596" t="s">
        <v>1453</v>
      </c>
      <c r="C15" s="221">
        <v>0</v>
      </c>
      <c r="D15" s="1435">
        <v>0</v>
      </c>
      <c r="E15" s="999">
        <f t="shared" si="1"/>
        <v>0</v>
      </c>
      <c r="F15" s="641"/>
      <c r="G15" s="1254"/>
      <c r="H15" s="1332"/>
      <c r="I15" s="1333"/>
    </row>
    <row r="16" spans="1:9" s="175" customFormat="1">
      <c r="A16" s="1331">
        <f t="shared" si="0"/>
        <v>1.0900000000000001</v>
      </c>
      <c r="B16" s="1596" t="s">
        <v>1454</v>
      </c>
      <c r="C16" s="221">
        <v>0</v>
      </c>
      <c r="D16" s="1435">
        <v>0</v>
      </c>
      <c r="E16" s="999">
        <f t="shared" si="1"/>
        <v>0</v>
      </c>
      <c r="F16" s="641"/>
      <c r="G16" s="1254"/>
      <c r="H16" s="1332"/>
      <c r="I16" s="1333"/>
    </row>
    <row r="17" spans="1:9" s="175" customFormat="1">
      <c r="A17" s="1331">
        <f t="shared" si="0"/>
        <v>1.1000000000000001</v>
      </c>
      <c r="B17" s="1596" t="s">
        <v>1455</v>
      </c>
      <c r="C17" s="221">
        <v>0</v>
      </c>
      <c r="D17" s="1435">
        <v>0</v>
      </c>
      <c r="E17" s="999">
        <f t="shared" si="1"/>
        <v>0</v>
      </c>
      <c r="F17" s="641"/>
      <c r="G17" s="1254"/>
      <c r="H17" s="1332"/>
      <c r="I17" s="1333"/>
    </row>
    <row r="18" spans="1:9" s="175" customFormat="1">
      <c r="A18" s="1331">
        <f t="shared" si="0"/>
        <v>1.1100000000000001</v>
      </c>
      <c r="B18" s="1596" t="s">
        <v>1457</v>
      </c>
      <c r="C18" s="221">
        <v>0</v>
      </c>
      <c r="D18" s="1435">
        <v>0</v>
      </c>
      <c r="E18" s="999">
        <f t="shared" si="1"/>
        <v>0</v>
      </c>
      <c r="F18" s="641"/>
      <c r="G18" s="1254"/>
      <c r="H18" s="1332"/>
      <c r="I18" s="1333"/>
    </row>
    <row r="19" spans="1:9" s="175" customFormat="1">
      <c r="A19" s="1331">
        <f t="shared" si="0"/>
        <v>1.1200000000000001</v>
      </c>
      <c r="B19" s="1596" t="s">
        <v>1460</v>
      </c>
      <c r="C19" s="221">
        <v>0</v>
      </c>
      <c r="D19" s="1435">
        <v>0</v>
      </c>
      <c r="E19" s="999">
        <f t="shared" si="1"/>
        <v>0</v>
      </c>
      <c r="F19" s="641"/>
      <c r="G19" s="1254"/>
      <c r="H19" s="1332"/>
      <c r="I19" s="1333"/>
    </row>
    <row r="20" spans="1:9" s="175" customFormat="1">
      <c r="A20" s="1331">
        <f t="shared" si="0"/>
        <v>1.1300000000000001</v>
      </c>
      <c r="B20" s="1596" t="s">
        <v>1509</v>
      </c>
      <c r="C20" s="221">
        <v>3170124</v>
      </c>
      <c r="D20" s="1435">
        <v>0</v>
      </c>
      <c r="E20" s="999">
        <f t="shared" si="1"/>
        <v>3170124</v>
      </c>
      <c r="F20" s="641"/>
      <c r="G20" s="1254"/>
      <c r="H20" s="1332"/>
      <c r="I20" s="1333"/>
    </row>
    <row r="21" spans="1:9" s="175" customFormat="1">
      <c r="A21" s="1331">
        <f t="shared" si="0"/>
        <v>1.1400000000000001</v>
      </c>
      <c r="B21" s="1596" t="s">
        <v>1463</v>
      </c>
      <c r="C21" s="221">
        <v>0</v>
      </c>
      <c r="D21" s="1435">
        <v>0</v>
      </c>
      <c r="E21" s="999">
        <f t="shared" si="1"/>
        <v>0</v>
      </c>
      <c r="F21" s="641"/>
      <c r="G21" s="1254"/>
      <c r="H21" s="1332"/>
      <c r="I21" s="1333"/>
    </row>
    <row r="22" spans="1:9" s="175" customFormat="1">
      <c r="A22" s="1331">
        <f t="shared" si="0"/>
        <v>1.1500000000000001</v>
      </c>
      <c r="B22" s="1596" t="s">
        <v>1498</v>
      </c>
      <c r="C22" s="221">
        <v>0</v>
      </c>
      <c r="D22" s="1435">
        <v>0</v>
      </c>
      <c r="E22" s="999">
        <f t="shared" si="1"/>
        <v>0</v>
      </c>
      <c r="F22" s="641"/>
      <c r="G22" s="1254"/>
      <c r="H22" s="1332"/>
      <c r="I22" s="1333"/>
    </row>
    <row r="23" spans="1:9" s="175" customFormat="1">
      <c r="A23" s="1331">
        <f t="shared" si="0"/>
        <v>1.1600000000000001</v>
      </c>
      <c r="B23" s="1596" t="s">
        <v>1499</v>
      </c>
      <c r="C23" s="221">
        <v>0</v>
      </c>
      <c r="D23" s="1435">
        <v>0</v>
      </c>
      <c r="E23" s="999">
        <f t="shared" si="1"/>
        <v>0</v>
      </c>
      <c r="F23" s="641"/>
      <c r="G23" s="1254"/>
      <c r="H23" s="1332"/>
      <c r="I23" s="1333"/>
    </row>
    <row r="24" spans="1:9" s="175" customFormat="1">
      <c r="A24" s="1331">
        <f t="shared" si="0"/>
        <v>1.1700000000000002</v>
      </c>
      <c r="B24" s="1596" t="s">
        <v>1500</v>
      </c>
      <c r="C24" s="221">
        <v>0</v>
      </c>
      <c r="D24" s="1435">
        <v>0</v>
      </c>
      <c r="E24" s="999">
        <f t="shared" si="1"/>
        <v>0</v>
      </c>
      <c r="F24" s="641"/>
      <c r="G24" s="1254"/>
      <c r="H24" s="1332"/>
      <c r="I24" s="1333"/>
    </row>
    <row r="25" spans="1:9" s="175" customFormat="1">
      <c r="A25" s="1331">
        <f t="shared" si="0"/>
        <v>1.1800000000000002</v>
      </c>
      <c r="B25" s="1596" t="s">
        <v>1507</v>
      </c>
      <c r="C25" s="221">
        <v>0</v>
      </c>
      <c r="D25" s="1435">
        <v>0</v>
      </c>
      <c r="E25" s="999">
        <f t="shared" si="1"/>
        <v>0</v>
      </c>
      <c r="F25" s="641"/>
      <c r="G25" s="1254"/>
      <c r="H25" s="1332"/>
      <c r="I25" s="1333"/>
    </row>
    <row r="26" spans="1:9" s="175" customFormat="1">
      <c r="A26" s="1331">
        <f t="shared" si="0"/>
        <v>1.1900000000000002</v>
      </c>
      <c r="B26" s="1596" t="s">
        <v>1508</v>
      </c>
      <c r="C26" s="221">
        <v>0</v>
      </c>
      <c r="D26" s="1435">
        <v>0</v>
      </c>
      <c r="E26" s="999">
        <f t="shared" si="1"/>
        <v>0</v>
      </c>
      <c r="F26" s="1037"/>
      <c r="G26" s="1254"/>
      <c r="H26" s="1332"/>
      <c r="I26" s="1333"/>
    </row>
    <row r="27" spans="1:9" s="175" customFormat="1">
      <c r="A27" s="1331">
        <f t="shared" si="0"/>
        <v>1.2000000000000002</v>
      </c>
      <c r="B27" s="1596" t="s">
        <v>1465</v>
      </c>
      <c r="C27" s="221">
        <v>0</v>
      </c>
      <c r="D27" s="1435">
        <v>0</v>
      </c>
      <c r="E27" s="999">
        <f t="shared" si="1"/>
        <v>0</v>
      </c>
      <c r="F27" s="641"/>
      <c r="G27" s="1254"/>
      <c r="H27" s="1332"/>
      <c r="I27" s="1333"/>
    </row>
    <row r="28" spans="1:9" s="175" customFormat="1">
      <c r="A28" s="1331">
        <f t="shared" si="0"/>
        <v>1.2100000000000002</v>
      </c>
      <c r="B28" s="1596" t="s">
        <v>1501</v>
      </c>
      <c r="C28" s="221">
        <v>0</v>
      </c>
      <c r="D28" s="1435">
        <v>0</v>
      </c>
      <c r="E28" s="999">
        <f t="shared" si="1"/>
        <v>0</v>
      </c>
      <c r="F28" s="641"/>
      <c r="G28" s="1254"/>
      <c r="H28" s="1332"/>
      <c r="I28" s="1333"/>
    </row>
    <row r="29" spans="1:9" s="175" customFormat="1">
      <c r="A29" s="1331">
        <f t="shared" si="0"/>
        <v>1.2200000000000002</v>
      </c>
      <c r="B29" s="1596" t="s">
        <v>1488</v>
      </c>
      <c r="C29" s="221">
        <v>0</v>
      </c>
      <c r="D29" s="1435">
        <v>0</v>
      </c>
      <c r="E29" s="999">
        <f t="shared" si="1"/>
        <v>0</v>
      </c>
      <c r="F29" s="641"/>
      <c r="G29" s="1254"/>
      <c r="H29" s="1332"/>
      <c r="I29" s="1333"/>
    </row>
    <row r="30" spans="1:9" s="175" customFormat="1">
      <c r="A30" s="1331">
        <f t="shared" si="0"/>
        <v>1.2300000000000002</v>
      </c>
      <c r="B30" s="1596" t="s">
        <v>1467</v>
      </c>
      <c r="C30" s="221">
        <v>0</v>
      </c>
      <c r="D30" s="1435">
        <v>0</v>
      </c>
      <c r="E30" s="999">
        <f t="shared" si="1"/>
        <v>0</v>
      </c>
      <c r="F30" s="641"/>
      <c r="G30" s="1254"/>
      <c r="H30" s="1332"/>
      <c r="I30" s="1333"/>
    </row>
    <row r="31" spans="1:9" s="175" customFormat="1">
      <c r="A31" s="1331">
        <f t="shared" si="0"/>
        <v>1.2400000000000002</v>
      </c>
      <c r="B31" s="1596" t="s">
        <v>1468</v>
      </c>
      <c r="C31" s="221">
        <v>0</v>
      </c>
      <c r="D31" s="1435">
        <v>0</v>
      </c>
      <c r="E31" s="999">
        <f t="shared" si="1"/>
        <v>0</v>
      </c>
      <c r="F31" s="641"/>
      <c r="G31" s="1254"/>
      <c r="H31" s="1332"/>
      <c r="I31" s="1333"/>
    </row>
    <row r="32" spans="1:9" s="175" customFormat="1">
      <c r="A32" s="1331">
        <f t="shared" si="0"/>
        <v>1.2500000000000002</v>
      </c>
      <c r="B32" s="1596" t="s">
        <v>1469</v>
      </c>
      <c r="C32" s="221">
        <v>0</v>
      </c>
      <c r="D32" s="1435">
        <v>0</v>
      </c>
      <c r="E32" s="999">
        <f t="shared" si="1"/>
        <v>0</v>
      </c>
      <c r="F32" s="641"/>
      <c r="G32" s="1254"/>
      <c r="H32" s="1332"/>
      <c r="I32" s="1333"/>
    </row>
    <row r="33" spans="1:9" s="175" customFormat="1">
      <c r="A33" s="1331">
        <f t="shared" si="0"/>
        <v>1.2600000000000002</v>
      </c>
      <c r="B33" s="1596" t="s">
        <v>1472</v>
      </c>
      <c r="C33" s="221">
        <v>0</v>
      </c>
      <c r="D33" s="1435">
        <v>0</v>
      </c>
      <c r="E33" s="999">
        <f t="shared" si="1"/>
        <v>0</v>
      </c>
      <c r="F33" s="641"/>
      <c r="G33" s="1254"/>
      <c r="H33" s="1332"/>
      <c r="I33" s="1333"/>
    </row>
    <row r="34" spans="1:9" s="175" customFormat="1">
      <c r="A34" s="1331">
        <f t="shared" si="0"/>
        <v>1.2700000000000002</v>
      </c>
      <c r="B34" s="1596" t="s">
        <v>1473</v>
      </c>
      <c r="C34" s="221">
        <v>0</v>
      </c>
      <c r="D34" s="1435">
        <v>0</v>
      </c>
      <c r="E34" s="999">
        <f t="shared" si="1"/>
        <v>0</v>
      </c>
      <c r="F34" s="641"/>
      <c r="G34" s="1254"/>
      <c r="H34" s="1332"/>
      <c r="I34" s="1333"/>
    </row>
    <row r="35" spans="1:9" s="175" customFormat="1">
      <c r="A35" s="1331">
        <f t="shared" si="0"/>
        <v>1.2800000000000002</v>
      </c>
      <c r="B35" s="1596" t="s">
        <v>1475</v>
      </c>
      <c r="C35" s="221">
        <v>0</v>
      </c>
      <c r="D35" s="1435">
        <v>0</v>
      </c>
      <c r="E35" s="999">
        <f t="shared" si="1"/>
        <v>0</v>
      </c>
      <c r="F35" s="641"/>
      <c r="G35" s="1254"/>
      <c r="H35" s="1332"/>
      <c r="I35" s="1333"/>
    </row>
    <row r="36" spans="1:9" s="175" customFormat="1" ht="13.8" thickBot="1">
      <c r="A36" s="1330">
        <f>A7+1</f>
        <v>2</v>
      </c>
      <c r="B36" s="673" t="s">
        <v>848</v>
      </c>
      <c r="C36" s="674">
        <f>SUM(C8:C35)</f>
        <v>3170124</v>
      </c>
      <c r="D36" s="674">
        <f>SUM(D8:D35)</f>
        <v>0</v>
      </c>
      <c r="E36" s="674">
        <f>SUM(E8:E35)</f>
        <v>3170124</v>
      </c>
      <c r="F36" s="641"/>
      <c r="H36" s="1332"/>
      <c r="I36" s="1332"/>
    </row>
    <row r="37" spans="1:9" s="175" customFormat="1" ht="13.8" thickTop="1">
      <c r="A37" s="1330">
        <f>A36+1</f>
        <v>3</v>
      </c>
      <c r="B37" s="1334"/>
      <c r="C37" s="1334"/>
      <c r="D37" s="1335"/>
      <c r="E37" s="1335"/>
      <c r="F37" s="1335"/>
    </row>
    <row r="38" spans="1:9" s="1336" customFormat="1">
      <c r="A38" s="1330">
        <f t="shared" ref="A38:A43" si="2">A37+1</f>
        <v>4</v>
      </c>
      <c r="B38" s="1334" t="s">
        <v>598</v>
      </c>
      <c r="C38" s="1334"/>
      <c r="D38" s="1335"/>
      <c r="E38" s="1335"/>
      <c r="F38" s="1335"/>
    </row>
    <row r="39" spans="1:9" s="1336" customFormat="1">
      <c r="A39" s="1330">
        <f t="shared" si="2"/>
        <v>5</v>
      </c>
      <c r="B39" s="1337" t="s">
        <v>696</v>
      </c>
      <c r="C39" s="1338">
        <f t="shared" ref="C39:E40" si="3">+C18</f>
        <v>0</v>
      </c>
      <c r="D39" s="1338">
        <f t="shared" si="3"/>
        <v>0</v>
      </c>
      <c r="E39" s="1338">
        <f t="shared" si="3"/>
        <v>0</v>
      </c>
      <c r="F39" s="1338"/>
    </row>
    <row r="40" spans="1:9" s="1336" customFormat="1" ht="15">
      <c r="A40" s="1330">
        <f t="shared" si="2"/>
        <v>6</v>
      </c>
      <c r="B40" s="1337" t="s">
        <v>540</v>
      </c>
      <c r="C40" s="704">
        <f t="shared" si="3"/>
        <v>0</v>
      </c>
      <c r="D40" s="704">
        <f t="shared" si="3"/>
        <v>0</v>
      </c>
      <c r="E40" s="704">
        <f t="shared" si="3"/>
        <v>0</v>
      </c>
      <c r="F40" s="704"/>
    </row>
    <row r="41" spans="1:9" s="1336" customFormat="1">
      <c r="A41" s="1330">
        <f t="shared" si="2"/>
        <v>7</v>
      </c>
      <c r="B41" s="1339" t="s">
        <v>823</v>
      </c>
      <c r="C41" s="1338">
        <f>SUM(C39:C40)</f>
        <v>0</v>
      </c>
      <c r="D41" s="1338">
        <f>SUM(D39:D40)</f>
        <v>0</v>
      </c>
      <c r="E41" s="1338">
        <f>SUM(E39:E40)</f>
        <v>0</v>
      </c>
      <c r="F41" s="1338"/>
    </row>
    <row r="42" spans="1:9" s="1340" customFormat="1" ht="15">
      <c r="A42" s="1330">
        <f t="shared" si="2"/>
        <v>8</v>
      </c>
      <c r="B42" s="1334" t="s">
        <v>930</v>
      </c>
      <c r="C42" s="704">
        <f>SUM(C17:C21)-C41</f>
        <v>3170124</v>
      </c>
      <c r="D42" s="704">
        <f>SUM(D17:D21)-D41</f>
        <v>0</v>
      </c>
      <c r="E42" s="704">
        <f>SUM(E17:E21)-E41</f>
        <v>3170124</v>
      </c>
      <c r="F42" s="910"/>
    </row>
    <row r="43" spans="1:9" s="1336" customFormat="1">
      <c r="A43" s="1330">
        <f t="shared" si="2"/>
        <v>9</v>
      </c>
      <c r="B43" s="1334" t="s">
        <v>787</v>
      </c>
      <c r="C43" s="1338">
        <f>+C41+C42</f>
        <v>3170124</v>
      </c>
      <c r="D43" s="1338">
        <f>+D41+D42</f>
        <v>0</v>
      </c>
      <c r="E43" s="1338">
        <f>+E41+E42</f>
        <v>3170124</v>
      </c>
      <c r="F43" s="1338"/>
    </row>
    <row r="44" spans="1:9" s="1336" customFormat="1">
      <c r="A44" s="1330">
        <f t="shared" ref="A44:A55" si="4">+A43+1</f>
        <v>10</v>
      </c>
      <c r="B44" s="640"/>
      <c r="C44" s="296"/>
      <c r="D44" s="296"/>
      <c r="E44" s="296"/>
      <c r="F44" s="641"/>
    </row>
    <row r="45" spans="1:9" s="175" customFormat="1">
      <c r="A45" s="1330">
        <f t="shared" si="4"/>
        <v>11</v>
      </c>
      <c r="B45" s="1334" t="s">
        <v>56</v>
      </c>
      <c r="C45" s="1334"/>
      <c r="D45" s="1334"/>
      <c r="E45" s="1334"/>
      <c r="F45" s="1341"/>
    </row>
    <row r="46" spans="1:9" s="175" customFormat="1">
      <c r="A46" s="1330">
        <f t="shared" si="4"/>
        <v>12</v>
      </c>
      <c r="B46" s="1337" t="s">
        <v>719</v>
      </c>
      <c r="C46" s="1342">
        <f>+C8+C9+C12</f>
        <v>0</v>
      </c>
      <c r="D46" s="1342">
        <f>+D8+D9+D12</f>
        <v>0</v>
      </c>
      <c r="E46" s="1342">
        <f>+E8+E9+E12</f>
        <v>0</v>
      </c>
    </row>
    <row r="47" spans="1:9" s="175" customFormat="1">
      <c r="A47" s="1330">
        <f t="shared" si="4"/>
        <v>13</v>
      </c>
      <c r="B47" s="1337" t="s">
        <v>718</v>
      </c>
      <c r="C47" s="1343">
        <f t="shared" ref="C47:E48" si="5">+C10</f>
        <v>0</v>
      </c>
      <c r="D47" s="1343">
        <f t="shared" si="5"/>
        <v>0</v>
      </c>
      <c r="E47" s="1343">
        <f t="shared" si="5"/>
        <v>0</v>
      </c>
    </row>
    <row r="48" spans="1:9" s="175" customFormat="1">
      <c r="A48" s="1330">
        <f t="shared" si="4"/>
        <v>14</v>
      </c>
      <c r="B48" s="1337" t="s">
        <v>717</v>
      </c>
      <c r="C48" s="1343">
        <f t="shared" si="5"/>
        <v>0</v>
      </c>
      <c r="D48" s="1343">
        <f t="shared" si="5"/>
        <v>0</v>
      </c>
      <c r="E48" s="1343">
        <f t="shared" si="5"/>
        <v>0</v>
      </c>
    </row>
    <row r="49" spans="1:6" s="175" customFormat="1">
      <c r="A49" s="1330">
        <f t="shared" si="4"/>
        <v>15</v>
      </c>
      <c r="B49" s="1337" t="s">
        <v>931</v>
      </c>
      <c r="C49" s="1342">
        <f>SUM(C13:C16)</f>
        <v>0</v>
      </c>
      <c r="D49" s="1342">
        <f>SUM(D13:D16)</f>
        <v>0</v>
      </c>
      <c r="E49" s="1342">
        <f>SUM(E13:E16)</f>
        <v>0</v>
      </c>
    </row>
    <row r="50" spans="1:6" s="175" customFormat="1">
      <c r="A50" s="1330">
        <f t="shared" si="4"/>
        <v>16</v>
      </c>
      <c r="B50" s="1337" t="s">
        <v>710</v>
      </c>
      <c r="C50" s="1342">
        <f>SUM(C17:C21)</f>
        <v>3170124</v>
      </c>
      <c r="D50" s="1342">
        <f>SUM(D17:D21)</f>
        <v>0</v>
      </c>
      <c r="E50" s="1342">
        <f>SUM(E17:E21)</f>
        <v>3170124</v>
      </c>
    </row>
    <row r="51" spans="1:6" s="175" customFormat="1">
      <c r="A51" s="1330">
        <f t="shared" si="4"/>
        <v>17</v>
      </c>
      <c r="B51" s="1337" t="s">
        <v>712</v>
      </c>
      <c r="C51" s="1342"/>
      <c r="D51" s="1342"/>
      <c r="E51" s="1342"/>
    </row>
    <row r="52" spans="1:6" s="175" customFormat="1">
      <c r="A52" s="1330">
        <f t="shared" si="4"/>
        <v>18</v>
      </c>
      <c r="B52" s="1337" t="s">
        <v>713</v>
      </c>
      <c r="C52" s="1342">
        <f>+SUM(C22:C25)</f>
        <v>0</v>
      </c>
      <c r="D52" s="1342">
        <f>+SUM(D22:D25)</f>
        <v>0</v>
      </c>
      <c r="E52" s="1342">
        <f>+SUM(E22:E25)</f>
        <v>0</v>
      </c>
    </row>
    <row r="53" spans="1:6" s="175" customFormat="1">
      <c r="A53" s="1330">
        <f t="shared" si="4"/>
        <v>19</v>
      </c>
      <c r="B53" s="1337" t="s">
        <v>714</v>
      </c>
      <c r="C53" s="1342">
        <f>+SUM(C26:C27)</f>
        <v>0</v>
      </c>
      <c r="D53" s="1342">
        <f>+SUM(D26:D27)</f>
        <v>0</v>
      </c>
      <c r="E53" s="1342">
        <f>+SUM(E26:E27)</f>
        <v>0</v>
      </c>
    </row>
    <row r="54" spans="1:6" s="175" customFormat="1">
      <c r="A54" s="1330">
        <f t="shared" si="4"/>
        <v>20</v>
      </c>
      <c r="B54" s="1337" t="s">
        <v>715</v>
      </c>
      <c r="C54" s="1342">
        <f>+SUM(C28:C29)</f>
        <v>0</v>
      </c>
      <c r="D54" s="1342">
        <f>+SUM(D28:D29)</f>
        <v>0</v>
      </c>
      <c r="E54" s="1342">
        <f>+SUM(E28:E29)</f>
        <v>0</v>
      </c>
    </row>
    <row r="55" spans="1:6" s="175" customFormat="1">
      <c r="A55" s="1330">
        <f t="shared" si="4"/>
        <v>21</v>
      </c>
      <c r="B55" s="1337" t="s">
        <v>716</v>
      </c>
      <c r="C55" s="1343">
        <f>SUM(C30:C35)</f>
        <v>0</v>
      </c>
      <c r="D55" s="1343">
        <f>SUM(D30:D35)</f>
        <v>0</v>
      </c>
      <c r="E55" s="1343">
        <f>SUM(E30:E35)</f>
        <v>0</v>
      </c>
    </row>
    <row r="56" spans="1:6" s="175" customFormat="1" ht="13.8" thickBot="1">
      <c r="A56" s="1330">
        <f>A55+1</f>
        <v>22</v>
      </c>
      <c r="B56" s="1334" t="str">
        <f>B36</f>
        <v>Total  Sum Line 1 Subparts</v>
      </c>
      <c r="C56" s="1344">
        <f>SUM(C46:C55)</f>
        <v>3170124</v>
      </c>
      <c r="D56" s="1344">
        <f>SUM(D46:D55)</f>
        <v>0</v>
      </c>
      <c r="E56" s="1344">
        <f>SUM(E46:E55)</f>
        <v>3170124</v>
      </c>
    </row>
    <row r="57" spans="1:6" s="175" customFormat="1" ht="13.8" thickTop="1">
      <c r="A57" s="1345">
        <f>A56+1</f>
        <v>23</v>
      </c>
      <c r="B57" s="1334"/>
      <c r="C57" s="1334"/>
      <c r="D57" s="1334"/>
      <c r="E57" s="1346"/>
      <c r="F57" s="1342"/>
    </row>
    <row r="58" spans="1:6" s="175" customFormat="1">
      <c r="A58" s="1345">
        <f>A57+1</f>
        <v>24</v>
      </c>
      <c r="B58" s="1371" t="s">
        <v>954</v>
      </c>
      <c r="C58" s="1342"/>
      <c r="D58" s="1342">
        <f>SUM(D46:D54)</f>
        <v>0</v>
      </c>
      <c r="E58" s="1342"/>
      <c r="F58" s="174"/>
    </row>
    <row r="59" spans="1:6" s="175" customFormat="1">
      <c r="A59" s="1345"/>
      <c r="B59" s="1339"/>
      <c r="C59" s="1342"/>
      <c r="D59" s="1342"/>
      <c r="E59" s="1342"/>
      <c r="F59" s="174"/>
    </row>
    <row r="60" spans="1:6" s="175" customFormat="1">
      <c r="A60" s="175" t="s">
        <v>199</v>
      </c>
      <c r="B60" s="640"/>
      <c r="C60" s="296"/>
      <c r="D60" s="296"/>
      <c r="E60" s="296"/>
      <c r="F60" s="174"/>
    </row>
    <row r="61" spans="1:6">
      <c r="A61" s="1203" t="s">
        <v>176</v>
      </c>
      <c r="B61" s="673" t="s">
        <v>1160</v>
      </c>
      <c r="C61" s="673"/>
      <c r="D61" s="673"/>
      <c r="E61" s="673"/>
    </row>
    <row r="62" spans="1:6">
      <c r="A62" s="1203" t="s">
        <v>338</v>
      </c>
      <c r="B62" s="174" t="s">
        <v>955</v>
      </c>
      <c r="C62" s="1347"/>
      <c r="D62" s="1347"/>
      <c r="E62" s="1347"/>
    </row>
    <row r="63" spans="1:6">
      <c r="A63" s="174"/>
    </row>
    <row r="64" spans="1:6">
      <c r="A64" s="174"/>
    </row>
  </sheetData>
  <mergeCells count="3">
    <mergeCell ref="A1:E1"/>
    <mergeCell ref="A2:E2"/>
    <mergeCell ref="A3:E3"/>
  </mergeCells>
  <printOptions horizontalCentered="1"/>
  <pageMargins left="0.7" right="0.7" top="0.7" bottom="0.7" header="0.3" footer="0.5"/>
  <pageSetup scale="80" orientation="portrait" r:id="rId1"/>
  <headerFooter>
    <oddFooter>&amp;R&amp;A</oddFooter>
  </headerFooter>
  <ignoredErrors>
    <ignoredError sqref="C42:D55" formulaRange="1"/>
    <ignoredError sqref="A61:A6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B1"/>
    </sheetView>
  </sheetViews>
  <sheetFormatPr defaultColWidth="8.88671875" defaultRowHeight="13.2"/>
  <cols>
    <col min="1" max="1" width="5.33203125" style="1692" customWidth="1"/>
    <col min="2" max="2" width="23.109375" style="174" customWidth="1"/>
    <col min="3" max="5" width="17" style="174" customWidth="1"/>
    <col min="6" max="6" width="8.88671875" style="174"/>
    <col min="7" max="8" width="10.44140625" style="174" bestFit="1" customWidth="1"/>
    <col min="9" max="16384" width="8.88671875" style="174"/>
  </cols>
  <sheetData>
    <row r="1" spans="1:5">
      <c r="A1" s="1874" t="str">
        <f>+'MISO Cover'!C6</f>
        <v>Entergy Arkansas, Inc.</v>
      </c>
      <c r="B1" s="1874"/>
      <c r="C1" s="1874"/>
      <c r="D1" s="1874"/>
      <c r="E1" s="1874"/>
    </row>
    <row r="2" spans="1:5">
      <c r="A2" s="1858" t="s">
        <v>1528</v>
      </c>
      <c r="B2" s="1858"/>
      <c r="C2" s="1858"/>
      <c r="D2" s="1858"/>
      <c r="E2" s="1858"/>
    </row>
    <row r="3" spans="1:5">
      <c r="A3" s="1874" t="str">
        <f>+'MISO Cover'!K4</f>
        <v>For  the 12 Months Ended 12/31/2016</v>
      </c>
      <c r="B3" s="1874"/>
      <c r="C3" s="1874"/>
      <c r="D3" s="1874"/>
      <c r="E3" s="1874"/>
    </row>
    <row r="4" spans="1:5">
      <c r="A4" s="1648"/>
      <c r="B4" s="1648"/>
      <c r="C4" s="1648"/>
      <c r="D4" s="1648"/>
      <c r="E4" s="1651"/>
    </row>
    <row r="5" spans="1:5">
      <c r="A5" s="1682" t="s">
        <v>290</v>
      </c>
      <c r="B5" s="1646" t="s">
        <v>72</v>
      </c>
      <c r="C5" s="1646" t="s">
        <v>119</v>
      </c>
      <c r="D5" s="1646" t="s">
        <v>60</v>
      </c>
      <c r="E5" s="1683" t="s">
        <v>1529</v>
      </c>
    </row>
    <row r="6" spans="1:5">
      <c r="A6" s="184"/>
      <c r="B6" s="184"/>
      <c r="C6" s="1961" t="s">
        <v>1530</v>
      </c>
      <c r="D6" s="1961"/>
      <c r="E6" s="1685" t="s">
        <v>1531</v>
      </c>
    </row>
    <row r="7" spans="1:5" ht="15">
      <c r="A7" s="1686">
        <v>1</v>
      </c>
      <c r="B7" s="967" t="s">
        <v>1532</v>
      </c>
      <c r="C7" s="1764" t="s">
        <v>1533</v>
      </c>
      <c r="D7" s="1765" t="s">
        <v>1534</v>
      </c>
      <c r="E7" s="1764" t="s">
        <v>1535</v>
      </c>
    </row>
    <row r="8" spans="1:5">
      <c r="A8" s="1687">
        <f>+A7+0.01</f>
        <v>1.01</v>
      </c>
      <c r="B8" s="1646">
        <v>2016</v>
      </c>
      <c r="C8" s="1762">
        <v>1718723</v>
      </c>
      <c r="D8" s="1688">
        <f t="shared" ref="D8:D22" si="0">+C8-E8</f>
        <v>1604141.4666666666</v>
      </c>
      <c r="E8" s="1688">
        <f>+C8/15</f>
        <v>114581.53333333334</v>
      </c>
    </row>
    <row r="9" spans="1:5">
      <c r="A9" s="1687">
        <f t="shared" ref="A9:A22" si="1">+A8+0.01</f>
        <v>1.02</v>
      </c>
      <c r="B9" s="1646">
        <f>+B8+1</f>
        <v>2017</v>
      </c>
      <c r="C9" s="1688">
        <f t="shared" ref="C9:C22" si="2">+D8</f>
        <v>1604141.4666666666</v>
      </c>
      <c r="D9" s="1688">
        <f t="shared" si="0"/>
        <v>1489559.9333333331</v>
      </c>
      <c r="E9" s="1688">
        <f>+E8</f>
        <v>114581.53333333334</v>
      </c>
    </row>
    <row r="10" spans="1:5">
      <c r="A10" s="1687">
        <f t="shared" si="1"/>
        <v>1.03</v>
      </c>
      <c r="B10" s="1646">
        <f t="shared" ref="B10:B22" si="3">+B9+1</f>
        <v>2018</v>
      </c>
      <c r="C10" s="1688">
        <f t="shared" si="2"/>
        <v>1489559.9333333331</v>
      </c>
      <c r="D10" s="1688">
        <f t="shared" si="0"/>
        <v>1374978.3999999997</v>
      </c>
      <c r="E10" s="1688">
        <f t="shared" ref="E10:E22" si="4">+E9</f>
        <v>114581.53333333334</v>
      </c>
    </row>
    <row r="11" spans="1:5">
      <c r="A11" s="1687">
        <f t="shared" si="1"/>
        <v>1.04</v>
      </c>
      <c r="B11" s="1646">
        <f t="shared" si="3"/>
        <v>2019</v>
      </c>
      <c r="C11" s="1688">
        <f t="shared" si="2"/>
        <v>1374978.3999999997</v>
      </c>
      <c r="D11" s="1688">
        <f t="shared" si="0"/>
        <v>1260396.8666666662</v>
      </c>
      <c r="E11" s="1688">
        <f t="shared" si="4"/>
        <v>114581.53333333334</v>
      </c>
    </row>
    <row r="12" spans="1:5">
      <c r="A12" s="1687">
        <f t="shared" si="1"/>
        <v>1.05</v>
      </c>
      <c r="B12" s="1646">
        <f t="shared" si="3"/>
        <v>2020</v>
      </c>
      <c r="C12" s="1688">
        <f t="shared" si="2"/>
        <v>1260396.8666666662</v>
      </c>
      <c r="D12" s="1688">
        <f t="shared" si="0"/>
        <v>1145815.3333333328</v>
      </c>
      <c r="E12" s="1688">
        <f t="shared" si="4"/>
        <v>114581.53333333334</v>
      </c>
    </row>
    <row r="13" spans="1:5">
      <c r="A13" s="1687">
        <f t="shared" si="1"/>
        <v>1.06</v>
      </c>
      <c r="B13" s="1646">
        <f t="shared" si="3"/>
        <v>2021</v>
      </c>
      <c r="C13" s="1688">
        <f t="shared" si="2"/>
        <v>1145815.3333333328</v>
      </c>
      <c r="D13" s="1688">
        <f t="shared" si="0"/>
        <v>1031233.7999999995</v>
      </c>
      <c r="E13" s="1688">
        <f t="shared" si="4"/>
        <v>114581.53333333334</v>
      </c>
    </row>
    <row r="14" spans="1:5">
      <c r="A14" s="1687">
        <f t="shared" si="1"/>
        <v>1.07</v>
      </c>
      <c r="B14" s="1646">
        <f t="shared" si="3"/>
        <v>2022</v>
      </c>
      <c r="C14" s="1688">
        <f t="shared" si="2"/>
        <v>1031233.7999999995</v>
      </c>
      <c r="D14" s="1688">
        <f t="shared" si="0"/>
        <v>916652.26666666614</v>
      </c>
      <c r="E14" s="1688">
        <f t="shared" si="4"/>
        <v>114581.53333333334</v>
      </c>
    </row>
    <row r="15" spans="1:5">
      <c r="A15" s="1687">
        <f t="shared" si="1"/>
        <v>1.08</v>
      </c>
      <c r="B15" s="1646">
        <f t="shared" si="3"/>
        <v>2023</v>
      </c>
      <c r="C15" s="1688">
        <f t="shared" si="2"/>
        <v>916652.26666666614</v>
      </c>
      <c r="D15" s="1688">
        <f t="shared" si="0"/>
        <v>802070.73333333281</v>
      </c>
      <c r="E15" s="1688">
        <f t="shared" si="4"/>
        <v>114581.53333333334</v>
      </c>
    </row>
    <row r="16" spans="1:5">
      <c r="A16" s="1687">
        <f t="shared" si="1"/>
        <v>1.0900000000000001</v>
      </c>
      <c r="B16" s="1646">
        <f t="shared" si="3"/>
        <v>2024</v>
      </c>
      <c r="C16" s="1688">
        <f t="shared" si="2"/>
        <v>802070.73333333281</v>
      </c>
      <c r="D16" s="1688">
        <f t="shared" si="0"/>
        <v>687489.19999999949</v>
      </c>
      <c r="E16" s="1688">
        <f t="shared" si="4"/>
        <v>114581.53333333334</v>
      </c>
    </row>
    <row r="17" spans="1:7">
      <c r="A17" s="1687">
        <f t="shared" si="1"/>
        <v>1.1000000000000001</v>
      </c>
      <c r="B17" s="1646">
        <f t="shared" si="3"/>
        <v>2025</v>
      </c>
      <c r="C17" s="1688">
        <f t="shared" si="2"/>
        <v>687489.19999999949</v>
      </c>
      <c r="D17" s="1688">
        <f t="shared" si="0"/>
        <v>572907.66666666616</v>
      </c>
      <c r="E17" s="1688">
        <f t="shared" si="4"/>
        <v>114581.53333333334</v>
      </c>
    </row>
    <row r="18" spans="1:7">
      <c r="A18" s="1687">
        <f t="shared" si="1"/>
        <v>1.1100000000000001</v>
      </c>
      <c r="B18" s="1646">
        <f t="shared" si="3"/>
        <v>2026</v>
      </c>
      <c r="C18" s="1688">
        <f t="shared" si="2"/>
        <v>572907.66666666616</v>
      </c>
      <c r="D18" s="1688">
        <f t="shared" si="0"/>
        <v>458326.13333333284</v>
      </c>
      <c r="E18" s="1688">
        <f t="shared" si="4"/>
        <v>114581.53333333334</v>
      </c>
    </row>
    <row r="19" spans="1:7">
      <c r="A19" s="1687">
        <f t="shared" si="1"/>
        <v>1.1200000000000001</v>
      </c>
      <c r="B19" s="1646">
        <f t="shared" si="3"/>
        <v>2027</v>
      </c>
      <c r="C19" s="1688">
        <f t="shared" si="2"/>
        <v>458326.13333333284</v>
      </c>
      <c r="D19" s="1688">
        <f t="shared" si="0"/>
        <v>343744.59999999951</v>
      </c>
      <c r="E19" s="1688">
        <f t="shared" si="4"/>
        <v>114581.53333333334</v>
      </c>
    </row>
    <row r="20" spans="1:7">
      <c r="A20" s="1687">
        <f t="shared" si="1"/>
        <v>1.1300000000000001</v>
      </c>
      <c r="B20" s="1646">
        <f t="shared" si="3"/>
        <v>2028</v>
      </c>
      <c r="C20" s="1688">
        <f t="shared" si="2"/>
        <v>343744.59999999951</v>
      </c>
      <c r="D20" s="1688">
        <f t="shared" si="0"/>
        <v>229163.06666666619</v>
      </c>
      <c r="E20" s="1688">
        <f t="shared" si="4"/>
        <v>114581.53333333334</v>
      </c>
    </row>
    <row r="21" spans="1:7">
      <c r="A21" s="1687">
        <f t="shared" si="1"/>
        <v>1.1400000000000001</v>
      </c>
      <c r="B21" s="1646">
        <f>+B20+1</f>
        <v>2029</v>
      </c>
      <c r="C21" s="1688">
        <f t="shared" si="2"/>
        <v>229163.06666666619</v>
      </c>
      <c r="D21" s="1688">
        <f t="shared" si="0"/>
        <v>114581.53333333285</v>
      </c>
      <c r="E21" s="1688">
        <f t="shared" si="4"/>
        <v>114581.53333333334</v>
      </c>
    </row>
    <row r="22" spans="1:7">
      <c r="A22" s="1687">
        <f t="shared" si="1"/>
        <v>1.1500000000000001</v>
      </c>
      <c r="B22" s="1646">
        <f t="shared" si="3"/>
        <v>2030</v>
      </c>
      <c r="C22" s="1688">
        <f t="shared" si="2"/>
        <v>114581.53333333285</v>
      </c>
      <c r="D22" s="1688">
        <f t="shared" si="0"/>
        <v>-4.9476511776447296E-10</v>
      </c>
      <c r="E22" s="1688">
        <f t="shared" si="4"/>
        <v>114581.53333333334</v>
      </c>
    </row>
    <row r="23" spans="1:7">
      <c r="A23" s="1646"/>
      <c r="B23" s="673"/>
      <c r="C23" s="1651"/>
      <c r="D23" s="1651"/>
      <c r="E23" s="1651"/>
    </row>
    <row r="24" spans="1:7">
      <c r="A24" s="1646"/>
      <c r="B24" s="673"/>
      <c r="C24" s="1651"/>
      <c r="D24" s="1651"/>
    </row>
    <row r="25" spans="1:7" s="175" customFormat="1">
      <c r="A25" s="1686">
        <f>+A7+1</f>
        <v>2</v>
      </c>
      <c r="B25" s="1650" t="s">
        <v>1536</v>
      </c>
      <c r="C25" s="1651"/>
      <c r="D25" s="1651"/>
      <c r="E25" s="1689">
        <f>+E8</f>
        <v>114581.53333333334</v>
      </c>
    </row>
    <row r="26" spans="1:7" s="175" customFormat="1">
      <c r="A26" s="1365"/>
      <c r="B26" s="1650"/>
      <c r="C26" s="904"/>
      <c r="D26" s="904"/>
      <c r="E26" s="904"/>
    </row>
    <row r="27" spans="1:7" s="175" customFormat="1">
      <c r="A27" s="175" t="s">
        <v>199</v>
      </c>
      <c r="B27" s="640"/>
      <c r="C27" s="296"/>
      <c r="D27" s="296"/>
      <c r="E27" s="296"/>
    </row>
    <row r="28" spans="1:7" ht="57" customHeight="1">
      <c r="A28" s="1203" t="s">
        <v>176</v>
      </c>
      <c r="B28" s="1877" t="s">
        <v>1537</v>
      </c>
      <c r="C28" s="1877"/>
      <c r="D28" s="1877"/>
      <c r="E28" s="1877"/>
      <c r="F28" s="175"/>
      <c r="G28" s="175"/>
    </row>
    <row r="29" spans="1:7">
      <c r="A29" s="1690" t="s">
        <v>338</v>
      </c>
      <c r="B29" s="174" t="s">
        <v>1538</v>
      </c>
    </row>
    <row r="30" spans="1:7" s="1691" customFormat="1" ht="26.4" customHeight="1">
      <c r="A30" s="1203" t="s">
        <v>339</v>
      </c>
      <c r="B30" s="1877" t="s">
        <v>1539</v>
      </c>
      <c r="C30" s="1877"/>
      <c r="D30" s="1877"/>
      <c r="E30" s="1877"/>
    </row>
    <row r="31" spans="1:7">
      <c r="A31" s="174"/>
    </row>
  </sheetData>
  <mergeCells count="6">
    <mergeCell ref="B30:E30"/>
    <mergeCell ref="A1:E1"/>
    <mergeCell ref="A2:E2"/>
    <mergeCell ref="A3:E3"/>
    <mergeCell ref="C6:D6"/>
    <mergeCell ref="B28:E28"/>
  </mergeCells>
  <printOptions horizontalCentered="1"/>
  <pageMargins left="0.7" right="0.7" top="0.75" bottom="0.75" header="0.3" footer="0.5"/>
  <pageSetup orientation="portrait" r:id="rId1"/>
  <headerFooter>
    <oddFooter>&amp;R&amp;A</oddFooter>
  </headerFooter>
  <ignoredErrors>
    <ignoredError sqref="A28:A3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B1"/>
    </sheetView>
  </sheetViews>
  <sheetFormatPr defaultRowHeight="13.2"/>
  <cols>
    <col min="2" max="2" width="15.109375" customWidth="1"/>
    <col min="3" max="3" width="14.109375" customWidth="1"/>
    <col min="4" max="4" width="20.5546875" customWidth="1"/>
  </cols>
  <sheetData>
    <row r="1" spans="1:13" s="66" customFormat="1">
      <c r="A1" s="1858" t="str">
        <f>+'MISO Cover'!C6</f>
        <v>Entergy Arkansas, Inc.</v>
      </c>
      <c r="B1" s="1858"/>
      <c r="C1" s="1858"/>
      <c r="D1" s="1858"/>
      <c r="E1" s="184"/>
      <c r="F1" s="184"/>
      <c r="G1" s="184"/>
      <c r="H1" s="184"/>
      <c r="I1" s="184"/>
      <c r="J1" s="44"/>
      <c r="K1" s="44"/>
      <c r="L1" s="44"/>
      <c r="M1" s="44"/>
    </row>
    <row r="2" spans="1:13" s="66" customFormat="1" ht="13.2" customHeight="1">
      <c r="A2" s="1859" t="s">
        <v>1598</v>
      </c>
      <c r="B2" s="1859"/>
      <c r="C2" s="1859"/>
      <c r="D2" s="1859"/>
      <c r="E2" s="1401"/>
      <c r="F2" s="1401"/>
      <c r="G2" s="1401"/>
      <c r="H2" s="1401"/>
      <c r="I2" s="1401"/>
      <c r="J2" s="44"/>
      <c r="K2" s="44"/>
      <c r="L2" s="44"/>
      <c r="M2" s="44"/>
    </row>
    <row r="3" spans="1:13" s="81" customFormat="1" ht="13.2" customHeight="1">
      <c r="A3" s="1859" t="str">
        <f>+'MISO Cover'!K4</f>
        <v>For  the 12 Months Ended 12/31/2016</v>
      </c>
      <c r="B3" s="1859"/>
      <c r="C3" s="1859"/>
      <c r="D3" s="1859"/>
      <c r="E3" s="1401"/>
      <c r="F3" s="1401"/>
      <c r="G3" s="1401"/>
      <c r="H3" s="1401"/>
      <c r="I3" s="1401"/>
      <c r="J3" s="43"/>
      <c r="K3" s="43"/>
      <c r="L3" s="43"/>
      <c r="M3" s="43"/>
    </row>
    <row r="5" spans="1:13">
      <c r="A5" s="210" t="s">
        <v>290</v>
      </c>
      <c r="B5" s="210" t="s">
        <v>72</v>
      </c>
      <c r="C5" s="210" t="s">
        <v>119</v>
      </c>
      <c r="D5" s="210" t="s">
        <v>1599</v>
      </c>
    </row>
    <row r="6" spans="1:13">
      <c r="A6" s="210">
        <v>1</v>
      </c>
      <c r="B6" s="210" t="s">
        <v>1600</v>
      </c>
      <c r="C6" s="210" t="s">
        <v>1601</v>
      </c>
      <c r="D6" s="210" t="s">
        <v>1602</v>
      </c>
    </row>
    <row r="7" spans="1:13">
      <c r="A7" s="210">
        <v>2</v>
      </c>
      <c r="B7" s="1630">
        <v>0.12379999999999999</v>
      </c>
      <c r="C7">
        <v>271</v>
      </c>
      <c r="D7" s="1631">
        <f>B7*C7/C9</f>
        <v>9.1666120218579228E-2</v>
      </c>
    </row>
    <row r="8" spans="1:13">
      <c r="A8" s="210">
        <v>3</v>
      </c>
      <c r="B8" s="1630">
        <v>0.1082</v>
      </c>
      <c r="C8">
        <v>95</v>
      </c>
      <c r="D8" s="1631">
        <f>B8*C8/C9</f>
        <v>2.8084699453551912E-2</v>
      </c>
    </row>
    <row r="9" spans="1:13">
      <c r="A9" s="210">
        <v>4</v>
      </c>
      <c r="B9" s="1632" t="s">
        <v>118</v>
      </c>
      <c r="C9" s="1633">
        <f>C7+C8</f>
        <v>366</v>
      </c>
      <c r="D9" s="1634">
        <f>D7+D8</f>
        <v>0.11975081967213114</v>
      </c>
    </row>
  </sheetData>
  <mergeCells count="3">
    <mergeCell ref="A1:D1"/>
    <mergeCell ref="A2:D2"/>
    <mergeCell ref="A3:D3"/>
  </mergeCells>
  <printOptions horizontalCentered="1"/>
  <pageMargins left="0.7" right="0.7" top="0.75" bottom="0.75" header="0.3" footer="0.5"/>
  <pageSetup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zoomScaleNormal="100" zoomScaleSheetLayoutView="80" workbookViewId="0">
      <selection sqref="A1:B1"/>
    </sheetView>
  </sheetViews>
  <sheetFormatPr defaultColWidth="9.109375" defaultRowHeight="13.2"/>
  <cols>
    <col min="1" max="1" width="6.44140625" style="44" bestFit="1" customWidth="1"/>
    <col min="2" max="2" width="7.6640625" style="44" customWidth="1"/>
    <col min="3" max="3" width="8.6640625" style="43" customWidth="1"/>
    <col min="4" max="5" width="8.6640625" style="44" customWidth="1"/>
    <col min="6" max="6" width="16.88671875" style="44" customWidth="1"/>
    <col min="7" max="7" width="14.6640625" style="44" customWidth="1"/>
    <col min="8" max="9" width="15.6640625" style="44" customWidth="1"/>
    <col min="10" max="10" width="8.88671875" style="44"/>
    <col min="11" max="12" width="11.6640625" style="44" customWidth="1"/>
    <col min="13" max="13" width="12.44140625" style="44" bestFit="1" customWidth="1"/>
    <col min="14" max="16384" width="9.109375" style="66"/>
  </cols>
  <sheetData>
    <row r="1" spans="1:14">
      <c r="A1" s="1858" t="str">
        <f>+'MISO Cover'!C6</f>
        <v>Entergy Arkansas, Inc.</v>
      </c>
      <c r="B1" s="1858"/>
      <c r="C1" s="1858"/>
      <c r="D1" s="1858"/>
      <c r="E1" s="1858"/>
      <c r="F1" s="1858"/>
      <c r="G1" s="1858"/>
      <c r="H1" s="1858"/>
      <c r="I1" s="1858"/>
    </row>
    <row r="2" spans="1:14">
      <c r="A2" s="1859" t="s">
        <v>1121</v>
      </c>
      <c r="B2" s="1859"/>
      <c r="C2" s="1859"/>
      <c r="D2" s="1859"/>
      <c r="E2" s="1859"/>
      <c r="F2" s="1859"/>
      <c r="G2" s="1859"/>
      <c r="H2" s="1859"/>
      <c r="I2" s="1859"/>
    </row>
    <row r="3" spans="1:14" s="81" customFormat="1">
      <c r="A3" s="1859" t="str">
        <f>+'MISO Cover'!K4</f>
        <v>For  the 12 Months Ended 12/31/2016</v>
      </c>
      <c r="B3" s="1859"/>
      <c r="C3" s="1859"/>
      <c r="D3" s="1859"/>
      <c r="E3" s="1859"/>
      <c r="F3" s="1859"/>
      <c r="G3" s="1859"/>
      <c r="H3" s="1859"/>
      <c r="I3" s="1859"/>
      <c r="J3" s="43"/>
      <c r="K3" s="43"/>
      <c r="L3" s="43"/>
      <c r="M3" s="43"/>
    </row>
    <row r="4" spans="1:14">
      <c r="A4" s="1858" t="s">
        <v>446</v>
      </c>
      <c r="B4" s="1858"/>
      <c r="C4" s="1858"/>
      <c r="D4" s="1858"/>
      <c r="E4" s="1858"/>
      <c r="F4" s="1858"/>
      <c r="G4" s="1858"/>
      <c r="H4" s="1858"/>
      <c r="I4" s="1858"/>
    </row>
    <row r="5" spans="1:14">
      <c r="A5" s="791"/>
      <c r="B5" s="791"/>
      <c r="C5" s="791"/>
      <c r="D5" s="791"/>
      <c r="E5" s="791"/>
      <c r="F5" s="791"/>
      <c r="G5" s="791"/>
      <c r="H5" s="791"/>
      <c r="I5" s="791"/>
    </row>
    <row r="6" spans="1:14" s="81" customFormat="1">
      <c r="A6" s="509" t="s">
        <v>342</v>
      </c>
      <c r="B6" s="802" t="s">
        <v>72</v>
      </c>
      <c r="C6" s="802" t="s">
        <v>119</v>
      </c>
      <c r="D6" s="621" t="s">
        <v>60</v>
      </c>
      <c r="E6" s="802" t="s">
        <v>73</v>
      </c>
      <c r="F6" s="622" t="s">
        <v>71</v>
      </c>
      <c r="G6" s="802" t="s">
        <v>161</v>
      </c>
      <c r="H6" s="802" t="s">
        <v>74</v>
      </c>
      <c r="I6" s="623" t="s">
        <v>174</v>
      </c>
      <c r="J6" s="44"/>
      <c r="K6" s="44"/>
      <c r="L6" s="44"/>
      <c r="M6" s="44"/>
      <c r="N6" s="234"/>
    </row>
    <row r="7" spans="1:14" s="81" customFormat="1">
      <c r="A7" s="509"/>
      <c r="B7" s="802"/>
      <c r="C7" s="802"/>
      <c r="D7" s="621"/>
      <c r="E7" s="802"/>
      <c r="F7" s="622"/>
      <c r="G7" s="802"/>
      <c r="H7" s="802"/>
      <c r="I7" s="623"/>
      <c r="J7" s="44"/>
      <c r="K7" s="44"/>
      <c r="L7" s="44"/>
      <c r="M7" s="44"/>
      <c r="N7" s="234"/>
    </row>
    <row r="8" spans="1:14">
      <c r="A8" s="66"/>
      <c r="B8" s="1091" t="s">
        <v>641</v>
      </c>
      <c r="C8" s="1025"/>
      <c r="D8" s="1025"/>
      <c r="E8" s="1025"/>
      <c r="F8" s="791"/>
      <c r="G8" s="791"/>
      <c r="H8" s="791"/>
      <c r="I8" s="791"/>
    </row>
    <row r="9" spans="1:14" ht="15">
      <c r="A9" s="934">
        <v>1</v>
      </c>
      <c r="B9" s="184" t="s">
        <v>1122</v>
      </c>
      <c r="C9" s="1459"/>
      <c r="D9" s="1459"/>
      <c r="E9" s="1459"/>
      <c r="F9" s="1459"/>
      <c r="G9" s="967" t="s">
        <v>153</v>
      </c>
      <c r="H9" s="1861" t="s">
        <v>145</v>
      </c>
      <c r="I9" s="1861"/>
    </row>
    <row r="10" spans="1:14" s="281" customFormat="1">
      <c r="A10" s="934">
        <f>+A9+1</f>
        <v>2</v>
      </c>
      <c r="B10" s="966" t="s">
        <v>32</v>
      </c>
      <c r="C10" s="1459"/>
      <c r="D10" s="1459"/>
      <c r="E10" s="1459"/>
      <c r="F10" s="1459"/>
      <c r="G10" s="221">
        <v>7680347.3099999996</v>
      </c>
      <c r="H10" s="1702"/>
      <c r="I10" s="1702"/>
      <c r="J10" s="44"/>
      <c r="K10" s="44" t="s">
        <v>1709</v>
      </c>
      <c r="L10" s="44"/>
      <c r="M10" s="44"/>
    </row>
    <row r="11" spans="1:14" s="281" customFormat="1">
      <c r="A11" s="934">
        <f t="shared" ref="A11:A29" si="0">+A10+1</f>
        <v>3</v>
      </c>
      <c r="B11" s="966" t="s">
        <v>33</v>
      </c>
      <c r="C11" s="1459"/>
      <c r="D11" s="1459"/>
      <c r="E11" s="1459"/>
      <c r="F11" s="1459"/>
      <c r="G11" s="221">
        <v>6568354.6600000001</v>
      </c>
      <c r="H11" s="1702"/>
      <c r="I11" s="1702"/>
      <c r="J11" s="44"/>
      <c r="K11" s="44"/>
      <c r="L11" s="44"/>
      <c r="M11" s="44"/>
    </row>
    <row r="12" spans="1:14" s="281" customFormat="1">
      <c r="A12" s="934">
        <f t="shared" si="0"/>
        <v>4</v>
      </c>
      <c r="B12" s="966" t="s">
        <v>34</v>
      </c>
      <c r="C12" s="1459"/>
      <c r="D12" s="1459"/>
      <c r="E12" s="1459"/>
      <c r="F12" s="1459"/>
      <c r="G12" s="221">
        <v>6188807.9299999997</v>
      </c>
      <c r="H12" s="1702"/>
      <c r="I12" s="1702"/>
      <c r="J12" s="44"/>
      <c r="K12" s="44"/>
      <c r="L12" s="44"/>
      <c r="M12" s="44"/>
    </row>
    <row r="13" spans="1:14" s="281" customFormat="1">
      <c r="A13" s="934">
        <f t="shared" si="0"/>
        <v>5</v>
      </c>
      <c r="B13" s="966" t="s">
        <v>35</v>
      </c>
      <c r="C13" s="1459"/>
      <c r="D13" s="1459"/>
      <c r="E13" s="1459"/>
      <c r="F13" s="1459"/>
      <c r="G13" s="221">
        <v>6474325.8600000003</v>
      </c>
      <c r="H13" s="1702"/>
      <c r="I13" s="1702"/>
      <c r="J13" s="44"/>
      <c r="K13" s="44"/>
      <c r="L13" s="44"/>
      <c r="M13" s="44"/>
    </row>
    <row r="14" spans="1:14" s="281" customFormat="1">
      <c r="A14" s="934">
        <f t="shared" si="0"/>
        <v>6</v>
      </c>
      <c r="B14" s="966" t="s">
        <v>31</v>
      </c>
      <c r="C14" s="1459"/>
      <c r="D14" s="1459"/>
      <c r="E14" s="1459"/>
      <c r="F14" s="1459"/>
      <c r="G14" s="221">
        <v>7152153.7000000002</v>
      </c>
      <c r="H14" s="1702"/>
      <c r="I14" s="1702"/>
      <c r="J14" s="44"/>
      <c r="K14" s="44"/>
      <c r="L14" s="44"/>
      <c r="M14" s="44"/>
    </row>
    <row r="15" spans="1:14" s="281" customFormat="1">
      <c r="A15" s="934">
        <f t="shared" si="0"/>
        <v>7</v>
      </c>
      <c r="B15" s="966" t="s">
        <v>36</v>
      </c>
      <c r="C15" s="1459"/>
      <c r="D15" s="1459"/>
      <c r="E15" s="1459"/>
      <c r="F15" s="1459"/>
      <c r="G15" s="221">
        <v>13583047.460000001</v>
      </c>
      <c r="H15" s="1702"/>
      <c r="I15" s="1702"/>
      <c r="J15" s="44"/>
      <c r="K15" s="44"/>
      <c r="L15" s="44"/>
      <c r="M15" s="44"/>
    </row>
    <row r="16" spans="1:14" s="281" customFormat="1">
      <c r="A16" s="934">
        <f t="shared" si="0"/>
        <v>8</v>
      </c>
      <c r="B16" s="966" t="s">
        <v>37</v>
      </c>
      <c r="C16" s="1459"/>
      <c r="D16" s="1459"/>
      <c r="E16" s="1459"/>
      <c r="F16" s="1459"/>
      <c r="G16" s="221">
        <v>13642048.27</v>
      </c>
      <c r="H16" s="1702"/>
      <c r="I16" s="1702"/>
      <c r="J16" s="44"/>
      <c r="K16" s="44"/>
      <c r="L16" s="44"/>
      <c r="M16" s="44"/>
    </row>
    <row r="17" spans="1:13" s="281" customFormat="1">
      <c r="A17" s="934">
        <f t="shared" si="0"/>
        <v>9</v>
      </c>
      <c r="B17" s="966" t="s">
        <v>38</v>
      </c>
      <c r="C17" s="1459"/>
      <c r="D17" s="1459"/>
      <c r="E17" s="1459"/>
      <c r="F17" s="1459"/>
      <c r="G17" s="221">
        <v>13120888.140000001</v>
      </c>
      <c r="H17" s="1702"/>
      <c r="I17" s="1702"/>
      <c r="J17" s="44"/>
      <c r="K17" s="44"/>
      <c r="L17" s="44"/>
      <c r="M17" s="44"/>
    </row>
    <row r="18" spans="1:13" s="281" customFormat="1">
      <c r="A18" s="934">
        <f t="shared" si="0"/>
        <v>10</v>
      </c>
      <c r="B18" s="966" t="s">
        <v>39</v>
      </c>
      <c r="C18" s="1459"/>
      <c r="D18" s="1459"/>
      <c r="E18" s="1459"/>
      <c r="F18" s="1459"/>
      <c r="G18" s="221">
        <v>12186227.689999999</v>
      </c>
      <c r="H18" s="1702"/>
      <c r="I18" s="1702"/>
      <c r="J18" s="44"/>
      <c r="K18" s="44"/>
      <c r="L18" s="44"/>
      <c r="M18" s="44"/>
    </row>
    <row r="19" spans="1:13" s="281" customFormat="1">
      <c r="A19" s="934">
        <f t="shared" si="0"/>
        <v>11</v>
      </c>
      <c r="B19" s="966" t="s">
        <v>40</v>
      </c>
      <c r="C19" s="1459"/>
      <c r="D19" s="1459"/>
      <c r="E19" s="1459"/>
      <c r="F19" s="1459"/>
      <c r="G19" s="221">
        <v>9456574.4600000009</v>
      </c>
      <c r="H19" s="1702"/>
      <c r="I19" s="1702"/>
      <c r="J19" s="44"/>
      <c r="K19" s="44"/>
      <c r="L19" s="44"/>
      <c r="M19" s="44"/>
    </row>
    <row r="20" spans="1:13" s="281" customFormat="1">
      <c r="A20" s="934">
        <f t="shared" si="0"/>
        <v>12</v>
      </c>
      <c r="B20" s="966" t="s">
        <v>41</v>
      </c>
      <c r="C20" s="1459"/>
      <c r="D20" s="1459"/>
      <c r="E20" s="1459"/>
      <c r="F20" s="1459"/>
      <c r="G20" s="221">
        <v>7174130.9000000004</v>
      </c>
      <c r="H20" s="1702"/>
      <c r="I20" s="1702"/>
      <c r="J20" s="44"/>
      <c r="K20" s="44"/>
      <c r="L20" s="44"/>
      <c r="M20" s="44"/>
    </row>
    <row r="21" spans="1:13" s="281" customFormat="1" ht="15">
      <c r="A21" s="934">
        <f t="shared" si="0"/>
        <v>13</v>
      </c>
      <c r="B21" s="966" t="s">
        <v>42</v>
      </c>
      <c r="C21" s="1459"/>
      <c r="D21" s="1459"/>
      <c r="E21" s="1459"/>
      <c r="F21" s="1459"/>
      <c r="G21" s="743">
        <v>10177666.869999999</v>
      </c>
      <c r="H21" s="1702"/>
      <c r="I21" s="1702"/>
      <c r="J21" s="44"/>
      <c r="K21" s="44"/>
      <c r="L21" s="44"/>
      <c r="M21" s="44"/>
    </row>
    <row r="22" spans="1:13" s="281" customFormat="1">
      <c r="A22" s="934">
        <f t="shared" si="0"/>
        <v>14</v>
      </c>
      <c r="B22" s="184" t="s">
        <v>1123</v>
      </c>
      <c r="D22" s="184"/>
      <c r="E22" s="184"/>
      <c r="G22" s="156">
        <f>SUM(G10:G21)</f>
        <v>113404573.25</v>
      </c>
      <c r="H22" s="184" t="str">
        <f>+"Sum (Line "&amp;A10&amp;" to "&amp;A21&amp;")"</f>
        <v>Sum (Line 2 to 13)</v>
      </c>
      <c r="I22" s="192"/>
      <c r="J22" s="44"/>
      <c r="K22" s="44"/>
      <c r="L22" s="44"/>
      <c r="M22" s="44"/>
    </row>
    <row r="23" spans="1:13" s="281" customFormat="1">
      <c r="A23" s="934">
        <f t="shared" si="0"/>
        <v>15</v>
      </c>
      <c r="B23" s="184" t="s">
        <v>579</v>
      </c>
      <c r="D23" s="184"/>
      <c r="E23" s="184"/>
      <c r="G23" s="282">
        <f>+'WP17 Rev'!E64</f>
        <v>93630936.979606971</v>
      </c>
      <c r="H23" s="184" t="str">
        <f>+"WP17 Line "&amp;'WP17 Rev'!A63&amp;" Column "&amp;'WP17 Rev'!E5</f>
        <v>WP17 Line 7 Column D</v>
      </c>
      <c r="J23" s="44"/>
      <c r="K23" s="44" t="s">
        <v>1708</v>
      </c>
      <c r="L23" s="44"/>
      <c r="M23" s="44"/>
    </row>
    <row r="24" spans="1:13" s="281" customFormat="1">
      <c r="A24" s="934">
        <f t="shared" si="0"/>
        <v>16</v>
      </c>
      <c r="B24" s="1863" t="s">
        <v>1146</v>
      </c>
      <c r="C24" s="1863"/>
      <c r="D24" s="1863"/>
      <c r="E24" s="1863"/>
      <c r="F24" s="1863"/>
      <c r="G24" s="277">
        <f>'WP01 TU Support'!G69</f>
        <v>20234022.695101757</v>
      </c>
      <c r="H24" s="1698"/>
      <c r="I24" s="1703"/>
      <c r="J24" s="44"/>
      <c r="K24" s="44" t="s">
        <v>1665</v>
      </c>
      <c r="L24" s="44"/>
      <c r="M24" s="44"/>
    </row>
    <row r="25" spans="1:13" s="281" customFormat="1">
      <c r="A25" s="934">
        <f t="shared" si="0"/>
        <v>17</v>
      </c>
      <c r="B25" s="281" t="s">
        <v>1145</v>
      </c>
      <c r="D25" s="186"/>
      <c r="E25" s="186"/>
      <c r="F25" s="43"/>
      <c r="G25" s="889">
        <f>+G22+G23-G24</f>
        <v>186801487.53450522</v>
      </c>
      <c r="H25" s="219" t="str">
        <f>+"Sum (Line "&amp;A22&amp;" + "&amp;A23&amp;" - "&amp;A24&amp;")"</f>
        <v>Sum (Line 14 + 15 - 16)</v>
      </c>
      <c r="I25" s="791"/>
      <c r="J25" s="44"/>
      <c r="K25" s="44"/>
      <c r="L25" s="44"/>
      <c r="M25" s="44"/>
    </row>
    <row r="26" spans="1:13" s="281" customFormat="1">
      <c r="A26" s="934">
        <f t="shared" si="0"/>
        <v>18</v>
      </c>
      <c r="B26" s="1090"/>
      <c r="C26" s="1459"/>
      <c r="D26" s="186"/>
      <c r="E26" s="184"/>
      <c r="F26" s="43"/>
      <c r="G26" s="43"/>
      <c r="H26" s="44"/>
      <c r="I26" s="1378"/>
      <c r="J26" s="44"/>
      <c r="K26" s="44"/>
      <c r="L26" s="44"/>
      <c r="M26" s="44"/>
    </row>
    <row r="27" spans="1:13" s="281" customFormat="1">
      <c r="A27" s="934">
        <f t="shared" si="0"/>
        <v>19</v>
      </c>
      <c r="B27" s="43" t="s">
        <v>1147</v>
      </c>
      <c r="D27" s="43"/>
      <c r="E27" s="43"/>
      <c r="F27" s="43"/>
      <c r="G27" s="80">
        <f>+'Appendix A'!G289</f>
        <v>197406908.02950722</v>
      </c>
      <c r="H27" s="219" t="str">
        <f>+"Appendix A True-up Column Line "&amp;'Appendix A'!A289</f>
        <v>Appendix A True-up Column Line 193</v>
      </c>
      <c r="I27" s="791"/>
      <c r="J27" s="44"/>
      <c r="K27" s="44"/>
      <c r="L27" s="44"/>
      <c r="M27" s="44"/>
    </row>
    <row r="28" spans="1:13" s="281" customFormat="1" ht="15">
      <c r="A28" s="934">
        <f t="shared" si="0"/>
        <v>20</v>
      </c>
      <c r="B28" s="43"/>
      <c r="D28" s="1459"/>
      <c r="E28" s="1459"/>
      <c r="F28" s="1459"/>
      <c r="G28" s="510"/>
      <c r="H28" s="219"/>
      <c r="I28" s="791"/>
      <c r="J28" s="44"/>
      <c r="K28" s="44"/>
      <c r="L28" s="44"/>
      <c r="M28" s="44"/>
    </row>
    <row r="29" spans="1:13" s="281" customFormat="1">
      <c r="A29" s="934">
        <f t="shared" si="0"/>
        <v>21</v>
      </c>
      <c r="B29" s="43" t="s">
        <v>957</v>
      </c>
      <c r="D29" s="43"/>
      <c r="E29" s="43"/>
      <c r="F29" s="43"/>
      <c r="G29" s="269">
        <f>+G27-G25</f>
        <v>10605420.495002002</v>
      </c>
      <c r="H29" s="219" t="str">
        <f>+"Line "&amp;A27&amp;" - Line "&amp;A25</f>
        <v>Line 19 - Line 17</v>
      </c>
      <c r="I29" s="791"/>
      <c r="J29" s="44"/>
      <c r="K29" s="44"/>
      <c r="L29" s="44"/>
      <c r="M29" s="44"/>
    </row>
    <row r="30" spans="1:13" s="281" customFormat="1">
      <c r="A30" s="1369">
        <f>+A29+1</f>
        <v>22</v>
      </c>
      <c r="B30" s="43"/>
      <c r="D30" s="43"/>
      <c r="E30" s="43"/>
      <c r="F30" s="43"/>
      <c r="G30" s="269"/>
      <c r="H30" s="1369"/>
      <c r="I30" s="1368"/>
      <c r="J30" s="44"/>
      <c r="K30" s="44"/>
      <c r="L30" s="44"/>
      <c r="M30" s="44"/>
    </row>
    <row r="31" spans="1:13" s="281" customFormat="1">
      <c r="A31" s="1369">
        <f>+A30+1</f>
        <v>23</v>
      </c>
      <c r="B31" s="43" t="s">
        <v>958</v>
      </c>
      <c r="D31" s="43"/>
      <c r="E31" s="43"/>
      <c r="F31" s="43"/>
      <c r="G31" s="277"/>
      <c r="H31" s="1369" t="s">
        <v>577</v>
      </c>
      <c r="I31" s="1368"/>
      <c r="J31" s="44"/>
      <c r="K31" s="44"/>
      <c r="L31" s="44"/>
      <c r="M31" s="44"/>
    </row>
    <row r="32" spans="1:13" s="281" customFormat="1">
      <c r="A32" s="1369">
        <f>+A31+1</f>
        <v>24</v>
      </c>
      <c r="B32" s="43"/>
      <c r="D32" s="43"/>
      <c r="E32" s="43"/>
      <c r="F32" s="43"/>
      <c r="G32" s="80"/>
      <c r="H32" s="219"/>
      <c r="I32" s="791"/>
      <c r="J32" s="44"/>
      <c r="K32" s="44"/>
      <c r="L32" s="44"/>
      <c r="M32" s="44"/>
    </row>
    <row r="33" spans="1:13" s="281" customFormat="1">
      <c r="A33" s="219">
        <f>+A32+1</f>
        <v>25</v>
      </c>
      <c r="B33" s="1090" t="s">
        <v>1148</v>
      </c>
      <c r="C33" s="1459"/>
      <c r="D33" s="186"/>
      <c r="E33" s="184"/>
      <c r="F33" s="43"/>
      <c r="G33" s="43"/>
      <c r="H33" s="44"/>
      <c r="I33" s="791"/>
      <c r="J33" s="44"/>
      <c r="K33" s="44"/>
      <c r="L33" s="44"/>
      <c r="M33" s="44"/>
    </row>
    <row r="34" spans="1:13" s="281" customFormat="1">
      <c r="A34" s="219"/>
      <c r="B34" s="1090"/>
      <c r="C34" s="1197"/>
      <c r="D34" s="186"/>
      <c r="E34" s="184"/>
      <c r="F34" s="43"/>
      <c r="G34" s="43"/>
      <c r="H34" s="44"/>
      <c r="I34" s="1197"/>
      <c r="J34" s="44"/>
      <c r="K34" s="44"/>
      <c r="L34" s="44"/>
      <c r="M34" s="44"/>
    </row>
    <row r="35" spans="1:13" s="281" customFormat="1" ht="54" customHeight="1">
      <c r="A35" s="219"/>
      <c r="B35" s="1202" t="s">
        <v>447</v>
      </c>
      <c r="C35" s="648" t="s">
        <v>448</v>
      </c>
      <c r="D35" s="648" t="s">
        <v>294</v>
      </c>
      <c r="E35" s="648" t="s">
        <v>983</v>
      </c>
      <c r="F35" s="648" t="s">
        <v>893</v>
      </c>
      <c r="G35" s="648" t="s">
        <v>476</v>
      </c>
      <c r="H35" s="648" t="s">
        <v>449</v>
      </c>
      <c r="I35" s="648" t="s">
        <v>450</v>
      </c>
      <c r="J35" s="44"/>
      <c r="K35" s="44"/>
      <c r="L35" s="44"/>
      <c r="M35" s="44"/>
    </row>
    <row r="36" spans="1:13" s="281" customFormat="1" ht="15" customHeight="1">
      <c r="A36" s="219">
        <f>+A33+1</f>
        <v>26</v>
      </c>
      <c r="B36" s="1225" t="s">
        <v>72</v>
      </c>
      <c r="C36" s="602" t="s">
        <v>119</v>
      </c>
      <c r="D36" s="602" t="s">
        <v>876</v>
      </c>
      <c r="E36" s="602" t="s">
        <v>877</v>
      </c>
      <c r="F36" s="602" t="s">
        <v>878</v>
      </c>
      <c r="G36" s="1551" t="s">
        <v>1152</v>
      </c>
      <c r="H36" s="1551" t="s">
        <v>1153</v>
      </c>
      <c r="I36" s="602" t="s">
        <v>174</v>
      </c>
      <c r="J36" s="44"/>
      <c r="K36" s="44"/>
      <c r="L36" s="44"/>
      <c r="M36" s="44"/>
    </row>
    <row r="37" spans="1:13" s="281" customFormat="1" ht="15">
      <c r="A37" s="932">
        <f>+A36+0.01</f>
        <v>26.01</v>
      </c>
      <c r="B37" s="43"/>
      <c r="C37" s="1695">
        <v>42370</v>
      </c>
      <c r="D37" s="1696">
        <v>3.2500000000000001E-2</v>
      </c>
      <c r="E37" s="512">
        <f>+D37/12</f>
        <v>2.7083333333333334E-3</v>
      </c>
      <c r="F37" s="904">
        <f t="shared" ref="F37:F64" si="1">H37*E37</f>
        <v>2393.5844867192018</v>
      </c>
      <c r="G37" s="1689">
        <f>+G$29/12+G31</f>
        <v>883785.04125016683</v>
      </c>
      <c r="H37" s="1700">
        <f>IF((B37=1),G37,G37)</f>
        <v>883785.04125016683</v>
      </c>
      <c r="I37" s="904">
        <f>F37+G37</f>
        <v>886178.62573688605</v>
      </c>
      <c r="J37" s="44"/>
      <c r="K37" s="44" t="s">
        <v>1710</v>
      </c>
      <c r="L37" s="1706"/>
      <c r="M37" s="1830"/>
    </row>
    <row r="38" spans="1:13" s="281" customFormat="1">
      <c r="A38" s="932">
        <f t="shared" ref="A38:A65" si="2">+A37+0.01</f>
        <v>26.020000000000003</v>
      </c>
      <c r="B38" s="43"/>
      <c r="C38" s="1695">
        <v>42401</v>
      </c>
      <c r="D38" s="1696">
        <v>3.2500000000000001E-2</v>
      </c>
      <c r="E38" s="512">
        <f t="shared" ref="E38:E65" si="3">+D38/12</f>
        <v>2.7083333333333334E-3</v>
      </c>
      <c r="F38" s="904">
        <f t="shared" si="1"/>
        <v>4787.1689734384036</v>
      </c>
      <c r="G38" s="1689">
        <f t="shared" ref="G38:G48" si="4">+G$29/12</f>
        <v>883785.04125016683</v>
      </c>
      <c r="H38" s="1700">
        <f t="shared" ref="H38:H64" si="5">IF((B38=1),I37+G38,+H37+G38)</f>
        <v>1767570.0825003337</v>
      </c>
      <c r="I38" s="904">
        <f>I37+F38+G38</f>
        <v>1774750.8359604913</v>
      </c>
      <c r="J38" s="44"/>
    </row>
    <row r="39" spans="1:13" s="281" customFormat="1">
      <c r="A39" s="932">
        <f t="shared" si="2"/>
        <v>26.030000000000005</v>
      </c>
      <c r="B39" s="43"/>
      <c r="C39" s="1695">
        <v>42430</v>
      </c>
      <c r="D39" s="1696">
        <v>3.2500000000000001E-2</v>
      </c>
      <c r="E39" s="512">
        <f t="shared" si="3"/>
        <v>2.7083333333333334E-3</v>
      </c>
      <c r="F39" s="904">
        <f t="shared" si="1"/>
        <v>7180.7534601576053</v>
      </c>
      <c r="G39" s="1689">
        <f t="shared" si="4"/>
        <v>883785.04125016683</v>
      </c>
      <c r="H39" s="1700">
        <f t="shared" si="5"/>
        <v>2651355.1237505004</v>
      </c>
      <c r="I39" s="904">
        <f t="shared" ref="I39:I65" si="6">I38+F39+G39</f>
        <v>2665716.6306708157</v>
      </c>
      <c r="J39" s="44"/>
    </row>
    <row r="40" spans="1:13" s="281" customFormat="1">
      <c r="A40" s="932">
        <f t="shared" si="2"/>
        <v>26.040000000000006</v>
      </c>
      <c r="B40" s="43">
        <v>1</v>
      </c>
      <c r="C40" s="1695">
        <v>42461</v>
      </c>
      <c r="D40" s="1696">
        <v>3.4599999999999999E-2</v>
      </c>
      <c r="E40" s="512">
        <f t="shared" si="3"/>
        <v>2.8833333333333332E-3</v>
      </c>
      <c r="F40" s="904">
        <f t="shared" si="1"/>
        <v>10234.396487372167</v>
      </c>
      <c r="G40" s="1689">
        <f t="shared" si="4"/>
        <v>883785.04125016683</v>
      </c>
      <c r="H40" s="1700">
        <f t="shared" si="5"/>
        <v>3549501.6719209827</v>
      </c>
      <c r="I40" s="904">
        <f t="shared" si="6"/>
        <v>3559736.0684083547</v>
      </c>
      <c r="J40" s="44"/>
    </row>
    <row r="41" spans="1:13" s="281" customFormat="1">
      <c r="A41" s="932">
        <f t="shared" si="2"/>
        <v>26.050000000000008</v>
      </c>
      <c r="B41" s="43"/>
      <c r="C41" s="1695">
        <v>42491</v>
      </c>
      <c r="D41" s="1696">
        <v>3.4599999999999999E-2</v>
      </c>
      <c r="E41" s="512">
        <f t="shared" si="3"/>
        <v>2.8833333333333332E-3</v>
      </c>
      <c r="F41" s="904">
        <f t="shared" si="1"/>
        <v>12782.643356310147</v>
      </c>
      <c r="G41" s="1689">
        <f t="shared" si="4"/>
        <v>883785.04125016683</v>
      </c>
      <c r="H41" s="1700">
        <f t="shared" si="5"/>
        <v>4433286.7131711496</v>
      </c>
      <c r="I41" s="904">
        <f t="shared" si="6"/>
        <v>4456303.7530148318</v>
      </c>
      <c r="J41" s="44"/>
      <c r="K41" s="269"/>
      <c r="L41" s="80"/>
      <c r="M41" s="269"/>
    </row>
    <row r="42" spans="1:13" s="281" customFormat="1">
      <c r="A42" s="932">
        <f t="shared" si="2"/>
        <v>26.060000000000009</v>
      </c>
      <c r="B42" s="43"/>
      <c r="C42" s="1695">
        <v>42522</v>
      </c>
      <c r="D42" s="1696">
        <v>3.4599999999999999E-2</v>
      </c>
      <c r="E42" s="512">
        <f t="shared" si="3"/>
        <v>2.8833333333333332E-3</v>
      </c>
      <c r="F42" s="904">
        <f t="shared" si="1"/>
        <v>15330.890225248128</v>
      </c>
      <c r="G42" s="1689">
        <f t="shared" si="4"/>
        <v>883785.04125016683</v>
      </c>
      <c r="H42" s="1700">
        <f t="shared" si="5"/>
        <v>5317071.7544213161</v>
      </c>
      <c r="I42" s="904">
        <f t="shared" si="6"/>
        <v>5355419.6844902467</v>
      </c>
      <c r="J42" s="44"/>
      <c r="K42" s="269"/>
      <c r="L42" s="80"/>
      <c r="M42" s="269"/>
    </row>
    <row r="43" spans="1:13" s="281" customFormat="1">
      <c r="A43" s="932">
        <f t="shared" si="2"/>
        <v>26.070000000000011</v>
      </c>
      <c r="B43" s="43">
        <v>1</v>
      </c>
      <c r="C43" s="1695">
        <v>42552</v>
      </c>
      <c r="D43" s="1696">
        <v>3.5000000000000003E-2</v>
      </c>
      <c r="E43" s="512">
        <f t="shared" si="3"/>
        <v>2.9166666666666668E-3</v>
      </c>
      <c r="F43" s="904">
        <f t="shared" si="1"/>
        <v>18197.680450076205</v>
      </c>
      <c r="G43" s="1689">
        <f t="shared" si="4"/>
        <v>883785.04125016683</v>
      </c>
      <c r="H43" s="1700">
        <f t="shared" si="5"/>
        <v>6239204.7257404132</v>
      </c>
      <c r="I43" s="904">
        <f t="shared" si="6"/>
        <v>6257402.4061904894</v>
      </c>
      <c r="J43" s="44"/>
      <c r="K43" s="269"/>
      <c r="L43" s="80"/>
      <c r="M43" s="269"/>
    </row>
    <row r="44" spans="1:13" s="281" customFormat="1">
      <c r="A44" s="932">
        <f t="shared" si="2"/>
        <v>26.080000000000013</v>
      </c>
      <c r="B44" s="43"/>
      <c r="C44" s="1695">
        <v>42583</v>
      </c>
      <c r="D44" s="1696">
        <v>3.5000000000000003E-2</v>
      </c>
      <c r="E44" s="512">
        <f t="shared" si="3"/>
        <v>2.9166666666666668E-3</v>
      </c>
      <c r="F44" s="904">
        <f t="shared" si="1"/>
        <v>20775.386820389191</v>
      </c>
      <c r="G44" s="1689">
        <f t="shared" si="4"/>
        <v>883785.04125016683</v>
      </c>
      <c r="H44" s="1700">
        <f t="shared" si="5"/>
        <v>7122989.7669905797</v>
      </c>
      <c r="I44" s="904">
        <f t="shared" si="6"/>
        <v>7161962.8342610449</v>
      </c>
      <c r="J44" s="44"/>
      <c r="K44" s="269"/>
      <c r="L44" s="80"/>
      <c r="M44" s="269"/>
    </row>
    <row r="45" spans="1:13" s="281" customFormat="1">
      <c r="A45" s="932">
        <f t="shared" si="2"/>
        <v>26.090000000000014</v>
      </c>
      <c r="B45" s="43"/>
      <c r="C45" s="1695">
        <v>42614</v>
      </c>
      <c r="D45" s="1696">
        <v>3.5000000000000003E-2</v>
      </c>
      <c r="E45" s="512">
        <f t="shared" si="3"/>
        <v>2.9166666666666668E-3</v>
      </c>
      <c r="F45" s="904">
        <f t="shared" si="1"/>
        <v>23353.093190702177</v>
      </c>
      <c r="G45" s="1689">
        <f t="shared" si="4"/>
        <v>883785.04125016683</v>
      </c>
      <c r="H45" s="1700">
        <f t="shared" si="5"/>
        <v>8006774.8082407461</v>
      </c>
      <c r="I45" s="904">
        <f t="shared" si="6"/>
        <v>8069100.968701914</v>
      </c>
      <c r="J45" s="44"/>
      <c r="K45" s="269"/>
      <c r="L45" s="80"/>
      <c r="M45" s="269"/>
    </row>
    <row r="46" spans="1:13" s="281" customFormat="1">
      <c r="A46" s="932">
        <f t="shared" si="2"/>
        <v>26.100000000000016</v>
      </c>
      <c r="B46" s="43">
        <v>1</v>
      </c>
      <c r="C46" s="1695">
        <v>42644</v>
      </c>
      <c r="D46" s="1696">
        <v>3.5000000000000003E-2</v>
      </c>
      <c r="E46" s="512">
        <f t="shared" si="3"/>
        <v>2.9166666666666668E-3</v>
      </c>
      <c r="F46" s="904">
        <f t="shared" si="1"/>
        <v>26112.584195693573</v>
      </c>
      <c r="G46" s="1689">
        <f t="shared" si="4"/>
        <v>883785.04125016683</v>
      </c>
      <c r="H46" s="1700">
        <f t="shared" si="5"/>
        <v>8952886.0099520814</v>
      </c>
      <c r="I46" s="904">
        <f t="shared" si="6"/>
        <v>8978998.5941477753</v>
      </c>
      <c r="J46" s="44"/>
      <c r="K46" s="269"/>
      <c r="L46" s="80"/>
      <c r="M46" s="269"/>
    </row>
    <row r="47" spans="1:13" s="281" customFormat="1">
      <c r="A47" s="932">
        <f t="shared" si="2"/>
        <v>26.110000000000017</v>
      </c>
      <c r="B47" s="43"/>
      <c r="C47" s="1695">
        <v>42675</v>
      </c>
      <c r="D47" s="1696">
        <v>3.5000000000000003E-2</v>
      </c>
      <c r="E47" s="512">
        <f t="shared" si="3"/>
        <v>2.9166666666666668E-3</v>
      </c>
      <c r="F47" s="904">
        <f t="shared" si="1"/>
        <v>28690.290566006559</v>
      </c>
      <c r="G47" s="1689">
        <f t="shared" si="4"/>
        <v>883785.04125016683</v>
      </c>
      <c r="H47" s="1700">
        <f t="shared" si="5"/>
        <v>9836671.0512022488</v>
      </c>
      <c r="I47" s="904">
        <f t="shared" si="6"/>
        <v>9891473.9259639494</v>
      </c>
      <c r="J47" s="44"/>
      <c r="K47" s="269"/>
      <c r="L47" s="80"/>
      <c r="M47" s="269"/>
    </row>
    <row r="48" spans="1:13" s="281" customFormat="1">
      <c r="A48" s="932">
        <f t="shared" si="2"/>
        <v>26.120000000000019</v>
      </c>
      <c r="B48" s="43"/>
      <c r="C48" s="1695">
        <v>42705</v>
      </c>
      <c r="D48" s="1696">
        <v>3.5000000000000003E-2</v>
      </c>
      <c r="E48" s="512">
        <f t="shared" si="3"/>
        <v>2.9166666666666668E-3</v>
      </c>
      <c r="F48" s="904">
        <f t="shared" si="1"/>
        <v>31267.996936319549</v>
      </c>
      <c r="G48" s="1689">
        <f t="shared" si="4"/>
        <v>883785.04125016683</v>
      </c>
      <c r="H48" s="1700">
        <f t="shared" si="5"/>
        <v>10720456.092452416</v>
      </c>
      <c r="I48" s="904">
        <f t="shared" si="6"/>
        <v>10806526.964150436</v>
      </c>
      <c r="J48" s="44"/>
      <c r="K48" s="269"/>
      <c r="L48" s="80"/>
      <c r="M48" s="269"/>
    </row>
    <row r="49" spans="1:13" s="281" customFormat="1" ht="15">
      <c r="A49" s="932">
        <f t="shared" si="2"/>
        <v>26.13000000000002</v>
      </c>
      <c r="B49" s="43">
        <v>1</v>
      </c>
      <c r="C49" s="1695">
        <v>42736</v>
      </c>
      <c r="D49" s="1696">
        <v>3.5000000000000003E-2</v>
      </c>
      <c r="E49" s="512">
        <f t="shared" si="3"/>
        <v>2.9166666666666668E-3</v>
      </c>
      <c r="F49" s="904">
        <f t="shared" si="1"/>
        <v>31519.036978772107</v>
      </c>
      <c r="G49" s="1689"/>
      <c r="H49" s="1700">
        <f t="shared" si="5"/>
        <v>10806526.964150436</v>
      </c>
      <c r="I49" s="904">
        <f t="shared" si="6"/>
        <v>10838046.001129208</v>
      </c>
      <c r="J49" s="44"/>
      <c r="K49" s="1982"/>
      <c r="L49" s="499"/>
      <c r="M49" s="1982"/>
    </row>
    <row r="50" spans="1:13" s="281" customFormat="1">
      <c r="A50" s="932">
        <f t="shared" si="2"/>
        <v>26.140000000000022</v>
      </c>
      <c r="B50" s="86"/>
      <c r="C50" s="1695">
        <v>42767</v>
      </c>
      <c r="D50" s="1696">
        <v>3.5000000000000003E-2</v>
      </c>
      <c r="E50" s="512">
        <f t="shared" si="3"/>
        <v>2.9166666666666668E-3</v>
      </c>
      <c r="F50" s="904">
        <f t="shared" si="1"/>
        <v>31519.036978772107</v>
      </c>
      <c r="G50" s="1689"/>
      <c r="H50" s="1700">
        <f t="shared" si="5"/>
        <v>10806526.964150436</v>
      </c>
      <c r="I50" s="904">
        <f t="shared" si="6"/>
        <v>10869565.03810798</v>
      </c>
      <c r="J50" s="44"/>
      <c r="K50" s="269"/>
      <c r="L50" s="269"/>
      <c r="M50" s="44"/>
    </row>
    <row r="51" spans="1:13" s="281" customFormat="1">
      <c r="A51" s="932">
        <f t="shared" si="2"/>
        <v>26.150000000000023</v>
      </c>
      <c r="B51" s="516"/>
      <c r="C51" s="1695">
        <v>42795</v>
      </c>
      <c r="D51" s="1696">
        <v>3.5000000000000003E-2</v>
      </c>
      <c r="E51" s="512">
        <f t="shared" si="3"/>
        <v>2.9166666666666668E-3</v>
      </c>
      <c r="F51" s="904">
        <f t="shared" si="1"/>
        <v>31519.036978772107</v>
      </c>
      <c r="G51" s="1689"/>
      <c r="H51" s="1700">
        <f t="shared" si="5"/>
        <v>10806526.964150436</v>
      </c>
      <c r="I51" s="904">
        <f t="shared" si="6"/>
        <v>10901084.075086752</v>
      </c>
      <c r="J51" s="44"/>
      <c r="K51" s="44"/>
      <c r="L51" s="44"/>
      <c r="M51" s="44"/>
    </row>
    <row r="52" spans="1:13" s="281" customFormat="1">
      <c r="A52" s="932">
        <f t="shared" si="2"/>
        <v>26.160000000000025</v>
      </c>
      <c r="B52" s="43">
        <v>1</v>
      </c>
      <c r="C52" s="1695">
        <v>42826</v>
      </c>
      <c r="D52" s="1696">
        <v>3.7100000000000001E-2</v>
      </c>
      <c r="E52" s="512">
        <f t="shared" si="3"/>
        <v>3.0916666666666666E-3</v>
      </c>
      <c r="F52" s="904">
        <f t="shared" si="1"/>
        <v>33702.518265476538</v>
      </c>
      <c r="G52" s="1689"/>
      <c r="H52" s="1700">
        <f t="shared" si="5"/>
        <v>10901084.075086752</v>
      </c>
      <c r="I52" s="904">
        <f t="shared" si="6"/>
        <v>10934786.593352228</v>
      </c>
      <c r="J52" s="44"/>
      <c r="K52" s="44"/>
      <c r="L52" s="44"/>
      <c r="M52" s="44"/>
    </row>
    <row r="53" spans="1:13" s="281" customFormat="1">
      <c r="A53" s="932">
        <f t="shared" si="2"/>
        <v>26.170000000000027</v>
      </c>
      <c r="B53" s="516"/>
      <c r="C53" s="1695">
        <v>42856</v>
      </c>
      <c r="D53" s="1696">
        <v>3.7100000000000001E-2</v>
      </c>
      <c r="E53" s="512">
        <f t="shared" si="3"/>
        <v>3.0916666666666666E-3</v>
      </c>
      <c r="F53" s="904">
        <f t="shared" si="1"/>
        <v>33702.518265476538</v>
      </c>
      <c r="G53" s="1689"/>
      <c r="H53" s="1700">
        <f t="shared" si="5"/>
        <v>10901084.075086752</v>
      </c>
      <c r="I53" s="904">
        <f t="shared" si="6"/>
        <v>10968489.111617705</v>
      </c>
      <c r="J53" s="44"/>
      <c r="K53" s="43"/>
      <c r="L53" s="43"/>
      <c r="M53" s="43"/>
    </row>
    <row r="54" spans="1:13" s="281" customFormat="1">
      <c r="A54" s="932">
        <f t="shared" si="2"/>
        <v>26.180000000000028</v>
      </c>
      <c r="B54" s="516"/>
      <c r="C54" s="1695">
        <v>42887</v>
      </c>
      <c r="D54" s="1696">
        <v>3.7100000000000001E-2</v>
      </c>
      <c r="E54" s="512">
        <f t="shared" si="3"/>
        <v>3.0916666666666666E-3</v>
      </c>
      <c r="F54" s="904">
        <f t="shared" si="1"/>
        <v>30828.57413033842</v>
      </c>
      <c r="G54" s="1400">
        <v>-929577.61783443263</v>
      </c>
      <c r="H54" s="1700">
        <f>IF((B54=1),I53+G54,+H53+G54)</f>
        <v>9971506.4572523199</v>
      </c>
      <c r="I54" s="904">
        <f>I53+F54+G54</f>
        <v>10069740.06791361</v>
      </c>
      <c r="J54" s="44"/>
      <c r="K54" s="43"/>
      <c r="L54" s="43"/>
      <c r="M54" s="43"/>
    </row>
    <row r="55" spans="1:13" s="281" customFormat="1">
      <c r="A55" s="932">
        <f t="shared" si="2"/>
        <v>26.19000000000003</v>
      </c>
      <c r="B55" s="43">
        <v>1</v>
      </c>
      <c r="C55" s="1695">
        <v>42917</v>
      </c>
      <c r="D55" s="1696">
        <v>3.7100000000000001E-2</v>
      </c>
      <c r="E55" s="512">
        <f t="shared" si="3"/>
        <v>3.0916666666666666E-3</v>
      </c>
      <c r="F55" s="904">
        <f t="shared" si="1"/>
        <v>28258.335574828125</v>
      </c>
      <c r="G55" s="1689">
        <f>+G54</f>
        <v>-929577.61783443263</v>
      </c>
      <c r="H55" s="1700">
        <f t="shared" si="5"/>
        <v>9140162.4500791784</v>
      </c>
      <c r="I55" s="904">
        <f t="shared" si="6"/>
        <v>9168420.7856540065</v>
      </c>
      <c r="J55" s="44"/>
      <c r="K55" s="43"/>
      <c r="L55" s="43"/>
      <c r="M55" s="43"/>
    </row>
    <row r="56" spans="1:13" s="281" customFormat="1">
      <c r="A56" s="932">
        <f t="shared" si="2"/>
        <v>26.200000000000031</v>
      </c>
      <c r="B56" s="44"/>
      <c r="C56" s="1695">
        <v>42948</v>
      </c>
      <c r="D56" s="1696">
        <v>3.7100000000000001E-2</v>
      </c>
      <c r="E56" s="512">
        <f t="shared" si="3"/>
        <v>3.0916666666666666E-3</v>
      </c>
      <c r="F56" s="904">
        <f t="shared" si="1"/>
        <v>25384.391439690004</v>
      </c>
      <c r="G56" s="1689">
        <f t="shared" ref="G56:G65" si="7">+G55</f>
        <v>-929577.61783443263</v>
      </c>
      <c r="H56" s="1700">
        <f t="shared" si="5"/>
        <v>8210584.8322447455</v>
      </c>
      <c r="I56" s="904">
        <f t="shared" si="6"/>
        <v>8264227.5592592629</v>
      </c>
      <c r="J56" s="44"/>
      <c r="K56" s="43"/>
      <c r="L56" s="43"/>
      <c r="M56" s="43"/>
    </row>
    <row r="57" spans="1:13" s="281" customFormat="1">
      <c r="A57" s="932">
        <f t="shared" si="2"/>
        <v>26.210000000000033</v>
      </c>
      <c r="B57" s="44"/>
      <c r="C57" s="1695">
        <v>42979</v>
      </c>
      <c r="D57" s="1696">
        <v>3.7100000000000001E-2</v>
      </c>
      <c r="E57" s="512">
        <f t="shared" si="3"/>
        <v>3.0916666666666666E-3</v>
      </c>
      <c r="F57" s="904">
        <f t="shared" si="1"/>
        <v>22510.447304551883</v>
      </c>
      <c r="G57" s="1689">
        <f t="shared" si="7"/>
        <v>-929577.61783443263</v>
      </c>
      <c r="H57" s="1700">
        <f t="shared" si="5"/>
        <v>7281007.2144103125</v>
      </c>
      <c r="I57" s="904">
        <f t="shared" si="6"/>
        <v>7357160.3887293814</v>
      </c>
      <c r="J57" s="44"/>
      <c r="K57" s="43"/>
      <c r="L57" s="43"/>
      <c r="M57" s="43"/>
    </row>
    <row r="58" spans="1:13" s="281" customFormat="1">
      <c r="A58" s="932">
        <f t="shared" si="2"/>
        <v>26.220000000000034</v>
      </c>
      <c r="B58" s="43">
        <v>1</v>
      </c>
      <c r="C58" s="1695">
        <v>43009</v>
      </c>
      <c r="D58" s="1696">
        <v>3.7100000000000001E-2</v>
      </c>
      <c r="E58" s="512">
        <f t="shared" si="3"/>
        <v>3.0916666666666666E-3</v>
      </c>
      <c r="F58" s="904">
        <f t="shared" si="1"/>
        <v>19871.94340001688</v>
      </c>
      <c r="G58" s="1689">
        <f t="shared" si="7"/>
        <v>-929577.61783443263</v>
      </c>
      <c r="H58" s="1700">
        <f t="shared" si="5"/>
        <v>6427582.7708949484</v>
      </c>
      <c r="I58" s="904">
        <f t="shared" si="6"/>
        <v>6447454.7142949654</v>
      </c>
      <c r="J58" s="44"/>
      <c r="K58" s="43" t="s">
        <v>451</v>
      </c>
      <c r="L58" s="43"/>
      <c r="M58" s="43"/>
    </row>
    <row r="59" spans="1:13" s="281" customFormat="1">
      <c r="A59" s="932">
        <f t="shared" si="2"/>
        <v>26.230000000000036</v>
      </c>
      <c r="B59" s="44"/>
      <c r="C59" s="1695">
        <v>43040</v>
      </c>
      <c r="D59" s="1696">
        <v>3.7100000000000001E-2</v>
      </c>
      <c r="E59" s="512">
        <f t="shared" si="3"/>
        <v>3.0916666666666666E-3</v>
      </c>
      <c r="F59" s="904">
        <f t="shared" si="1"/>
        <v>16997.999264878759</v>
      </c>
      <c r="G59" s="1689">
        <f t="shared" si="7"/>
        <v>-929577.61783443263</v>
      </c>
      <c r="H59" s="1700">
        <f t="shared" si="5"/>
        <v>5498005.1530605154</v>
      </c>
      <c r="I59" s="904">
        <f t="shared" si="6"/>
        <v>5534875.0957254115</v>
      </c>
      <c r="J59" s="44"/>
      <c r="K59" s="43" t="s">
        <v>452</v>
      </c>
      <c r="L59" s="43"/>
      <c r="M59" s="43"/>
    </row>
    <row r="60" spans="1:13" s="281" customFormat="1">
      <c r="A60" s="932">
        <f t="shared" si="2"/>
        <v>26.240000000000038</v>
      </c>
      <c r="B60" s="44"/>
      <c r="C60" s="1695">
        <v>43070</v>
      </c>
      <c r="D60" s="1696">
        <v>3.7100000000000001E-2</v>
      </c>
      <c r="E60" s="512">
        <f t="shared" si="3"/>
        <v>3.0916666666666666E-3</v>
      </c>
      <c r="F60" s="904">
        <f t="shared" si="1"/>
        <v>14124.055129740638</v>
      </c>
      <c r="G60" s="1689">
        <f t="shared" si="7"/>
        <v>-929577.61783443263</v>
      </c>
      <c r="H60" s="1700">
        <f t="shared" si="5"/>
        <v>4568427.5352260824</v>
      </c>
      <c r="I60" s="904">
        <f t="shared" si="6"/>
        <v>4619421.533020719</v>
      </c>
      <c r="J60" s="44"/>
      <c r="K60" s="43"/>
      <c r="L60" s="43"/>
      <c r="M60" s="43"/>
    </row>
    <row r="61" spans="1:13" s="281" customFormat="1">
      <c r="A61" s="932">
        <f t="shared" si="2"/>
        <v>26.250000000000039</v>
      </c>
      <c r="B61" s="43">
        <v>1</v>
      </c>
      <c r="C61" s="1695">
        <v>43101</v>
      </c>
      <c r="D61" s="1696">
        <v>3.7100000000000001E-2</v>
      </c>
      <c r="E61" s="512">
        <f t="shared" si="3"/>
        <v>3.0916666666666666E-3</v>
      </c>
      <c r="F61" s="904">
        <f t="shared" si="1"/>
        <v>11407.767437784269</v>
      </c>
      <c r="G61" s="1689">
        <f t="shared" si="7"/>
        <v>-929577.61783443263</v>
      </c>
      <c r="H61" s="1700">
        <f t="shared" si="5"/>
        <v>3689843.9151862864</v>
      </c>
      <c r="I61" s="904">
        <f t="shared" si="6"/>
        <v>3701251.6826240704</v>
      </c>
      <c r="J61" s="43"/>
      <c r="K61" s="43" t="s">
        <v>453</v>
      </c>
      <c r="L61" s="43"/>
      <c r="M61" s="43"/>
    </row>
    <row r="62" spans="1:13" s="281" customFormat="1">
      <c r="A62" s="932">
        <f t="shared" si="2"/>
        <v>26.260000000000041</v>
      </c>
      <c r="B62" s="86"/>
      <c r="C62" s="1695">
        <v>43132</v>
      </c>
      <c r="D62" s="1696">
        <v>3.7100000000000001E-2</v>
      </c>
      <c r="E62" s="512">
        <f t="shared" si="3"/>
        <v>3.0916666666666666E-3</v>
      </c>
      <c r="F62" s="904">
        <f t="shared" si="1"/>
        <v>8533.8233026461476</v>
      </c>
      <c r="G62" s="1689">
        <f t="shared" si="7"/>
        <v>-929577.61783443263</v>
      </c>
      <c r="H62" s="1700">
        <f t="shared" si="5"/>
        <v>2760266.2973518539</v>
      </c>
      <c r="I62" s="904">
        <f t="shared" si="6"/>
        <v>2780207.8880922841</v>
      </c>
      <c r="J62" s="43"/>
      <c r="K62" s="43"/>
      <c r="L62" s="968" t="s">
        <v>454</v>
      </c>
      <c r="M62" s="969" t="str">
        <f ca="1">CELL("address",I65)</f>
        <v>$I$65</v>
      </c>
    </row>
    <row r="63" spans="1:13" s="281" customFormat="1">
      <c r="A63" s="932">
        <f t="shared" si="2"/>
        <v>26.270000000000042</v>
      </c>
      <c r="B63" s="516"/>
      <c r="C63" s="1695">
        <v>43160</v>
      </c>
      <c r="D63" s="1696">
        <v>3.7100000000000001E-2</v>
      </c>
      <c r="E63" s="512">
        <f t="shared" si="3"/>
        <v>3.0916666666666666E-3</v>
      </c>
      <c r="F63" s="904">
        <f t="shared" si="1"/>
        <v>5659.8791675080274</v>
      </c>
      <c r="G63" s="1689">
        <f t="shared" si="7"/>
        <v>-929577.61783443263</v>
      </c>
      <c r="H63" s="1700">
        <f t="shared" si="5"/>
        <v>1830688.6795174214</v>
      </c>
      <c r="I63" s="904">
        <f t="shared" si="6"/>
        <v>1856290.1494253594</v>
      </c>
      <c r="J63" s="43"/>
      <c r="K63" s="43"/>
      <c r="L63" s="968" t="s">
        <v>455</v>
      </c>
      <c r="M63" s="968">
        <v>0</v>
      </c>
    </row>
    <row r="64" spans="1:13" s="281" customFormat="1">
      <c r="A64" s="932">
        <f t="shared" si="2"/>
        <v>26.280000000000044</v>
      </c>
      <c r="B64" s="43">
        <v>1</v>
      </c>
      <c r="C64" s="1695">
        <v>43191</v>
      </c>
      <c r="D64" s="1696">
        <v>3.7100000000000001E-2</v>
      </c>
      <c r="E64" s="512">
        <f t="shared" si="3"/>
        <v>3.0916666666666666E-3</v>
      </c>
      <c r="F64" s="904">
        <f t="shared" si="1"/>
        <v>2865.0862435019485</v>
      </c>
      <c r="G64" s="1689">
        <f t="shared" si="7"/>
        <v>-929577.61783443263</v>
      </c>
      <c r="H64" s="1700">
        <f t="shared" si="5"/>
        <v>926712.53159092681</v>
      </c>
      <c r="I64" s="904">
        <f t="shared" si="6"/>
        <v>929577.61783442867</v>
      </c>
      <c r="J64" s="43"/>
      <c r="K64" s="43"/>
      <c r="L64" s="968" t="s">
        <v>456</v>
      </c>
      <c r="M64" s="969" t="str">
        <f ca="1">CELL("address",G54)</f>
        <v>$G$54</v>
      </c>
    </row>
    <row r="65" spans="1:21" s="281" customFormat="1" ht="15">
      <c r="A65" s="932">
        <f t="shared" si="2"/>
        <v>26.290000000000045</v>
      </c>
      <c r="B65" s="43"/>
      <c r="C65" s="1695">
        <v>43221</v>
      </c>
      <c r="D65" s="1696">
        <v>3.7100000000000001E-2</v>
      </c>
      <c r="E65" s="512">
        <f t="shared" si="3"/>
        <v>3.0916666666666666E-3</v>
      </c>
      <c r="F65" s="1701">
        <f>H65*E65</f>
        <v>0</v>
      </c>
      <c r="G65" s="1689">
        <f t="shared" si="7"/>
        <v>-929577.61783443263</v>
      </c>
      <c r="H65" s="1700"/>
      <c r="I65" s="1702">
        <f t="shared" si="6"/>
        <v>-3.9581209421157837E-9</v>
      </c>
      <c r="J65" s="43"/>
      <c r="K65" s="43"/>
      <c r="L65" s="43"/>
      <c r="M65" s="43"/>
    </row>
    <row r="66" spans="1:21" s="281" customFormat="1">
      <c r="A66" s="934">
        <f>+A36+1</f>
        <v>27</v>
      </c>
      <c r="B66" s="43" t="s">
        <v>865</v>
      </c>
      <c r="C66" s="511"/>
      <c r="D66" s="515"/>
      <c r="E66" s="1226"/>
      <c r="F66" s="904">
        <f>SUM(F37:F65)</f>
        <v>549510.91901118739</v>
      </c>
      <c r="G66" s="971"/>
      <c r="H66" s="513" t="str">
        <f>+"Col. "&amp;F6&amp;" Sum of Line "&amp;A36&amp;" Subparts"</f>
        <v>Col. E Sum of Line 26 Subparts</v>
      </c>
      <c r="I66" s="972"/>
      <c r="J66" s="43"/>
      <c r="K66" s="43"/>
      <c r="L66" s="43"/>
      <c r="M66" s="43"/>
    </row>
    <row r="67" spans="1:21" s="281" customFormat="1" ht="13.8" thickBot="1">
      <c r="A67" s="219">
        <f>A66+1</f>
        <v>28</v>
      </c>
      <c r="B67" s="1554" t="s">
        <v>1155</v>
      </c>
      <c r="C67" s="511"/>
      <c r="D67" s="515"/>
      <c r="E67" s="1226"/>
      <c r="F67" s="1553">
        <f>+G29+G31</f>
        <v>10605420.495002002</v>
      </c>
      <c r="G67" s="518"/>
      <c r="H67" s="1864" t="str">
        <f>+"Col. "&amp;G6&amp;" Line "&amp;A29&amp;" + Line "&amp;A31</f>
        <v>Col. F Line 21 + Line 23</v>
      </c>
      <c r="I67" s="1864"/>
      <c r="J67" s="43"/>
      <c r="K67" s="43"/>
      <c r="L67" s="43"/>
      <c r="M67" s="43"/>
    </row>
    <row r="68" spans="1:21" s="281" customFormat="1" ht="13.8" thickBot="1">
      <c r="A68" s="219">
        <f>A67+1</f>
        <v>29</v>
      </c>
      <c r="B68" s="43" t="s">
        <v>1154</v>
      </c>
      <c r="C68" s="511"/>
      <c r="D68" s="515"/>
      <c r="E68" s="1226"/>
      <c r="F68" s="1552">
        <f>SUM(F66:F67)</f>
        <v>11154931.414013188</v>
      </c>
      <c r="G68" s="513"/>
      <c r="H68" s="513" t="str">
        <f>+"Col. "&amp;F6&amp;" Line "&amp;A66&amp;" + "&amp;A67</f>
        <v>Col. E Line 27 + 28</v>
      </c>
      <c r="I68" s="513"/>
      <c r="J68" s="43"/>
      <c r="K68" s="43"/>
      <c r="L68" s="43"/>
      <c r="M68" s="43"/>
    </row>
    <row r="69" spans="1:21" s="281" customFormat="1">
      <c r="A69" s="44"/>
      <c r="B69" s="43"/>
      <c r="C69" s="43"/>
      <c r="D69" s="43"/>
      <c r="E69" s="43"/>
      <c r="F69" s="43"/>
      <c r="G69" s="43"/>
      <c r="H69" s="43"/>
      <c r="I69" s="43"/>
      <c r="J69" s="43"/>
      <c r="K69" s="43"/>
      <c r="L69" s="43"/>
      <c r="M69" s="43"/>
    </row>
    <row r="70" spans="1:21" s="44" customFormat="1">
      <c r="B70" s="43"/>
      <c r="C70" s="511"/>
      <c r="D70" s="515"/>
      <c r="E70" s="1226"/>
      <c r="F70" s="513"/>
      <c r="G70" s="514"/>
      <c r="H70" s="517"/>
      <c r="I70" s="513"/>
      <c r="J70" s="43"/>
      <c r="K70" s="43"/>
      <c r="L70" s="43"/>
      <c r="M70" s="43"/>
    </row>
    <row r="71" spans="1:21" s="281" customFormat="1">
      <c r="A71" s="44" t="s">
        <v>316</v>
      </c>
      <c r="B71" s="43"/>
      <c r="C71" s="511"/>
      <c r="D71" s="515"/>
      <c r="E71" s="1226"/>
      <c r="F71" s="513"/>
      <c r="G71" s="514"/>
      <c r="H71" s="517"/>
      <c r="I71" s="513"/>
      <c r="J71" s="44"/>
      <c r="K71" s="44"/>
      <c r="L71" s="44"/>
      <c r="M71" s="44"/>
    </row>
    <row r="72" spans="1:21" s="281" customFormat="1" ht="39.6" customHeight="1">
      <c r="A72" s="731">
        <v>1</v>
      </c>
      <c r="B72" s="1862" t="s">
        <v>1124</v>
      </c>
      <c r="C72" s="1862"/>
      <c r="D72" s="1862"/>
      <c r="E72" s="1862"/>
      <c r="F72" s="1862"/>
      <c r="G72" s="1862"/>
      <c r="H72" s="1862"/>
      <c r="I72" s="1862"/>
      <c r="J72" s="44"/>
      <c r="K72" s="44"/>
      <c r="L72" s="44"/>
      <c r="M72" s="44"/>
    </row>
    <row r="73" spans="1:21" s="281" customFormat="1" ht="27" customHeight="1">
      <c r="A73" s="933">
        <v>2</v>
      </c>
      <c r="B73" s="1857" t="s">
        <v>1149</v>
      </c>
      <c r="C73" s="1857"/>
      <c r="D73" s="1857"/>
      <c r="E73" s="1857"/>
      <c r="F73" s="1857"/>
      <c r="G73" s="1857"/>
      <c r="H73" s="1857"/>
      <c r="I73" s="1857"/>
      <c r="J73" s="44"/>
      <c r="K73" s="1860"/>
      <c r="L73" s="1860"/>
      <c r="M73" s="1860"/>
      <c r="N73" s="1860"/>
      <c r="O73" s="1860"/>
      <c r="P73" s="1860"/>
      <c r="Q73" s="1860"/>
      <c r="R73" s="1860"/>
      <c r="S73" s="1860"/>
      <c r="T73" s="1860"/>
      <c r="U73" s="1860"/>
    </row>
    <row r="74" spans="1:21" s="281" customFormat="1" ht="27" customHeight="1">
      <c r="A74" s="731">
        <v>3</v>
      </c>
      <c r="B74" s="1857" t="s">
        <v>480</v>
      </c>
      <c r="C74" s="1857"/>
      <c r="D74" s="1857"/>
      <c r="E74" s="1857"/>
      <c r="F74" s="1857"/>
      <c r="G74" s="1857"/>
      <c r="H74" s="1857"/>
      <c r="I74" s="1857"/>
      <c r="J74" s="44"/>
      <c r="K74" s="44"/>
      <c r="L74" s="44"/>
      <c r="M74" s="44"/>
    </row>
    <row r="75" spans="1:21" s="281" customFormat="1" ht="66" customHeight="1">
      <c r="A75" s="731">
        <v>4</v>
      </c>
      <c r="B75" s="1857" t="s">
        <v>1159</v>
      </c>
      <c r="C75" s="1857"/>
      <c r="D75" s="1857"/>
      <c r="E75" s="1857"/>
      <c r="F75" s="1857"/>
      <c r="G75" s="1857"/>
      <c r="H75" s="1857"/>
      <c r="I75" s="1857"/>
      <c r="J75" s="44"/>
      <c r="K75" s="44"/>
      <c r="L75" s="44"/>
      <c r="M75" s="44"/>
    </row>
    <row r="76" spans="1:21" s="281" customFormat="1" ht="39" customHeight="1">
      <c r="A76" s="588">
        <v>5</v>
      </c>
      <c r="B76" s="1857" t="s">
        <v>1156</v>
      </c>
      <c r="C76" s="1857"/>
      <c r="D76" s="1857"/>
      <c r="E76" s="1857"/>
      <c r="F76" s="1857"/>
      <c r="G76" s="1857"/>
      <c r="H76" s="1857"/>
      <c r="I76" s="1857"/>
      <c r="J76" s="44"/>
      <c r="K76" s="44"/>
      <c r="L76" s="44"/>
      <c r="M76" s="44"/>
    </row>
    <row r="77" spans="1:21" s="281" customFormat="1" ht="79.95" customHeight="1">
      <c r="A77" s="588">
        <v>6</v>
      </c>
      <c r="B77" s="1857" t="s">
        <v>1157</v>
      </c>
      <c r="C77" s="1857"/>
      <c r="D77" s="1857"/>
      <c r="E77" s="1857"/>
      <c r="F77" s="1857"/>
      <c r="G77" s="1857"/>
      <c r="H77" s="1857"/>
      <c r="I77" s="1857"/>
      <c r="J77" s="44"/>
      <c r="K77" s="44"/>
      <c r="L77" s="44"/>
      <c r="M77" s="44"/>
    </row>
    <row r="78" spans="1:21" s="281" customFormat="1" ht="54.6" customHeight="1">
      <c r="A78" s="1550">
        <v>7</v>
      </c>
      <c r="B78" s="1857" t="s">
        <v>1158</v>
      </c>
      <c r="C78" s="1857"/>
      <c r="D78" s="1857"/>
      <c r="E78" s="1857"/>
      <c r="F78" s="1857"/>
      <c r="G78" s="1857"/>
      <c r="H78" s="1857"/>
      <c r="I78" s="1857"/>
      <c r="J78" s="44"/>
      <c r="K78" s="44"/>
      <c r="L78" s="44"/>
      <c r="M78" s="44"/>
    </row>
    <row r="79" spans="1:21" s="281" customFormat="1">
      <c r="A79" s="769"/>
      <c r="B79" s="1027"/>
      <c r="C79" s="535"/>
      <c r="D79" s="536"/>
      <c r="E79" s="537"/>
      <c r="F79" s="513"/>
      <c r="G79" s="514"/>
      <c r="H79" s="517"/>
      <c r="I79" s="513"/>
      <c r="J79" s="44"/>
      <c r="K79" s="44"/>
      <c r="L79" s="44"/>
      <c r="M79" s="44"/>
    </row>
    <row r="80" spans="1:21" s="281" customFormat="1">
      <c r="A80" s="769"/>
      <c r="B80" s="43"/>
      <c r="C80" s="511"/>
      <c r="D80" s="519"/>
      <c r="E80" s="512"/>
      <c r="F80" s="513"/>
      <c r="G80" s="514"/>
      <c r="H80" s="517"/>
      <c r="I80" s="513"/>
      <c r="J80" s="44"/>
      <c r="K80" s="44"/>
      <c r="L80" s="44"/>
      <c r="M80" s="44"/>
    </row>
    <row r="81" spans="1:13" s="281" customFormat="1">
      <c r="A81" s="44"/>
      <c r="B81" s="43"/>
      <c r="C81" s="511"/>
      <c r="D81" s="519"/>
      <c r="E81" s="512"/>
      <c r="F81" s="513"/>
      <c r="G81" s="514"/>
      <c r="H81" s="517"/>
      <c r="I81" s="513"/>
      <c r="J81" s="44"/>
      <c r="K81" s="44"/>
      <c r="L81" s="44"/>
      <c r="M81" s="44"/>
    </row>
    <row r="82" spans="1:13" s="281" customFormat="1">
      <c r="A82" s="44"/>
      <c r="B82" s="43"/>
      <c r="C82" s="511"/>
      <c r="D82" s="519"/>
      <c r="E82" s="512"/>
      <c r="F82" s="513"/>
      <c r="G82" s="514"/>
      <c r="H82" s="517"/>
      <c r="I82" s="513"/>
      <c r="J82" s="44"/>
      <c r="K82" s="44"/>
      <c r="L82" s="44"/>
      <c r="M82" s="44"/>
    </row>
    <row r="83" spans="1:13" s="281" customFormat="1">
      <c r="A83" s="44"/>
      <c r="B83" s="43"/>
      <c r="C83" s="511"/>
      <c r="D83" s="519"/>
      <c r="E83" s="512"/>
      <c r="F83" s="513"/>
      <c r="G83" s="514"/>
      <c r="H83" s="517"/>
      <c r="I83" s="513"/>
      <c r="J83" s="44"/>
      <c r="K83" s="44"/>
      <c r="L83" s="44"/>
      <c r="M83" s="44"/>
    </row>
    <row r="84" spans="1:13" s="281" customFormat="1">
      <c r="A84" s="44"/>
      <c r="B84" s="43"/>
      <c r="C84" s="511"/>
      <c r="D84" s="519"/>
      <c r="E84" s="512"/>
      <c r="F84" s="513"/>
      <c r="G84" s="514"/>
      <c r="H84" s="517"/>
      <c r="I84" s="513"/>
      <c r="J84" s="44"/>
      <c r="K84" s="44"/>
      <c r="L84" s="44"/>
      <c r="M84" s="44"/>
    </row>
    <row r="85" spans="1:13" s="281" customFormat="1">
      <c r="A85" s="44"/>
      <c r="B85" s="43"/>
      <c r="C85" s="511"/>
      <c r="D85" s="519"/>
      <c r="E85" s="512"/>
      <c r="F85" s="513"/>
      <c r="G85" s="514"/>
      <c r="H85" s="517"/>
      <c r="I85" s="513"/>
      <c r="J85" s="44"/>
      <c r="K85" s="44"/>
      <c r="L85" s="44"/>
      <c r="M85" s="44"/>
    </row>
    <row r="86" spans="1:13" s="281" customFormat="1">
      <c r="A86" s="44"/>
      <c r="B86" s="44"/>
      <c r="C86" s="511"/>
      <c r="D86" s="519"/>
      <c r="E86" s="512"/>
      <c r="F86" s="513"/>
      <c r="G86" s="514"/>
      <c r="H86" s="517"/>
      <c r="I86" s="513"/>
      <c r="J86" s="44"/>
      <c r="K86" s="44"/>
      <c r="L86" s="44"/>
      <c r="M86" s="44"/>
    </row>
    <row r="87" spans="1:13" s="281" customFormat="1">
      <c r="A87" s="44"/>
      <c r="B87" s="44"/>
      <c r="C87" s="511"/>
      <c r="D87" s="519"/>
      <c r="E87" s="512"/>
      <c r="F87" s="513"/>
      <c r="G87" s="514"/>
      <c r="H87" s="517"/>
      <c r="I87" s="513"/>
      <c r="J87" s="44"/>
      <c r="K87" s="44"/>
      <c r="L87" s="44"/>
      <c r="M87" s="44"/>
    </row>
    <row r="88" spans="1:13" s="281" customFormat="1">
      <c r="A88" s="44"/>
      <c r="B88" s="44"/>
      <c r="C88" s="511"/>
      <c r="D88" s="519"/>
      <c r="E88" s="512"/>
      <c r="F88" s="513"/>
      <c r="G88" s="514"/>
      <c r="H88" s="517"/>
      <c r="I88" s="513"/>
      <c r="J88" s="44"/>
      <c r="K88" s="44"/>
      <c r="L88" s="44"/>
      <c r="M88" s="44"/>
    </row>
    <row r="89" spans="1:13" s="281" customFormat="1">
      <c r="A89" s="44"/>
      <c r="B89" s="44"/>
      <c r="C89" s="511"/>
      <c r="D89" s="519"/>
      <c r="E89" s="512"/>
      <c r="F89" s="513"/>
      <c r="G89" s="514"/>
      <c r="H89" s="517"/>
      <c r="I89" s="513"/>
      <c r="J89" s="44"/>
      <c r="K89" s="44"/>
      <c r="L89" s="44"/>
      <c r="M89" s="44"/>
    </row>
    <row r="90" spans="1:13" s="281" customFormat="1">
      <c r="A90" s="44"/>
      <c r="B90" s="44"/>
      <c r="C90" s="511"/>
      <c r="D90" s="519"/>
      <c r="E90" s="512"/>
      <c r="F90" s="513"/>
      <c r="G90" s="514"/>
      <c r="H90" s="517"/>
      <c r="I90" s="513"/>
      <c r="J90" s="44"/>
      <c r="K90" s="44"/>
      <c r="L90" s="44"/>
      <c r="M90" s="44"/>
    </row>
    <row r="91" spans="1:13" s="281" customFormat="1">
      <c r="A91" s="44"/>
      <c r="B91" s="44"/>
      <c r="C91" s="511"/>
      <c r="D91" s="519"/>
      <c r="E91" s="512"/>
      <c r="F91" s="513"/>
      <c r="G91" s="514"/>
      <c r="H91" s="517"/>
      <c r="I91" s="513"/>
      <c r="J91" s="44"/>
      <c r="K91" s="44"/>
      <c r="L91" s="44"/>
      <c r="M91" s="44"/>
    </row>
    <row r="92" spans="1:13" s="281" customFormat="1">
      <c r="A92" s="44"/>
      <c r="B92" s="44"/>
      <c r="C92" s="511"/>
      <c r="D92" s="519"/>
      <c r="E92" s="512"/>
      <c r="F92" s="513"/>
      <c r="G92" s="514"/>
      <c r="H92" s="517"/>
      <c r="I92" s="513"/>
      <c r="J92" s="44"/>
      <c r="K92" s="44"/>
      <c r="L92" s="44"/>
      <c r="M92" s="44"/>
    </row>
    <row r="93" spans="1:13" s="281" customFormat="1">
      <c r="A93" s="44"/>
      <c r="B93" s="44"/>
      <c r="C93" s="511"/>
      <c r="D93" s="519"/>
      <c r="E93" s="512"/>
      <c r="F93" s="513"/>
      <c r="G93" s="514"/>
      <c r="H93" s="517"/>
      <c r="I93" s="513"/>
      <c r="J93" s="44"/>
      <c r="K93" s="44"/>
      <c r="L93" s="44"/>
      <c r="M93" s="44"/>
    </row>
    <row r="94" spans="1:13" s="281" customFormat="1">
      <c r="A94" s="44"/>
      <c r="B94" s="44"/>
      <c r="C94" s="511"/>
      <c r="D94" s="519"/>
      <c r="E94" s="512"/>
      <c r="F94" s="513"/>
      <c r="G94" s="514"/>
      <c r="H94" s="517"/>
      <c r="I94" s="513"/>
      <c r="J94" s="44"/>
      <c r="K94" s="44"/>
      <c r="L94" s="44"/>
      <c r="M94" s="44"/>
    </row>
    <row r="95" spans="1:13" s="281" customFormat="1">
      <c r="A95" s="44"/>
      <c r="B95" s="44"/>
      <c r="C95" s="511"/>
      <c r="D95" s="519"/>
      <c r="E95" s="512"/>
      <c r="F95" s="513"/>
      <c r="G95" s="514"/>
      <c r="H95" s="517"/>
      <c r="I95" s="513"/>
      <c r="J95" s="44"/>
      <c r="K95" s="44"/>
      <c r="L95" s="44"/>
      <c r="M95" s="44"/>
    </row>
    <row r="96" spans="1:13" s="281" customFormat="1">
      <c r="A96" s="44"/>
      <c r="B96" s="44"/>
      <c r="C96" s="511"/>
      <c r="D96" s="519"/>
      <c r="E96" s="512"/>
      <c r="F96" s="513"/>
      <c r="G96" s="514"/>
      <c r="H96" s="517"/>
      <c r="I96" s="513"/>
      <c r="J96" s="44"/>
      <c r="K96" s="44"/>
      <c r="L96" s="44"/>
      <c r="M96" s="44"/>
    </row>
    <row r="97" spans="1:38" s="281" customFormat="1">
      <c r="A97" s="44"/>
      <c r="B97" s="44"/>
      <c r="C97" s="511"/>
      <c r="D97" s="519"/>
      <c r="E97" s="512"/>
      <c r="F97" s="513"/>
      <c r="G97" s="514"/>
      <c r="H97" s="517"/>
      <c r="I97" s="513"/>
      <c r="J97" s="44"/>
      <c r="K97" s="44"/>
      <c r="L97" s="44"/>
      <c r="M97" s="44"/>
    </row>
    <row r="98" spans="1:38" s="281" customFormat="1">
      <c r="A98" s="44"/>
      <c r="B98" s="44"/>
      <c r="C98" s="511"/>
      <c r="D98" s="519"/>
      <c r="E98" s="512"/>
      <c r="F98" s="513"/>
      <c r="G98" s="514"/>
      <c r="H98" s="517"/>
      <c r="I98" s="513"/>
      <c r="J98" s="44"/>
      <c r="K98" s="44"/>
      <c r="L98" s="44"/>
      <c r="M98" s="44"/>
    </row>
    <row r="99" spans="1:38" s="281" customFormat="1">
      <c r="A99" s="44"/>
      <c r="B99" s="44"/>
      <c r="C99" s="511"/>
      <c r="D99" s="519"/>
      <c r="E99" s="512"/>
      <c r="F99" s="513"/>
      <c r="G99" s="514"/>
      <c r="H99" s="517"/>
      <c r="I99" s="513"/>
      <c r="J99" s="44"/>
      <c r="K99" s="44"/>
      <c r="L99" s="44"/>
      <c r="M99" s="44"/>
    </row>
    <row r="100" spans="1:38" s="281" customFormat="1">
      <c r="A100" s="44"/>
      <c r="B100" s="44"/>
      <c r="C100" s="511"/>
      <c r="D100" s="519"/>
      <c r="E100" s="512"/>
      <c r="F100" s="513"/>
      <c r="G100" s="514"/>
      <c r="H100" s="517"/>
      <c r="I100" s="513"/>
      <c r="J100" s="44"/>
      <c r="K100" s="44"/>
      <c r="L100" s="44"/>
      <c r="M100" s="44"/>
    </row>
    <row r="101" spans="1:38" s="281" customFormat="1">
      <c r="A101" s="44"/>
      <c r="B101" s="44"/>
      <c r="C101" s="511"/>
      <c r="D101" s="519"/>
      <c r="E101" s="512"/>
      <c r="F101" s="513"/>
      <c r="G101" s="514"/>
      <c r="H101" s="517"/>
      <c r="I101" s="513"/>
      <c r="J101" s="44"/>
      <c r="K101" s="44"/>
      <c r="L101" s="44"/>
      <c r="M101" s="44"/>
    </row>
    <row r="102" spans="1:38">
      <c r="C102" s="511"/>
      <c r="D102" s="519"/>
      <c r="E102" s="512"/>
      <c r="F102" s="513"/>
      <c r="G102" s="514"/>
      <c r="H102" s="517"/>
      <c r="I102" s="513"/>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row>
    <row r="103" spans="1:38">
      <c r="C103" s="511"/>
      <c r="D103" s="519"/>
      <c r="E103" s="512"/>
      <c r="F103" s="513"/>
      <c r="G103" s="514"/>
      <c r="H103" s="517"/>
      <c r="I103" s="513"/>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row>
    <row r="104" spans="1:38">
      <c r="C104" s="511"/>
      <c r="D104" s="519"/>
      <c r="E104" s="512"/>
      <c r="F104" s="513"/>
      <c r="G104" s="514"/>
      <c r="H104" s="517"/>
      <c r="I104" s="513"/>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row>
    <row r="105" spans="1:38">
      <c r="C105" s="511"/>
      <c r="D105" s="519"/>
      <c r="E105" s="512"/>
      <c r="F105" s="513"/>
      <c r="G105" s="514"/>
      <c r="H105" s="517"/>
      <c r="I105" s="513"/>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row>
    <row r="106" spans="1:38">
      <c r="C106" s="511"/>
      <c r="D106" s="519"/>
      <c r="E106" s="512"/>
      <c r="F106" s="513"/>
      <c r="G106" s="514"/>
      <c r="H106" s="517"/>
      <c r="I106" s="513"/>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row>
    <row r="107" spans="1:38">
      <c r="C107" s="511"/>
      <c r="D107" s="519"/>
      <c r="E107" s="512"/>
      <c r="F107" s="513"/>
      <c r="G107" s="514"/>
      <c r="H107" s="517"/>
      <c r="I107" s="513"/>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row>
    <row r="108" spans="1:38">
      <c r="C108" s="511"/>
      <c r="D108" s="519"/>
      <c r="E108" s="512"/>
      <c r="F108" s="513"/>
      <c r="G108" s="514"/>
      <c r="H108" s="517"/>
      <c r="I108" s="513"/>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row>
    <row r="109" spans="1:38">
      <c r="C109" s="511"/>
      <c r="D109" s="519"/>
      <c r="E109" s="512"/>
      <c r="F109" s="513"/>
      <c r="G109" s="514"/>
      <c r="H109" s="517"/>
      <c r="I109" s="513"/>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row>
    <row r="110" spans="1:38">
      <c r="B110" s="66"/>
      <c r="C110" s="511"/>
      <c r="D110" s="519"/>
      <c r="E110" s="512"/>
      <c r="F110" s="513"/>
      <c r="G110" s="514"/>
      <c r="H110" s="517"/>
      <c r="I110" s="513"/>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row>
    <row r="111" spans="1:38">
      <c r="A111" s="66"/>
      <c r="B111" s="66"/>
      <c r="C111" s="511"/>
      <c r="D111" s="519"/>
      <c r="E111" s="512"/>
      <c r="F111" s="513"/>
      <c r="G111" s="514"/>
      <c r="H111" s="517"/>
      <c r="I111" s="513"/>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row>
    <row r="112" spans="1:38">
      <c r="A112" s="66"/>
      <c r="B112" s="66"/>
      <c r="C112" s="511"/>
      <c r="D112" s="519"/>
      <c r="E112" s="512"/>
      <c r="F112" s="513"/>
      <c r="G112" s="514"/>
      <c r="H112" s="517"/>
      <c r="I112" s="513"/>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row>
    <row r="113" spans="1:38">
      <c r="A113" s="66"/>
      <c r="B113" s="66"/>
      <c r="C113" s="511"/>
      <c r="D113" s="519"/>
      <c r="E113" s="512"/>
      <c r="F113" s="513"/>
      <c r="G113" s="514"/>
      <c r="H113" s="517"/>
      <c r="I113" s="513"/>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row>
    <row r="114" spans="1:38">
      <c r="A114" s="66"/>
      <c r="B114" s="66"/>
      <c r="C114" s="511"/>
      <c r="D114" s="519"/>
      <c r="E114" s="512"/>
      <c r="F114" s="513"/>
      <c r="G114" s="514"/>
      <c r="H114" s="517"/>
      <c r="I114" s="513"/>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row>
    <row r="115" spans="1:38">
      <c r="A115" s="66"/>
      <c r="B115" s="66"/>
      <c r="C115" s="511"/>
      <c r="D115" s="519"/>
      <c r="E115" s="512"/>
      <c r="F115" s="513"/>
      <c r="G115" s="514"/>
      <c r="H115" s="517"/>
      <c r="I115" s="513"/>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row>
    <row r="116" spans="1:38">
      <c r="A116" s="66"/>
      <c r="B116" s="66"/>
      <c r="C116" s="511"/>
      <c r="D116" s="519"/>
      <c r="E116" s="512"/>
      <c r="F116" s="513"/>
      <c r="G116" s="514"/>
      <c r="H116" s="517"/>
      <c r="I116" s="513"/>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row>
    <row r="117" spans="1:38">
      <c r="A117" s="66"/>
      <c r="B117" s="66"/>
      <c r="C117" s="511"/>
      <c r="D117" s="519"/>
      <c r="E117" s="512"/>
      <c r="F117" s="513"/>
      <c r="G117" s="514"/>
      <c r="H117" s="517"/>
      <c r="I117" s="513"/>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row>
    <row r="118" spans="1:38">
      <c r="A118" s="66"/>
      <c r="B118" s="66"/>
      <c r="C118" s="511"/>
      <c r="D118" s="519"/>
      <c r="E118" s="512"/>
      <c r="F118" s="513"/>
      <c r="G118" s="514"/>
      <c r="H118" s="517"/>
      <c r="I118" s="513"/>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row>
    <row r="119" spans="1:38">
      <c r="A119" s="66"/>
      <c r="B119" s="66"/>
      <c r="C119" s="511"/>
      <c r="D119" s="519"/>
      <c r="E119" s="512"/>
      <c r="F119" s="513"/>
      <c r="G119" s="514"/>
      <c r="H119" s="517"/>
      <c r="I119" s="513"/>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row>
    <row r="120" spans="1:38">
      <c r="A120" s="66"/>
      <c r="B120" s="66"/>
      <c r="C120" s="511"/>
      <c r="D120" s="519"/>
      <c r="E120" s="512"/>
      <c r="F120" s="513"/>
      <c r="G120" s="514"/>
      <c r="H120" s="517"/>
      <c r="I120" s="513"/>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row>
    <row r="121" spans="1:38">
      <c r="A121" s="66"/>
      <c r="B121" s="66"/>
      <c r="C121" s="511"/>
      <c r="D121" s="519"/>
      <c r="E121" s="512"/>
      <c r="F121" s="513"/>
      <c r="G121" s="514"/>
      <c r="H121" s="517"/>
      <c r="I121" s="513"/>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row>
    <row r="122" spans="1:38">
      <c r="A122" s="66"/>
      <c r="B122" s="66"/>
      <c r="C122" s="511"/>
      <c r="D122" s="519"/>
      <c r="E122" s="512"/>
      <c r="F122" s="513"/>
      <c r="G122" s="514"/>
      <c r="H122" s="517"/>
      <c r="I122" s="513"/>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row>
    <row r="123" spans="1:38">
      <c r="A123" s="66"/>
      <c r="B123" s="66"/>
      <c r="F123" s="520"/>
      <c r="G123" s="520"/>
      <c r="H123" s="520"/>
      <c r="I123" s="520"/>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row>
    <row r="124" spans="1:38">
      <c r="A124" s="66"/>
      <c r="B124" s="66"/>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row>
    <row r="125" spans="1:38">
      <c r="A125" s="66"/>
      <c r="B125" s="66"/>
      <c r="F125" s="521"/>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row>
    <row r="126" spans="1:38">
      <c r="A126" s="66"/>
      <c r="B126" s="66"/>
      <c r="C126" s="66"/>
      <c r="D126" s="66"/>
      <c r="E126" s="66"/>
      <c r="F126" s="521"/>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row>
    <row r="127" spans="1:38">
      <c r="A127" s="66"/>
      <c r="B127" s="66"/>
      <c r="C127" s="66"/>
      <c r="D127" s="66"/>
      <c r="E127" s="66"/>
      <c r="F127" s="520"/>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row>
    <row r="128" spans="1:38">
      <c r="A128" s="66"/>
      <c r="B128" s="66"/>
      <c r="C128" s="66"/>
      <c r="D128" s="66"/>
      <c r="E128" s="66"/>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row>
    <row r="129" spans="1:38">
      <c r="A129" s="66"/>
      <c r="B129" s="66"/>
      <c r="C129" s="66"/>
      <c r="D129" s="66"/>
      <c r="E129" s="66"/>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row>
    <row r="130" spans="1:38">
      <c r="A130" s="66"/>
      <c r="B130" s="66"/>
      <c r="C130" s="66"/>
      <c r="D130" s="66"/>
      <c r="E130" s="66"/>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row>
    <row r="131" spans="1:38">
      <c r="A131" s="66"/>
      <c r="B131" s="66"/>
      <c r="C131" s="66"/>
      <c r="D131" s="66"/>
      <c r="E131" s="66"/>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row>
    <row r="132" spans="1:38">
      <c r="A132" s="66"/>
      <c r="B132" s="66"/>
      <c r="C132" s="66"/>
      <c r="D132" s="66"/>
      <c r="E132" s="66"/>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row>
    <row r="133" spans="1:38">
      <c r="A133" s="66"/>
      <c r="B133" s="66"/>
      <c r="C133" s="66"/>
      <c r="D133" s="66"/>
      <c r="E133" s="66"/>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row>
    <row r="134" spans="1:38">
      <c r="A134" s="66"/>
      <c r="B134" s="66"/>
      <c r="C134" s="66"/>
      <c r="D134" s="66"/>
      <c r="E134" s="66"/>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row>
    <row r="135" spans="1:38">
      <c r="A135" s="66"/>
      <c r="B135" s="66"/>
      <c r="C135" s="66"/>
      <c r="D135" s="66"/>
      <c r="E135" s="66"/>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row>
    <row r="136" spans="1:38">
      <c r="A136" s="66"/>
      <c r="B136" s="66"/>
      <c r="C136" s="66"/>
      <c r="D136" s="66"/>
      <c r="E136" s="66"/>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row>
    <row r="137" spans="1:38">
      <c r="A137" s="66"/>
      <c r="B137" s="66"/>
      <c r="C137" s="66"/>
      <c r="D137" s="66"/>
      <c r="E137" s="66"/>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row>
    <row r="138" spans="1:38">
      <c r="A138" s="66"/>
      <c r="B138" s="66"/>
      <c r="C138" s="66"/>
      <c r="D138" s="66"/>
      <c r="E138" s="66"/>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row>
    <row r="139" spans="1:38">
      <c r="A139" s="66"/>
      <c r="B139" s="66"/>
      <c r="C139" s="66"/>
      <c r="D139" s="66"/>
      <c r="E139" s="66"/>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row>
    <row r="140" spans="1:38">
      <c r="A140" s="66"/>
      <c r="B140" s="66"/>
      <c r="C140" s="66"/>
      <c r="D140" s="66"/>
      <c r="E140" s="66"/>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row>
    <row r="141" spans="1:38">
      <c r="A141" s="66"/>
      <c r="B141" s="66"/>
      <c r="C141" s="66"/>
      <c r="D141" s="66"/>
      <c r="E141" s="66"/>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row>
    <row r="142" spans="1:38">
      <c r="A142" s="66"/>
      <c r="B142" s="66"/>
      <c r="C142" s="66"/>
      <c r="D142" s="66"/>
      <c r="E142" s="66"/>
      <c r="F142" s="66"/>
      <c r="G142" s="66"/>
      <c r="H142" s="66"/>
      <c r="I142" s="66"/>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row>
    <row r="143" spans="1:38">
      <c r="A143" s="66"/>
      <c r="B143" s="66"/>
      <c r="C143" s="66"/>
      <c r="D143" s="66"/>
      <c r="E143" s="66"/>
      <c r="F143" s="66"/>
      <c r="G143" s="66"/>
      <c r="H143" s="66"/>
      <c r="I143" s="66"/>
      <c r="J143" s="66"/>
      <c r="K143" s="66"/>
      <c r="L143" s="66"/>
      <c r="M143" s="66"/>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row>
    <row r="144" spans="1:38">
      <c r="A144" s="66"/>
      <c r="B144" s="66"/>
      <c r="C144" s="66"/>
      <c r="D144" s="66"/>
      <c r="E144" s="66"/>
      <c r="F144" s="66"/>
      <c r="G144" s="66"/>
      <c r="H144" s="66"/>
      <c r="I144" s="66"/>
      <c r="J144" s="66"/>
      <c r="K144" s="66"/>
      <c r="L144" s="66"/>
      <c r="M144" s="66"/>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row>
    <row r="145" spans="1:38">
      <c r="A145" s="66"/>
      <c r="B145" s="66"/>
      <c r="C145" s="66"/>
      <c r="D145" s="66"/>
      <c r="E145" s="66"/>
      <c r="F145" s="66"/>
      <c r="G145" s="66"/>
      <c r="H145" s="66"/>
      <c r="I145" s="66"/>
      <c r="J145" s="66"/>
      <c r="K145" s="66"/>
      <c r="L145" s="66"/>
      <c r="M145" s="66"/>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row>
    <row r="146" spans="1:38">
      <c r="A146" s="66"/>
      <c r="B146" s="66"/>
      <c r="C146" s="66"/>
      <c r="D146" s="66"/>
      <c r="E146" s="66"/>
      <c r="F146" s="66"/>
      <c r="G146" s="66"/>
      <c r="H146" s="66"/>
      <c r="I146" s="66"/>
      <c r="J146" s="66"/>
      <c r="K146" s="66"/>
      <c r="L146" s="66"/>
      <c r="M146" s="66"/>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row>
    <row r="147" spans="1:38">
      <c r="A147" s="66"/>
      <c r="B147" s="66"/>
      <c r="C147" s="66"/>
      <c r="D147" s="66"/>
      <c r="E147" s="66"/>
      <c r="F147" s="66"/>
      <c r="G147" s="66"/>
      <c r="H147" s="66"/>
      <c r="I147" s="66"/>
      <c r="J147" s="66"/>
      <c r="K147" s="66"/>
      <c r="L147" s="66"/>
      <c r="M147" s="66"/>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row>
    <row r="148" spans="1:38">
      <c r="A148" s="66"/>
      <c r="B148" s="66"/>
      <c r="C148" s="66"/>
      <c r="D148" s="66"/>
      <c r="E148" s="66"/>
      <c r="F148" s="66"/>
      <c r="G148" s="66"/>
      <c r="H148" s="66"/>
      <c r="I148" s="66"/>
      <c r="J148" s="66"/>
      <c r="K148" s="66"/>
      <c r="L148" s="66"/>
      <c r="M148" s="66"/>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row>
    <row r="149" spans="1:38">
      <c r="A149" s="66"/>
      <c r="B149" s="66"/>
      <c r="C149" s="66"/>
      <c r="D149" s="66"/>
      <c r="E149" s="66"/>
      <c r="F149" s="66"/>
      <c r="G149" s="66"/>
      <c r="H149" s="66"/>
      <c r="I149" s="66"/>
      <c r="J149" s="66"/>
      <c r="K149" s="66"/>
      <c r="L149" s="66"/>
      <c r="M149" s="66"/>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row>
    <row r="150" spans="1:38">
      <c r="A150" s="66"/>
      <c r="B150" s="66"/>
      <c r="C150" s="66"/>
      <c r="D150" s="66"/>
      <c r="E150" s="66"/>
      <c r="F150" s="66"/>
      <c r="G150" s="66"/>
      <c r="H150" s="66"/>
      <c r="I150" s="66"/>
      <c r="J150" s="66"/>
      <c r="K150" s="66"/>
      <c r="L150" s="66"/>
      <c r="M150" s="66"/>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row>
    <row r="151" spans="1:38">
      <c r="A151" s="66"/>
      <c r="B151" s="66"/>
      <c r="C151" s="66"/>
      <c r="D151" s="66"/>
      <c r="E151" s="66"/>
      <c r="F151" s="66"/>
      <c r="G151" s="66"/>
      <c r="H151" s="66"/>
      <c r="I151" s="66"/>
      <c r="J151" s="66"/>
      <c r="K151" s="66"/>
      <c r="L151" s="66"/>
      <c r="M151" s="66"/>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row>
    <row r="152" spans="1:38">
      <c r="A152" s="66"/>
      <c r="B152" s="66"/>
      <c r="C152" s="66"/>
      <c r="D152" s="66"/>
      <c r="E152" s="66"/>
      <c r="F152" s="66"/>
      <c r="G152" s="66"/>
      <c r="H152" s="66"/>
      <c r="I152" s="66"/>
      <c r="J152" s="66"/>
      <c r="K152" s="66"/>
      <c r="L152" s="66"/>
      <c r="M152" s="66"/>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row>
    <row r="153" spans="1:38">
      <c r="A153" s="66"/>
      <c r="B153" s="66"/>
      <c r="C153" s="66"/>
      <c r="D153" s="66"/>
      <c r="E153" s="66"/>
      <c r="F153" s="66"/>
      <c r="G153" s="66"/>
      <c r="H153" s="66"/>
      <c r="I153" s="66"/>
      <c r="J153" s="66"/>
      <c r="K153" s="66"/>
      <c r="L153" s="66"/>
      <c r="M153" s="66"/>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row>
    <row r="154" spans="1:38">
      <c r="A154" s="66"/>
      <c r="B154" s="66"/>
      <c r="C154" s="66"/>
      <c r="D154" s="66"/>
      <c r="E154" s="66"/>
      <c r="F154" s="66"/>
      <c r="G154" s="66"/>
      <c r="H154" s="66"/>
      <c r="I154" s="66"/>
      <c r="J154" s="66"/>
      <c r="K154" s="66"/>
      <c r="L154" s="66"/>
      <c r="M154" s="66"/>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row>
    <row r="155" spans="1:38">
      <c r="A155" s="66"/>
      <c r="B155" s="66"/>
      <c r="C155" s="66"/>
      <c r="D155" s="66"/>
      <c r="E155" s="66"/>
      <c r="F155" s="66"/>
      <c r="G155" s="66"/>
      <c r="H155" s="66"/>
      <c r="I155" s="66"/>
      <c r="J155" s="66"/>
      <c r="K155" s="66"/>
      <c r="L155" s="66"/>
      <c r="M155" s="66"/>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row>
    <row r="156" spans="1:38">
      <c r="A156" s="66"/>
      <c r="B156" s="66"/>
      <c r="C156" s="66"/>
      <c r="D156" s="66"/>
      <c r="E156" s="66"/>
      <c r="F156" s="66"/>
      <c r="G156" s="66"/>
      <c r="H156" s="66"/>
      <c r="I156" s="66"/>
      <c r="J156" s="66"/>
      <c r="K156" s="66"/>
      <c r="L156" s="66"/>
      <c r="M156" s="66"/>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row>
    <row r="157" spans="1:38">
      <c r="A157" s="66"/>
      <c r="B157" s="66"/>
      <c r="C157" s="66"/>
      <c r="D157" s="66"/>
      <c r="E157" s="66"/>
      <c r="F157" s="66"/>
      <c r="G157" s="66"/>
      <c r="H157" s="66"/>
      <c r="I157" s="66"/>
      <c r="J157" s="66"/>
      <c r="K157" s="66"/>
      <c r="L157" s="66"/>
      <c r="M157" s="66"/>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row>
    <row r="158" spans="1:38">
      <c r="A158" s="66"/>
      <c r="J158" s="66"/>
      <c r="K158" s="66"/>
      <c r="L158" s="66"/>
      <c r="M158" s="66"/>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row>
    <row r="159" spans="1:38" s="244" customFormat="1">
      <c r="A159" s="44"/>
      <c r="B159" s="44"/>
      <c r="C159" s="43"/>
      <c r="D159" s="44"/>
      <c r="E159" s="44"/>
      <c r="F159" s="44"/>
      <c r="G159" s="44"/>
      <c r="H159" s="44"/>
      <c r="I159" s="44"/>
      <c r="J159" s="44"/>
      <c r="K159" s="44"/>
      <c r="L159" s="44"/>
      <c r="M159" s="44"/>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row>
    <row r="160" spans="1:38">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row>
    <row r="161" spans="1:38">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row>
    <row r="162" spans="1:38">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row>
    <row r="163" spans="1:38">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row>
    <row r="164" spans="1:38">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row>
    <row r="165" spans="1:38">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row>
    <row r="166" spans="1:38">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row>
    <row r="167" spans="1:38">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row>
    <row r="168" spans="1:38">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row>
    <row r="169" spans="1:38">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row>
    <row r="170" spans="1:38">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row>
    <row r="171" spans="1:38">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row>
    <row r="172" spans="1:38">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row>
    <row r="173" spans="1:38">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row>
    <row r="174" spans="1:38">
      <c r="B174" s="66"/>
      <c r="C174" s="66"/>
      <c r="D174" s="66"/>
      <c r="E174" s="66"/>
      <c r="F174" s="66"/>
      <c r="G174" s="66"/>
      <c r="H174" s="66"/>
      <c r="I174" s="66"/>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row>
    <row r="175" spans="1:38">
      <c r="A175" s="66"/>
      <c r="B175" s="66"/>
      <c r="C175" s="66"/>
      <c r="D175" s="66"/>
      <c r="E175" s="66"/>
      <c r="F175" s="66"/>
      <c r="G175" s="66"/>
      <c r="H175" s="66"/>
      <c r="I175" s="66"/>
      <c r="J175" s="66"/>
      <c r="K175" s="66"/>
      <c r="L175" s="66"/>
      <c r="M175" s="66"/>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row>
    <row r="176" spans="1:38">
      <c r="A176" s="66"/>
      <c r="B176" s="66"/>
      <c r="C176" s="66"/>
      <c r="D176" s="66"/>
      <c r="E176" s="66"/>
      <c r="F176" s="66"/>
      <c r="G176" s="66"/>
      <c r="H176" s="66"/>
      <c r="I176" s="66"/>
      <c r="J176" s="66"/>
      <c r="K176" s="66"/>
      <c r="L176" s="66"/>
      <c r="M176" s="66"/>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row>
    <row r="177" spans="1:38">
      <c r="A177" s="66"/>
      <c r="B177" s="66"/>
      <c r="C177" s="66"/>
      <c r="D177" s="66"/>
      <c r="E177" s="66"/>
      <c r="F177" s="66"/>
      <c r="G177" s="66"/>
      <c r="H177" s="66"/>
      <c r="I177" s="66"/>
      <c r="J177" s="66"/>
      <c r="K177" s="66"/>
      <c r="L177" s="66"/>
      <c r="M177" s="66"/>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row>
    <row r="178" spans="1:38">
      <c r="A178" s="66"/>
      <c r="B178" s="66"/>
      <c r="C178" s="66"/>
      <c r="D178" s="66"/>
      <c r="E178" s="66"/>
      <c r="F178" s="66"/>
      <c r="G178" s="66"/>
      <c r="H178" s="66"/>
      <c r="I178" s="66"/>
      <c r="J178" s="66"/>
      <c r="K178" s="66"/>
      <c r="L178" s="66"/>
      <c r="M178" s="66"/>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row>
    <row r="179" spans="1:38">
      <c r="A179" s="66"/>
      <c r="J179" s="66"/>
      <c r="K179" s="66"/>
      <c r="L179" s="66"/>
      <c r="M179" s="66"/>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row>
  </sheetData>
  <mergeCells count="15">
    <mergeCell ref="A1:I1"/>
    <mergeCell ref="A2:I2"/>
    <mergeCell ref="A4:I4"/>
    <mergeCell ref="A3:I3"/>
    <mergeCell ref="B74:I74"/>
    <mergeCell ref="B72:I72"/>
    <mergeCell ref="B73:I73"/>
    <mergeCell ref="B24:F24"/>
    <mergeCell ref="H67:I67"/>
    <mergeCell ref="B77:I77"/>
    <mergeCell ref="B78:I78"/>
    <mergeCell ref="K73:U73"/>
    <mergeCell ref="B76:I76"/>
    <mergeCell ref="H9:I9"/>
    <mergeCell ref="B75:I75"/>
  </mergeCells>
  <printOptions horizontalCentered="1"/>
  <pageMargins left="0.7" right="0.7" top="0.7" bottom="0.7" header="0.3" footer="0.5"/>
  <pageSetup scale="89" fitToHeight="2"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9"/>
  <sheetViews>
    <sheetView workbookViewId="0">
      <selection sqref="A1:B1"/>
    </sheetView>
  </sheetViews>
  <sheetFormatPr defaultColWidth="9.109375" defaultRowHeight="13.2"/>
  <cols>
    <col min="1" max="1" width="6.44140625" style="44" bestFit="1" customWidth="1"/>
    <col min="2" max="2" width="7.6640625" style="44" customWidth="1"/>
    <col min="3" max="3" width="8.6640625" style="43" customWidth="1"/>
    <col min="4" max="5" width="8.6640625" style="44" customWidth="1"/>
    <col min="6" max="6" width="16.88671875" style="44" customWidth="1"/>
    <col min="7" max="7" width="14.6640625" style="44" customWidth="1"/>
    <col min="8" max="8" width="12.88671875" style="44" customWidth="1"/>
    <col min="9" max="9" width="15.6640625" style="44" customWidth="1"/>
    <col min="10" max="10" width="9.109375" style="44"/>
    <col min="11" max="11" width="11.6640625" style="44" customWidth="1"/>
    <col min="12" max="16384" width="9.109375" style="66"/>
  </cols>
  <sheetData>
    <row r="1" spans="1:17">
      <c r="A1" s="1858" t="s">
        <v>175</v>
      </c>
      <c r="B1" s="1858"/>
      <c r="C1" s="1858"/>
      <c r="D1" s="1858"/>
      <c r="E1" s="1858"/>
      <c r="F1" s="1858"/>
      <c r="G1" s="1858"/>
      <c r="H1" s="1858"/>
      <c r="I1" s="1858"/>
    </row>
    <row r="2" spans="1:17" ht="13.2" customHeight="1">
      <c r="A2" s="1859" t="s">
        <v>1121</v>
      </c>
      <c r="B2" s="1859"/>
      <c r="C2" s="1859"/>
      <c r="D2" s="1859"/>
      <c r="E2" s="1859"/>
      <c r="F2" s="1859"/>
      <c r="G2" s="1859"/>
      <c r="H2" s="1859"/>
      <c r="I2" s="1859"/>
      <c r="K2" s="1863" t="s">
        <v>1829</v>
      </c>
      <c r="L2" s="1863"/>
      <c r="M2" s="1863"/>
      <c r="N2" s="1863"/>
      <c r="O2" s="1863"/>
      <c r="P2" s="1863"/>
      <c r="Q2" s="1863"/>
    </row>
    <row r="3" spans="1:17" s="81" customFormat="1" ht="13.2" customHeight="1">
      <c r="A3" s="1859" t="s">
        <v>1586</v>
      </c>
      <c r="B3" s="1859"/>
      <c r="C3" s="1859"/>
      <c r="D3" s="1859"/>
      <c r="E3" s="1859"/>
      <c r="F3" s="1859"/>
      <c r="G3" s="1859"/>
      <c r="H3" s="1859"/>
      <c r="I3" s="1859"/>
      <c r="J3" s="43"/>
      <c r="K3" s="1863"/>
      <c r="L3" s="1863"/>
      <c r="M3" s="1863"/>
      <c r="N3" s="1863"/>
      <c r="O3" s="1863"/>
      <c r="P3" s="1863"/>
      <c r="Q3" s="1863"/>
    </row>
    <row r="4" spans="1:17">
      <c r="A4" s="1858" t="s">
        <v>446</v>
      </c>
      <c r="B4" s="1858"/>
      <c r="C4" s="1858"/>
      <c r="D4" s="1858"/>
      <c r="E4" s="1858"/>
      <c r="F4" s="1858"/>
      <c r="G4" s="1858"/>
      <c r="H4" s="1858"/>
      <c r="I4" s="1858"/>
    </row>
    <row r="5" spans="1:17">
      <c r="A5" s="1653"/>
      <c r="B5" s="1653"/>
      <c r="C5" s="1653"/>
      <c r="D5" s="1653"/>
      <c r="E5" s="1653"/>
      <c r="F5" s="1653"/>
      <c r="G5" s="1653"/>
      <c r="H5" s="1653"/>
      <c r="I5" s="1653"/>
    </row>
    <row r="6" spans="1:17" s="81" customFormat="1">
      <c r="A6" s="509" t="s">
        <v>342</v>
      </c>
      <c r="B6" s="1831" t="s">
        <v>72</v>
      </c>
      <c r="C6" s="1831" t="s">
        <v>119</v>
      </c>
      <c r="D6" s="621" t="s">
        <v>60</v>
      </c>
      <c r="E6" s="1831" t="s">
        <v>73</v>
      </c>
      <c r="F6" s="622" t="s">
        <v>71</v>
      </c>
      <c r="G6" s="1831" t="s">
        <v>161</v>
      </c>
      <c r="H6" s="1831" t="s">
        <v>74</v>
      </c>
      <c r="I6" s="623" t="s">
        <v>174</v>
      </c>
      <c r="J6" s="44"/>
      <c r="K6" s="44"/>
    </row>
    <row r="7" spans="1:17" s="81" customFormat="1">
      <c r="A7" s="509"/>
      <c r="B7" s="1831"/>
      <c r="C7" s="1831"/>
      <c r="D7" s="621"/>
      <c r="E7" s="1831"/>
      <c r="F7" s="622"/>
      <c r="G7" s="1831"/>
      <c r="H7" s="1831"/>
      <c r="I7" s="623"/>
      <c r="J7" s="44"/>
      <c r="K7" s="44"/>
    </row>
    <row r="8" spans="1:17">
      <c r="A8" s="66"/>
      <c r="B8" s="1091" t="s">
        <v>641</v>
      </c>
      <c r="C8" s="1823"/>
      <c r="D8" s="1823"/>
      <c r="E8" s="1823"/>
      <c r="F8" s="1823"/>
      <c r="G8" s="1829"/>
      <c r="H8" s="1823"/>
      <c r="I8" s="1823"/>
    </row>
    <row r="9" spans="1:17" ht="15">
      <c r="A9" s="934">
        <v>1</v>
      </c>
      <c r="B9" s="184" t="s">
        <v>1122</v>
      </c>
      <c r="C9" s="1823"/>
      <c r="D9" s="1823"/>
      <c r="E9" s="1823"/>
      <c r="F9" s="1823"/>
      <c r="G9" s="1826" t="s">
        <v>153</v>
      </c>
      <c r="H9" s="1865" t="s">
        <v>145</v>
      </c>
      <c r="I9" s="1865"/>
    </row>
    <row r="10" spans="1:17" s="281" customFormat="1" ht="15">
      <c r="A10" s="934">
        <f>+A9+1</f>
        <v>2</v>
      </c>
      <c r="B10" s="966" t="s">
        <v>32</v>
      </c>
      <c r="C10" s="1823"/>
      <c r="D10" s="1823"/>
      <c r="E10" s="1823"/>
      <c r="F10" s="1823"/>
      <c r="G10" s="221">
        <v>6696721.1099999994</v>
      </c>
      <c r="H10" s="1829" t="s">
        <v>1134</v>
      </c>
      <c r="I10" s="1825"/>
      <c r="J10" s="44"/>
      <c r="K10" s="44"/>
    </row>
    <row r="11" spans="1:17" s="281" customFormat="1" ht="15">
      <c r="A11" s="934">
        <f t="shared" ref="A11:A33" si="0">+A10+1</f>
        <v>3</v>
      </c>
      <c r="B11" s="966" t="s">
        <v>33</v>
      </c>
      <c r="C11" s="1823"/>
      <c r="D11" s="1823"/>
      <c r="E11" s="1823"/>
      <c r="F11" s="1823"/>
      <c r="G11" s="221">
        <v>5261315.08</v>
      </c>
      <c r="H11" s="1829" t="s">
        <v>1134</v>
      </c>
      <c r="I11" s="1825"/>
      <c r="J11" s="44"/>
      <c r="K11" s="44"/>
    </row>
    <row r="12" spans="1:17" s="281" customFormat="1" ht="15">
      <c r="A12" s="934">
        <f t="shared" si="0"/>
        <v>4</v>
      </c>
      <c r="B12" s="966" t="s">
        <v>34</v>
      </c>
      <c r="C12" s="1823"/>
      <c r="D12" s="1823"/>
      <c r="E12" s="1823"/>
      <c r="F12" s="1823"/>
      <c r="G12" s="221">
        <v>5606468.9900000002</v>
      </c>
      <c r="H12" s="1825"/>
      <c r="I12" s="1825"/>
      <c r="J12" s="44"/>
      <c r="K12" s="44"/>
    </row>
    <row r="13" spans="1:17" s="281" customFormat="1" ht="15">
      <c r="A13" s="934">
        <f t="shared" si="0"/>
        <v>5</v>
      </c>
      <c r="B13" s="966" t="s">
        <v>35</v>
      </c>
      <c r="C13" s="1823"/>
      <c r="D13" s="1823"/>
      <c r="E13" s="1823"/>
      <c r="F13" s="1823"/>
      <c r="G13" s="221">
        <v>4021502.57</v>
      </c>
      <c r="H13" s="1825"/>
      <c r="I13" s="1825"/>
      <c r="J13" s="44"/>
      <c r="K13" s="44"/>
    </row>
    <row r="14" spans="1:17" s="281" customFormat="1" ht="15">
      <c r="A14" s="934">
        <f t="shared" si="0"/>
        <v>6</v>
      </c>
      <c r="B14" s="966" t="s">
        <v>31</v>
      </c>
      <c r="C14" s="1823"/>
      <c r="D14" s="1823"/>
      <c r="E14" s="1823"/>
      <c r="F14" s="1823"/>
      <c r="G14" s="221">
        <v>5492218.1600000001</v>
      </c>
      <c r="H14" s="1825"/>
      <c r="I14" s="1825"/>
      <c r="J14" s="44"/>
      <c r="K14" s="44"/>
    </row>
    <row r="15" spans="1:17" s="281" customFormat="1" ht="15">
      <c r="A15" s="934">
        <f t="shared" si="0"/>
        <v>7</v>
      </c>
      <c r="B15" s="966" t="s">
        <v>36</v>
      </c>
      <c r="C15" s="1823"/>
      <c r="D15" s="1823"/>
      <c r="E15" s="1823"/>
      <c r="F15" s="1823"/>
      <c r="G15" s="221">
        <v>7589606.6799999997</v>
      </c>
      <c r="H15" s="1825"/>
      <c r="I15" s="1825"/>
      <c r="J15" s="44"/>
      <c r="K15" s="44"/>
    </row>
    <row r="16" spans="1:17" s="281" customFormat="1" ht="15">
      <c r="A16" s="934">
        <f t="shared" si="0"/>
        <v>8</v>
      </c>
      <c r="B16" s="966" t="s">
        <v>37</v>
      </c>
      <c r="C16" s="1823"/>
      <c r="D16" s="1823"/>
      <c r="E16" s="1823"/>
      <c r="F16" s="1823"/>
      <c r="G16" s="221">
        <v>8311976.25</v>
      </c>
      <c r="H16" s="1825"/>
      <c r="I16" s="1825"/>
      <c r="J16" s="44"/>
      <c r="K16" s="44"/>
    </row>
    <row r="17" spans="1:11" s="281" customFormat="1" ht="15">
      <c r="A17" s="934">
        <f t="shared" si="0"/>
        <v>9</v>
      </c>
      <c r="B17" s="966" t="s">
        <v>38</v>
      </c>
      <c r="C17" s="1823"/>
      <c r="D17" s="1823"/>
      <c r="E17" s="1823"/>
      <c r="F17" s="1823"/>
      <c r="G17" s="221">
        <v>7631481.1799999997</v>
      </c>
      <c r="H17" s="1825"/>
      <c r="I17" s="1825"/>
      <c r="J17" s="44"/>
      <c r="K17" s="44"/>
    </row>
    <row r="18" spans="1:11" s="281" customFormat="1" ht="15">
      <c r="A18" s="934">
        <f t="shared" si="0"/>
        <v>10</v>
      </c>
      <c r="B18" s="966" t="s">
        <v>39</v>
      </c>
      <c r="C18" s="1823"/>
      <c r="D18" s="1823"/>
      <c r="E18" s="1823"/>
      <c r="F18" s="1823"/>
      <c r="G18" s="221">
        <v>7622472.2000000002</v>
      </c>
      <c r="H18" s="1825"/>
      <c r="I18" s="1825"/>
      <c r="J18" s="44"/>
      <c r="K18" s="44"/>
    </row>
    <row r="19" spans="1:11" s="281" customFormat="1" ht="15">
      <c r="A19" s="934">
        <f t="shared" si="0"/>
        <v>11</v>
      </c>
      <c r="B19" s="966" t="s">
        <v>40</v>
      </c>
      <c r="C19" s="1823"/>
      <c r="D19" s="1823"/>
      <c r="E19" s="1823"/>
      <c r="F19" s="1823"/>
      <c r="G19" s="221">
        <v>5457251.3300000001</v>
      </c>
      <c r="H19" s="1825"/>
      <c r="I19" s="1825"/>
      <c r="J19" s="44"/>
      <c r="K19" s="44"/>
    </row>
    <row r="20" spans="1:11" s="281" customFormat="1" ht="15">
      <c r="A20" s="934">
        <f t="shared" si="0"/>
        <v>12</v>
      </c>
      <c r="B20" s="966" t="s">
        <v>41</v>
      </c>
      <c r="C20" s="1823"/>
      <c r="D20" s="1823"/>
      <c r="E20" s="1823"/>
      <c r="F20" s="1823"/>
      <c r="G20" s="221">
        <v>5512381.5700000003</v>
      </c>
      <c r="H20" s="1825"/>
      <c r="I20" s="1825"/>
      <c r="J20" s="44"/>
      <c r="K20" s="44"/>
    </row>
    <row r="21" spans="1:11" s="281" customFormat="1" ht="15">
      <c r="A21" s="934">
        <f t="shared" si="0"/>
        <v>13</v>
      </c>
      <c r="B21" s="966" t="s">
        <v>42</v>
      </c>
      <c r="C21" s="1823"/>
      <c r="D21" s="1823"/>
      <c r="E21" s="1823"/>
      <c r="F21" s="1823"/>
      <c r="G21" s="743">
        <v>6873222.0700000003</v>
      </c>
      <c r="H21" s="1825"/>
      <c r="I21" s="1825"/>
      <c r="J21" s="44"/>
      <c r="K21" s="44"/>
    </row>
    <row r="22" spans="1:11" s="281" customFormat="1">
      <c r="A22" s="934">
        <f t="shared" si="0"/>
        <v>14</v>
      </c>
      <c r="B22" s="184" t="s">
        <v>1123</v>
      </c>
      <c r="D22" s="184"/>
      <c r="E22" s="184"/>
      <c r="G22" s="156">
        <f>SUM(G10:G21)</f>
        <v>76076617.189999998</v>
      </c>
      <c r="H22" s="184" t="str">
        <f>+"Sum (Line "&amp;A10&amp;" to "&amp;A21&amp;")"</f>
        <v>Sum (Line 2 to 13)</v>
      </c>
      <c r="J22" s="44"/>
      <c r="K22" s="44"/>
    </row>
    <row r="23" spans="1:11" s="281" customFormat="1">
      <c r="A23" s="934">
        <f t="shared" si="0"/>
        <v>15</v>
      </c>
      <c r="B23" s="184" t="s">
        <v>579</v>
      </c>
      <c r="D23" s="184"/>
      <c r="E23" s="184"/>
      <c r="G23" s="282">
        <v>66359379.576792717</v>
      </c>
      <c r="H23" s="184" t="s">
        <v>1874</v>
      </c>
      <c r="J23" s="44"/>
      <c r="K23" s="44"/>
    </row>
    <row r="24" spans="1:11" s="281" customFormat="1">
      <c r="A24" s="934">
        <f t="shared" si="0"/>
        <v>16</v>
      </c>
      <c r="B24" s="1863" t="s">
        <v>1146</v>
      </c>
      <c r="C24" s="1863"/>
      <c r="D24" s="1863"/>
      <c r="E24" s="1863"/>
      <c r="F24" s="1863"/>
      <c r="G24" s="277">
        <v>0</v>
      </c>
      <c r="I24" s="1823"/>
      <c r="J24" s="44"/>
      <c r="K24" s="1828" t="s">
        <v>1712</v>
      </c>
    </row>
    <row r="25" spans="1:11" s="281" customFormat="1">
      <c r="A25" s="934">
        <f t="shared" si="0"/>
        <v>17</v>
      </c>
      <c r="B25" s="281" t="s">
        <v>1145</v>
      </c>
      <c r="D25" s="186"/>
      <c r="E25" s="186"/>
      <c r="F25" s="43"/>
      <c r="G25" s="80">
        <f>+G22+G23-G24</f>
        <v>142435996.76679271</v>
      </c>
      <c r="H25" s="1828" t="str">
        <f>+"Sum (Line "&amp;A22&amp;" + "&amp;A23&amp;" - "&amp;A24&amp;")"</f>
        <v>Sum (Line 14 + 15 - 16)</v>
      </c>
      <c r="I25" s="1823"/>
      <c r="J25" s="44"/>
      <c r="K25" s="44"/>
    </row>
    <row r="26" spans="1:11" s="281" customFormat="1">
      <c r="A26" s="934">
        <f t="shared" si="0"/>
        <v>18</v>
      </c>
      <c r="B26" s="1090"/>
      <c r="C26" s="1823"/>
      <c r="D26" s="186"/>
      <c r="E26" s="184"/>
      <c r="F26" s="43"/>
      <c r="G26" s="1823"/>
      <c r="H26" s="1823"/>
      <c r="I26" s="1823"/>
      <c r="J26" s="1697"/>
      <c r="K26" s="1827"/>
    </row>
    <row r="27" spans="1:11" s="281" customFormat="1" ht="13.2" customHeight="1">
      <c r="A27" s="934">
        <f>+A26+1</f>
        <v>19</v>
      </c>
      <c r="B27" s="43" t="s">
        <v>1147</v>
      </c>
      <c r="D27" s="43"/>
      <c r="E27" s="1608"/>
      <c r="F27" s="43"/>
      <c r="G27" s="1970">
        <v>175932763.37048453</v>
      </c>
      <c r="H27" s="1828" t="s">
        <v>1828</v>
      </c>
      <c r="I27" s="1699"/>
      <c r="J27" s="44"/>
      <c r="K27" s="44" t="s">
        <v>1707</v>
      </c>
    </row>
    <row r="28" spans="1:11" s="281" customFormat="1" ht="15">
      <c r="A28" s="934">
        <f t="shared" si="0"/>
        <v>20</v>
      </c>
      <c r="B28" s="43"/>
      <c r="D28" s="1823"/>
      <c r="E28" s="1823"/>
      <c r="F28" s="1823"/>
      <c r="G28" s="510"/>
      <c r="H28" s="1608" t="s">
        <v>1831</v>
      </c>
      <c r="I28" s="1823"/>
      <c r="J28" s="44"/>
      <c r="K28" s="44"/>
    </row>
    <row r="29" spans="1:11" s="281" customFormat="1">
      <c r="A29" s="934">
        <f t="shared" si="0"/>
        <v>21</v>
      </c>
      <c r="B29" s="43" t="s">
        <v>957</v>
      </c>
      <c r="D29" s="43"/>
      <c r="E29" s="43"/>
      <c r="F29" s="43"/>
      <c r="G29" s="269">
        <f>+G27-G25</f>
        <v>33496766.603691816</v>
      </c>
      <c r="H29" s="1828" t="str">
        <f>+"Line "&amp;A27&amp;" - Line "&amp;A25</f>
        <v>Line 19 - Line 17</v>
      </c>
      <c r="I29" s="1823"/>
      <c r="J29" s="44"/>
      <c r="K29" s="44"/>
    </row>
    <row r="30" spans="1:11" s="281" customFormat="1">
      <c r="A30" s="1655">
        <f t="shared" si="0"/>
        <v>22</v>
      </c>
      <c r="B30" s="43"/>
      <c r="D30" s="43"/>
      <c r="E30" s="43"/>
      <c r="F30" s="43"/>
      <c r="G30" s="269"/>
      <c r="H30" s="1828"/>
      <c r="I30" s="1823"/>
      <c r="J30" s="44"/>
      <c r="K30" s="44"/>
    </row>
    <row r="31" spans="1:11" s="281" customFormat="1" ht="13.2" customHeight="1">
      <c r="A31" s="1655">
        <f t="shared" si="0"/>
        <v>23</v>
      </c>
      <c r="B31" s="43" t="s">
        <v>958</v>
      </c>
      <c r="D31" s="43"/>
      <c r="E31" s="43"/>
      <c r="F31" s="43"/>
      <c r="G31" s="277">
        <v>0</v>
      </c>
      <c r="H31" s="1828" t="s">
        <v>577</v>
      </c>
      <c r="I31" s="1823"/>
      <c r="J31" s="44"/>
      <c r="K31" s="44"/>
    </row>
    <row r="32" spans="1:11" s="281" customFormat="1">
      <c r="A32" s="1655">
        <f t="shared" si="0"/>
        <v>24</v>
      </c>
      <c r="B32" s="43"/>
      <c r="D32" s="43"/>
      <c r="E32" s="43"/>
      <c r="F32" s="43"/>
      <c r="G32" s="80"/>
      <c r="H32" s="1828"/>
      <c r="I32" s="1823"/>
      <c r="J32" s="44"/>
      <c r="K32" s="44"/>
    </row>
    <row r="33" spans="1:11" s="281" customFormat="1">
      <c r="A33" s="1655">
        <f t="shared" si="0"/>
        <v>25</v>
      </c>
      <c r="B33" s="1090" t="s">
        <v>1148</v>
      </c>
      <c r="C33" s="1823"/>
      <c r="D33" s="186"/>
      <c r="E33" s="184"/>
      <c r="F33" s="43"/>
      <c r="G33" s="43"/>
      <c r="H33" s="44"/>
      <c r="I33" s="1823"/>
      <c r="J33" s="44"/>
      <c r="K33" s="44"/>
    </row>
    <row r="34" spans="1:11" s="281" customFormat="1">
      <c r="A34" s="1655"/>
      <c r="B34" s="1090"/>
      <c r="C34" s="1823"/>
      <c r="D34" s="1971" t="s">
        <v>1662</v>
      </c>
      <c r="E34" s="184"/>
      <c r="F34" s="43"/>
      <c r="G34" s="43"/>
      <c r="H34" s="44"/>
      <c r="I34" s="1823"/>
      <c r="J34" s="44"/>
      <c r="K34" s="44"/>
    </row>
    <row r="35" spans="1:11" s="281" customFormat="1" ht="54" customHeight="1">
      <c r="A35" s="1655"/>
      <c r="B35" s="1202" t="s">
        <v>447</v>
      </c>
      <c r="C35" s="648" t="s">
        <v>448</v>
      </c>
      <c r="D35" s="648" t="s">
        <v>294</v>
      </c>
      <c r="E35" s="648" t="s">
        <v>983</v>
      </c>
      <c r="F35" s="648" t="s">
        <v>893</v>
      </c>
      <c r="G35" s="648" t="s">
        <v>476</v>
      </c>
      <c r="H35" s="648" t="s">
        <v>449</v>
      </c>
      <c r="I35" s="648" t="s">
        <v>450</v>
      </c>
      <c r="J35" s="44"/>
      <c r="K35" s="44"/>
    </row>
    <row r="36" spans="1:11" s="281" customFormat="1" ht="15" customHeight="1">
      <c r="A36" s="1655">
        <f>+A33+1</f>
        <v>26</v>
      </c>
      <c r="B36" s="1684" t="s">
        <v>72</v>
      </c>
      <c r="C36" s="602" t="s">
        <v>119</v>
      </c>
      <c r="D36" s="602" t="s">
        <v>876</v>
      </c>
      <c r="E36" s="602" t="s">
        <v>877</v>
      </c>
      <c r="F36" s="602" t="s">
        <v>878</v>
      </c>
      <c r="G36" s="1551" t="s">
        <v>1152</v>
      </c>
      <c r="H36" s="1551" t="s">
        <v>1153</v>
      </c>
      <c r="I36" s="602" t="s">
        <v>174</v>
      </c>
      <c r="J36" s="44"/>
      <c r="K36" s="44"/>
    </row>
    <row r="37" spans="1:11" s="281" customFormat="1">
      <c r="A37" s="932">
        <f>+A36+0.01</f>
        <v>26.01</v>
      </c>
      <c r="B37" s="43"/>
      <c r="C37" s="1695">
        <v>42005</v>
      </c>
      <c r="D37" s="1696">
        <v>0</v>
      </c>
      <c r="E37" s="512">
        <v>0</v>
      </c>
      <c r="F37" s="904">
        <f t="shared" ref="F37:F64" si="1">H37*E37</f>
        <v>0</v>
      </c>
      <c r="G37" s="1689">
        <f>+G$29/12+G31</f>
        <v>2791397.216974318</v>
      </c>
      <c r="H37" s="1700">
        <f>IF((B37=1),G37,G37)</f>
        <v>2791397.216974318</v>
      </c>
      <c r="I37" s="904">
        <f>F37+G37</f>
        <v>2791397.216974318</v>
      </c>
      <c r="J37" s="44"/>
      <c r="K37" s="44"/>
    </row>
    <row r="38" spans="1:11" s="281" customFormat="1">
      <c r="A38" s="932">
        <f t="shared" ref="A38:A65" si="2">+A37+0.01</f>
        <v>26.020000000000003</v>
      </c>
      <c r="B38" s="43"/>
      <c r="C38" s="1695">
        <v>42036</v>
      </c>
      <c r="D38" s="1696">
        <v>0</v>
      </c>
      <c r="E38" s="512">
        <v>0</v>
      </c>
      <c r="F38" s="904">
        <f t="shared" si="1"/>
        <v>0</v>
      </c>
      <c r="G38" s="1689">
        <f t="shared" ref="G38:G48" si="3">+G$29/12</f>
        <v>2791397.216974318</v>
      </c>
      <c r="H38" s="1700">
        <f t="shared" ref="H38:H64" si="4">IF((B38=1),I37+G38,+H37+G38)</f>
        <v>5582794.4339486361</v>
      </c>
      <c r="I38" s="904">
        <f>I37+F38+G38</f>
        <v>5582794.4339486361</v>
      </c>
      <c r="J38" s="44"/>
    </row>
    <row r="39" spans="1:11" s="281" customFormat="1">
      <c r="A39" s="932">
        <f t="shared" si="2"/>
        <v>26.030000000000005</v>
      </c>
      <c r="B39" s="43"/>
      <c r="C39" s="1695">
        <v>42064</v>
      </c>
      <c r="D39" s="1696">
        <v>0</v>
      </c>
      <c r="E39" s="512">
        <v>0</v>
      </c>
      <c r="F39" s="904">
        <f t="shared" si="1"/>
        <v>0</v>
      </c>
      <c r="G39" s="1689">
        <f t="shared" si="3"/>
        <v>2791397.216974318</v>
      </c>
      <c r="H39" s="1700">
        <f t="shared" si="4"/>
        <v>8374191.6509229541</v>
      </c>
      <c r="I39" s="904">
        <f t="shared" ref="I39:I65" si="5">I38+F39+G39</f>
        <v>8374191.6509229541</v>
      </c>
      <c r="J39" s="44"/>
    </row>
    <row r="40" spans="1:11" s="281" customFormat="1">
      <c r="A40" s="932">
        <f t="shared" si="2"/>
        <v>26.040000000000006</v>
      </c>
      <c r="B40" s="43">
        <v>1</v>
      </c>
      <c r="C40" s="1695">
        <v>42095</v>
      </c>
      <c r="D40" s="1696">
        <v>0</v>
      </c>
      <c r="E40" s="512">
        <v>0</v>
      </c>
      <c r="F40" s="904">
        <f t="shared" si="1"/>
        <v>0</v>
      </c>
      <c r="G40" s="1689">
        <f t="shared" si="3"/>
        <v>2791397.216974318</v>
      </c>
      <c r="H40" s="1700">
        <f t="shared" si="4"/>
        <v>11165588.867897272</v>
      </c>
      <c r="I40" s="904">
        <f t="shared" si="5"/>
        <v>11165588.867897272</v>
      </c>
      <c r="J40" s="44"/>
    </row>
    <row r="41" spans="1:11" s="281" customFormat="1">
      <c r="A41" s="932">
        <f t="shared" si="2"/>
        <v>26.050000000000008</v>
      </c>
      <c r="B41" s="43"/>
      <c r="C41" s="1695">
        <v>42125</v>
      </c>
      <c r="D41" s="1696">
        <v>0</v>
      </c>
      <c r="E41" s="512">
        <v>0</v>
      </c>
      <c r="F41" s="904">
        <f t="shared" si="1"/>
        <v>0</v>
      </c>
      <c r="G41" s="1689">
        <f t="shared" si="3"/>
        <v>2791397.216974318</v>
      </c>
      <c r="H41" s="1700">
        <f t="shared" si="4"/>
        <v>13956986.08487159</v>
      </c>
      <c r="I41" s="904">
        <f t="shared" si="5"/>
        <v>13956986.08487159</v>
      </c>
      <c r="J41" s="44"/>
      <c r="K41" s="269"/>
    </row>
    <row r="42" spans="1:11" s="281" customFormat="1">
      <c r="A42" s="932">
        <f t="shared" si="2"/>
        <v>26.060000000000009</v>
      </c>
      <c r="B42" s="43"/>
      <c r="C42" s="1695">
        <v>42156</v>
      </c>
      <c r="D42" s="1696">
        <v>0</v>
      </c>
      <c r="E42" s="512">
        <v>0</v>
      </c>
      <c r="F42" s="904">
        <f t="shared" si="1"/>
        <v>0</v>
      </c>
      <c r="G42" s="1689">
        <f t="shared" si="3"/>
        <v>2791397.216974318</v>
      </c>
      <c r="H42" s="1700">
        <f t="shared" si="4"/>
        <v>16748383.301845908</v>
      </c>
      <c r="I42" s="904">
        <f t="shared" si="5"/>
        <v>16748383.301845908</v>
      </c>
      <c r="J42" s="44"/>
      <c r="K42" s="269"/>
    </row>
    <row r="43" spans="1:11" s="281" customFormat="1">
      <c r="A43" s="932">
        <f t="shared" si="2"/>
        <v>26.070000000000011</v>
      </c>
      <c r="B43" s="43">
        <v>1</v>
      </c>
      <c r="C43" s="1695">
        <v>42186</v>
      </c>
      <c r="D43" s="1696">
        <v>0</v>
      </c>
      <c r="E43" s="512">
        <v>0</v>
      </c>
      <c r="F43" s="904">
        <f t="shared" si="1"/>
        <v>0</v>
      </c>
      <c r="G43" s="1689">
        <f t="shared" si="3"/>
        <v>2791397.216974318</v>
      </c>
      <c r="H43" s="1700">
        <f t="shared" si="4"/>
        <v>19539780.518820226</v>
      </c>
      <c r="I43" s="904">
        <f t="shared" si="5"/>
        <v>19539780.518820226</v>
      </c>
      <c r="J43" s="44"/>
      <c r="K43" s="269"/>
    </row>
    <row r="44" spans="1:11" s="281" customFormat="1">
      <c r="A44" s="932">
        <f t="shared" si="2"/>
        <v>26.080000000000013</v>
      </c>
      <c r="B44" s="43"/>
      <c r="C44" s="1695">
        <v>42217</v>
      </c>
      <c r="D44" s="1696">
        <v>0</v>
      </c>
      <c r="E44" s="512">
        <v>0</v>
      </c>
      <c r="F44" s="904">
        <f t="shared" si="1"/>
        <v>0</v>
      </c>
      <c r="G44" s="1689">
        <f t="shared" si="3"/>
        <v>2791397.216974318</v>
      </c>
      <c r="H44" s="1700">
        <f t="shared" si="4"/>
        <v>22331177.735794544</v>
      </c>
      <c r="I44" s="904">
        <f t="shared" si="5"/>
        <v>22331177.735794544</v>
      </c>
      <c r="J44" s="44"/>
      <c r="K44" s="269"/>
    </row>
    <row r="45" spans="1:11" s="281" customFormat="1">
      <c r="A45" s="932">
        <f t="shared" si="2"/>
        <v>26.090000000000014</v>
      </c>
      <c r="B45" s="43"/>
      <c r="C45" s="1695">
        <v>42248</v>
      </c>
      <c r="D45" s="1696">
        <v>0</v>
      </c>
      <c r="E45" s="512">
        <v>0</v>
      </c>
      <c r="F45" s="904">
        <f t="shared" si="1"/>
        <v>0</v>
      </c>
      <c r="G45" s="1689">
        <f t="shared" si="3"/>
        <v>2791397.216974318</v>
      </c>
      <c r="H45" s="1700">
        <f t="shared" si="4"/>
        <v>25122574.952768862</v>
      </c>
      <c r="I45" s="904">
        <f t="shared" si="5"/>
        <v>25122574.952768862</v>
      </c>
      <c r="J45" s="44"/>
      <c r="K45" s="269"/>
    </row>
    <row r="46" spans="1:11" s="281" customFormat="1">
      <c r="A46" s="932">
        <f t="shared" si="2"/>
        <v>26.100000000000016</v>
      </c>
      <c r="B46" s="43">
        <v>1</v>
      </c>
      <c r="C46" s="1695">
        <v>42278</v>
      </c>
      <c r="D46" s="1696">
        <v>0</v>
      </c>
      <c r="E46" s="512">
        <v>0</v>
      </c>
      <c r="F46" s="904">
        <f t="shared" si="1"/>
        <v>0</v>
      </c>
      <c r="G46" s="1689">
        <f t="shared" si="3"/>
        <v>2791397.216974318</v>
      </c>
      <c r="H46" s="1700">
        <f t="shared" si="4"/>
        <v>27913972.16974318</v>
      </c>
      <c r="I46" s="904">
        <f t="shared" si="5"/>
        <v>27913972.16974318</v>
      </c>
      <c r="J46" s="44"/>
      <c r="K46" s="269"/>
    </row>
    <row r="47" spans="1:11" s="281" customFormat="1">
      <c r="A47" s="932">
        <f t="shared" si="2"/>
        <v>26.110000000000017</v>
      </c>
      <c r="B47" s="43"/>
      <c r="C47" s="1695">
        <v>42309</v>
      </c>
      <c r="D47" s="1696">
        <v>3.2500000000000001E-2</v>
      </c>
      <c r="E47" s="512">
        <f>+D47/12</f>
        <v>2.7083333333333334E-3</v>
      </c>
      <c r="F47" s="904">
        <f t="shared" si="1"/>
        <v>83160.375422359895</v>
      </c>
      <c r="G47" s="1689">
        <f t="shared" si="3"/>
        <v>2791397.216974318</v>
      </c>
      <c r="H47" s="1700">
        <f t="shared" si="4"/>
        <v>30705369.386717498</v>
      </c>
      <c r="I47" s="904">
        <f t="shared" si="5"/>
        <v>30788529.762139857</v>
      </c>
      <c r="J47" s="44"/>
      <c r="K47" s="269"/>
    </row>
    <row r="48" spans="1:11" s="281" customFormat="1">
      <c r="A48" s="932">
        <f t="shared" si="2"/>
        <v>26.120000000000019</v>
      </c>
      <c r="B48" s="43"/>
      <c r="C48" s="1695">
        <v>42339</v>
      </c>
      <c r="D48" s="1696">
        <v>3.2500000000000001E-2</v>
      </c>
      <c r="E48" s="512">
        <f t="shared" ref="E48:E65" si="6">+D48/12</f>
        <v>2.7083333333333334E-3</v>
      </c>
      <c r="F48" s="904">
        <f t="shared" si="1"/>
        <v>90720.409551665332</v>
      </c>
      <c r="G48" s="1689">
        <f t="shared" si="3"/>
        <v>2791397.216974318</v>
      </c>
      <c r="H48" s="1700">
        <f t="shared" si="4"/>
        <v>33496766.603691816</v>
      </c>
      <c r="I48" s="904">
        <f t="shared" si="5"/>
        <v>33670647.38866584</v>
      </c>
      <c r="J48" s="44"/>
      <c r="K48" s="269"/>
    </row>
    <row r="49" spans="1:11" s="281" customFormat="1" ht="15">
      <c r="A49" s="932">
        <f t="shared" si="2"/>
        <v>26.13000000000002</v>
      </c>
      <c r="B49" s="43">
        <v>1</v>
      </c>
      <c r="C49" s="1695">
        <v>42370</v>
      </c>
      <c r="D49" s="1696">
        <v>3.2500000000000001E-2</v>
      </c>
      <c r="E49" s="512">
        <f t="shared" si="6"/>
        <v>2.7083333333333334E-3</v>
      </c>
      <c r="F49" s="904">
        <f t="shared" si="1"/>
        <v>91191.33667763666</v>
      </c>
      <c r="G49" s="1689"/>
      <c r="H49" s="1700">
        <f t="shared" si="4"/>
        <v>33670647.38866584</v>
      </c>
      <c r="I49" s="904">
        <f t="shared" si="5"/>
        <v>33761838.725343473</v>
      </c>
      <c r="J49" s="44"/>
      <c r="K49" s="1982"/>
    </row>
    <row r="50" spans="1:11" s="281" customFormat="1">
      <c r="A50" s="932">
        <f t="shared" si="2"/>
        <v>26.140000000000022</v>
      </c>
      <c r="B50" s="86"/>
      <c r="C50" s="1695">
        <v>42401</v>
      </c>
      <c r="D50" s="1696">
        <v>3.2500000000000001E-2</v>
      </c>
      <c r="E50" s="512">
        <f t="shared" si="6"/>
        <v>2.7083333333333334E-3</v>
      </c>
      <c r="F50" s="904">
        <f t="shared" si="1"/>
        <v>91191.33667763666</v>
      </c>
      <c r="G50" s="1689"/>
      <c r="H50" s="1700">
        <f t="shared" si="4"/>
        <v>33670647.38866584</v>
      </c>
      <c r="I50" s="904">
        <f t="shared" si="5"/>
        <v>33853030.062021106</v>
      </c>
      <c r="J50" s="44"/>
      <c r="K50" s="269"/>
    </row>
    <row r="51" spans="1:11" s="281" customFormat="1">
      <c r="A51" s="932">
        <f t="shared" si="2"/>
        <v>26.150000000000023</v>
      </c>
      <c r="B51" s="516"/>
      <c r="C51" s="1695">
        <v>42430</v>
      </c>
      <c r="D51" s="1696">
        <v>3.2500000000000001E-2</v>
      </c>
      <c r="E51" s="512">
        <f t="shared" si="6"/>
        <v>2.7083333333333334E-3</v>
      </c>
      <c r="F51" s="904">
        <f t="shared" si="1"/>
        <v>91191.33667763666</v>
      </c>
      <c r="G51" s="1689"/>
      <c r="H51" s="1700">
        <f t="shared" si="4"/>
        <v>33670647.38866584</v>
      </c>
      <c r="I51" s="904">
        <f t="shared" si="5"/>
        <v>33944221.39869874</v>
      </c>
      <c r="J51" s="44"/>
      <c r="K51" s="44"/>
    </row>
    <row r="52" spans="1:11" s="281" customFormat="1">
      <c r="A52" s="932">
        <f t="shared" si="2"/>
        <v>26.160000000000025</v>
      </c>
      <c r="B52" s="43">
        <v>1</v>
      </c>
      <c r="C52" s="1695">
        <v>42461</v>
      </c>
      <c r="D52" s="1696">
        <v>3.4599999999999999E-2</v>
      </c>
      <c r="E52" s="512">
        <f t="shared" si="6"/>
        <v>2.8833333333333332E-3</v>
      </c>
      <c r="F52" s="904">
        <f t="shared" si="1"/>
        <v>97872.505032914691</v>
      </c>
      <c r="G52" s="1689"/>
      <c r="H52" s="1700">
        <f t="shared" si="4"/>
        <v>33944221.39869874</v>
      </c>
      <c r="I52" s="904">
        <f t="shared" si="5"/>
        <v>34042093.903731652</v>
      </c>
      <c r="J52" s="44"/>
      <c r="K52" s="44"/>
    </row>
    <row r="53" spans="1:11" s="281" customFormat="1">
      <c r="A53" s="932">
        <f t="shared" si="2"/>
        <v>26.170000000000027</v>
      </c>
      <c r="B53" s="516"/>
      <c r="C53" s="1695">
        <v>42491</v>
      </c>
      <c r="D53" s="1696">
        <v>3.4599999999999999E-2</v>
      </c>
      <c r="E53" s="512">
        <f t="shared" si="6"/>
        <v>2.8833333333333332E-3</v>
      </c>
      <c r="F53" s="904">
        <f t="shared" si="1"/>
        <v>97872.505032914691</v>
      </c>
      <c r="G53" s="1689"/>
      <c r="H53" s="1700">
        <f t="shared" si="4"/>
        <v>33944221.39869874</v>
      </c>
      <c r="I53" s="904">
        <f t="shared" si="5"/>
        <v>34139966.408764564</v>
      </c>
      <c r="J53" s="44"/>
      <c r="K53" s="43"/>
    </row>
    <row r="54" spans="1:11" s="281" customFormat="1">
      <c r="A54" s="932">
        <f t="shared" si="2"/>
        <v>26.180000000000028</v>
      </c>
      <c r="B54" s="516"/>
      <c r="C54" s="1695">
        <v>42522</v>
      </c>
      <c r="D54" s="1696">
        <v>3.4599999999999999E-2</v>
      </c>
      <c r="E54" s="512">
        <f t="shared" si="6"/>
        <v>2.8833333333333332E-3</v>
      </c>
      <c r="F54" s="904">
        <f t="shared" si="1"/>
        <v>89538.014732313255</v>
      </c>
      <c r="G54" s="156">
        <v>-2890574.6707288227</v>
      </c>
      <c r="H54" s="216">
        <f>IF((B54=1),I53+G54,+H53+G54)</f>
        <v>31053646.727969918</v>
      </c>
      <c r="I54" s="1689">
        <f>I53+F54+G54</f>
        <v>31338929.752768058</v>
      </c>
      <c r="J54" s="44"/>
      <c r="K54" s="43"/>
    </row>
    <row r="55" spans="1:11" s="281" customFormat="1">
      <c r="A55" s="932">
        <f t="shared" si="2"/>
        <v>26.19000000000003</v>
      </c>
      <c r="B55" s="43">
        <v>1</v>
      </c>
      <c r="C55" s="1695">
        <v>42552</v>
      </c>
      <c r="D55" s="1696">
        <v>3.5000000000000003E-2</v>
      </c>
      <c r="E55" s="512">
        <f t="shared" si="6"/>
        <v>2.9166666666666668E-3</v>
      </c>
      <c r="F55" s="904">
        <f t="shared" si="1"/>
        <v>82974.368989281109</v>
      </c>
      <c r="G55" s="1689">
        <f>+G54</f>
        <v>-2890574.6707288227</v>
      </c>
      <c r="H55" s="216">
        <f t="shared" si="4"/>
        <v>28448355.082039237</v>
      </c>
      <c r="I55" s="1689">
        <f t="shared" si="5"/>
        <v>28531329.451028518</v>
      </c>
      <c r="J55" s="44"/>
      <c r="K55" s="43"/>
    </row>
    <row r="56" spans="1:11" s="281" customFormat="1">
      <c r="A56" s="932">
        <f t="shared" si="2"/>
        <v>26.200000000000031</v>
      </c>
      <c r="B56" s="44"/>
      <c r="C56" s="1695">
        <v>42583</v>
      </c>
      <c r="D56" s="1696">
        <v>3.5000000000000003E-2</v>
      </c>
      <c r="E56" s="512">
        <f t="shared" si="6"/>
        <v>2.9166666666666668E-3</v>
      </c>
      <c r="F56" s="904">
        <f t="shared" si="1"/>
        <v>74543.526199655389</v>
      </c>
      <c r="G56" s="1689">
        <f t="shared" ref="G56:G65" si="7">+G55</f>
        <v>-2890574.6707288227</v>
      </c>
      <c r="H56" s="216">
        <f t="shared" si="4"/>
        <v>25557780.411310416</v>
      </c>
      <c r="I56" s="1689">
        <f t="shared" si="5"/>
        <v>25715298.306499351</v>
      </c>
      <c r="J56" s="44"/>
      <c r="K56" s="43"/>
    </row>
    <row r="57" spans="1:11" s="281" customFormat="1">
      <c r="A57" s="932">
        <f t="shared" si="2"/>
        <v>26.210000000000033</v>
      </c>
      <c r="B57" s="44"/>
      <c r="C57" s="1695">
        <v>42614</v>
      </c>
      <c r="D57" s="1696">
        <v>3.5000000000000003E-2</v>
      </c>
      <c r="E57" s="512">
        <f t="shared" si="6"/>
        <v>2.9166666666666668E-3</v>
      </c>
      <c r="F57" s="904">
        <f t="shared" si="1"/>
        <v>66112.683410029655</v>
      </c>
      <c r="G57" s="1689">
        <f t="shared" si="7"/>
        <v>-2890574.6707288227</v>
      </c>
      <c r="H57" s="216">
        <f t="shared" si="4"/>
        <v>22667205.740581594</v>
      </c>
      <c r="I57" s="1689">
        <f t="shared" si="5"/>
        <v>22890836.319180559</v>
      </c>
      <c r="J57" s="44"/>
      <c r="K57" s="43"/>
    </row>
    <row r="58" spans="1:11" s="281" customFormat="1">
      <c r="A58" s="932">
        <f t="shared" si="2"/>
        <v>26.220000000000034</v>
      </c>
      <c r="B58" s="43">
        <v>1</v>
      </c>
      <c r="C58" s="1695">
        <v>42644</v>
      </c>
      <c r="D58" s="1696">
        <v>3.5000000000000003E-2</v>
      </c>
      <c r="E58" s="512">
        <f t="shared" si="6"/>
        <v>2.9166666666666668E-3</v>
      </c>
      <c r="F58" s="904">
        <f t="shared" si="1"/>
        <v>58334.096474650905</v>
      </c>
      <c r="G58" s="1689">
        <f t="shared" si="7"/>
        <v>-2890574.6707288227</v>
      </c>
      <c r="H58" s="216">
        <f t="shared" si="4"/>
        <v>20000261.648451738</v>
      </c>
      <c r="I58" s="1689">
        <f t="shared" si="5"/>
        <v>20058595.744926389</v>
      </c>
      <c r="J58" s="44"/>
      <c r="K58" s="43" t="s">
        <v>451</v>
      </c>
    </row>
    <row r="59" spans="1:11" s="281" customFormat="1">
      <c r="A59" s="932">
        <f t="shared" si="2"/>
        <v>26.230000000000036</v>
      </c>
      <c r="B59" s="44"/>
      <c r="C59" s="1695">
        <v>42675</v>
      </c>
      <c r="D59" s="1696">
        <v>3.5000000000000003E-2</v>
      </c>
      <c r="E59" s="512">
        <f t="shared" si="6"/>
        <v>2.9166666666666668E-3</v>
      </c>
      <c r="F59" s="904">
        <f t="shared" si="1"/>
        <v>49903.253685025178</v>
      </c>
      <c r="G59" s="1689">
        <f t="shared" si="7"/>
        <v>-2890574.6707288227</v>
      </c>
      <c r="H59" s="216">
        <f t="shared" si="4"/>
        <v>17109686.977722917</v>
      </c>
      <c r="I59" s="1689">
        <f t="shared" si="5"/>
        <v>17217924.327882592</v>
      </c>
      <c r="J59" s="44"/>
      <c r="K59" s="43" t="s">
        <v>452</v>
      </c>
    </row>
    <row r="60" spans="1:11" s="281" customFormat="1">
      <c r="A60" s="932">
        <f t="shared" si="2"/>
        <v>26.240000000000038</v>
      </c>
      <c r="B60" s="44"/>
      <c r="C60" s="1695">
        <v>42705</v>
      </c>
      <c r="D60" s="1696">
        <v>3.5000000000000003E-2</v>
      </c>
      <c r="E60" s="512">
        <f t="shared" si="6"/>
        <v>2.9166666666666668E-3</v>
      </c>
      <c r="F60" s="904">
        <f t="shared" si="1"/>
        <v>41472.410895399444</v>
      </c>
      <c r="G60" s="1689">
        <f t="shared" si="7"/>
        <v>-2890574.6707288227</v>
      </c>
      <c r="H60" s="216">
        <f t="shared" si="4"/>
        <v>14219112.306994094</v>
      </c>
      <c r="I60" s="1689">
        <f t="shared" si="5"/>
        <v>14368822.068049168</v>
      </c>
      <c r="J60" s="44"/>
      <c r="K60" s="43"/>
    </row>
    <row r="61" spans="1:11" s="281" customFormat="1">
      <c r="A61" s="932">
        <f t="shared" si="2"/>
        <v>26.250000000000039</v>
      </c>
      <c r="B61" s="43">
        <v>1</v>
      </c>
      <c r="C61" s="1695">
        <v>42736</v>
      </c>
      <c r="D61" s="1696">
        <v>3.5000000000000003E-2</v>
      </c>
      <c r="E61" s="512">
        <f t="shared" si="6"/>
        <v>2.9166666666666668E-3</v>
      </c>
      <c r="F61" s="904">
        <f t="shared" si="1"/>
        <v>33478.221575517673</v>
      </c>
      <c r="G61" s="1689">
        <f t="shared" si="7"/>
        <v>-2890574.6707288227</v>
      </c>
      <c r="H61" s="216">
        <f t="shared" si="4"/>
        <v>11478247.397320345</v>
      </c>
      <c r="I61" s="1689">
        <f t="shared" si="5"/>
        <v>11511725.618895862</v>
      </c>
      <c r="J61" s="43"/>
      <c r="K61" s="43" t="s">
        <v>453</v>
      </c>
    </row>
    <row r="62" spans="1:11" s="281" customFormat="1">
      <c r="A62" s="932">
        <f t="shared" si="2"/>
        <v>26.260000000000041</v>
      </c>
      <c r="B62" s="86"/>
      <c r="C62" s="1695">
        <v>42767</v>
      </c>
      <c r="D62" s="1696">
        <v>3.5000000000000003E-2</v>
      </c>
      <c r="E62" s="512">
        <f t="shared" si="6"/>
        <v>2.9166666666666668E-3</v>
      </c>
      <c r="F62" s="904">
        <f t="shared" si="1"/>
        <v>25047.378785891939</v>
      </c>
      <c r="G62" s="1689">
        <f t="shared" si="7"/>
        <v>-2890574.6707288227</v>
      </c>
      <c r="H62" s="216">
        <f t="shared" si="4"/>
        <v>8587672.7265915219</v>
      </c>
      <c r="I62" s="1689">
        <f t="shared" si="5"/>
        <v>8646198.3269529305</v>
      </c>
      <c r="J62" s="43"/>
      <c r="K62" s="43"/>
    </row>
    <row r="63" spans="1:11" s="281" customFormat="1">
      <c r="A63" s="932">
        <f t="shared" si="2"/>
        <v>26.270000000000042</v>
      </c>
      <c r="B63" s="516"/>
      <c r="C63" s="1695">
        <v>42795</v>
      </c>
      <c r="D63" s="1696">
        <v>3.5000000000000003E-2</v>
      </c>
      <c r="E63" s="512">
        <f t="shared" si="6"/>
        <v>2.9166666666666668E-3</v>
      </c>
      <c r="F63" s="904">
        <f t="shared" si="1"/>
        <v>16616.535996266204</v>
      </c>
      <c r="G63" s="1689">
        <f t="shared" si="7"/>
        <v>-2890574.6707288227</v>
      </c>
      <c r="H63" s="216">
        <f t="shared" si="4"/>
        <v>5697098.0558626987</v>
      </c>
      <c r="I63" s="1689">
        <f t="shared" si="5"/>
        <v>5772240.1922203731</v>
      </c>
      <c r="J63" s="43"/>
      <c r="K63" s="43"/>
    </row>
    <row r="64" spans="1:11" s="281" customFormat="1">
      <c r="A64" s="932">
        <f t="shared" si="2"/>
        <v>26.280000000000044</v>
      </c>
      <c r="B64" s="43">
        <v>1</v>
      </c>
      <c r="C64" s="1695">
        <v>42826</v>
      </c>
      <c r="D64" s="1696">
        <v>3.7100000000000001E-2</v>
      </c>
      <c r="E64" s="512">
        <f t="shared" si="6"/>
        <v>3.0916666666666666E-3</v>
      </c>
      <c r="F64" s="904">
        <f t="shared" si="1"/>
        <v>8909.1492372780431</v>
      </c>
      <c r="G64" s="1689">
        <f t="shared" si="7"/>
        <v>-2890574.6707288227</v>
      </c>
      <c r="H64" s="216">
        <f t="shared" si="4"/>
        <v>2881665.5214915504</v>
      </c>
      <c r="I64" s="1689">
        <f t="shared" si="5"/>
        <v>2890574.6707288283</v>
      </c>
      <c r="J64" s="43"/>
      <c r="K64" s="43"/>
    </row>
    <row r="65" spans="1:13" s="281" customFormat="1" ht="15">
      <c r="A65" s="932">
        <f t="shared" si="2"/>
        <v>26.290000000000045</v>
      </c>
      <c r="B65" s="43"/>
      <c r="C65" s="1695">
        <v>42856</v>
      </c>
      <c r="D65" s="1696">
        <v>3.7100000000000001E-2</v>
      </c>
      <c r="E65" s="512">
        <f t="shared" si="6"/>
        <v>3.0916666666666666E-3</v>
      </c>
      <c r="F65" s="1701">
        <f>H65*E65</f>
        <v>0</v>
      </c>
      <c r="G65" s="1689">
        <f t="shared" si="7"/>
        <v>-2890574.6707288227</v>
      </c>
      <c r="H65" s="216"/>
      <c r="I65" s="564">
        <f t="shared" si="5"/>
        <v>5.5879354476928711E-9</v>
      </c>
      <c r="J65" s="43"/>
      <c r="K65" s="43"/>
    </row>
    <row r="66" spans="1:13" s="281" customFormat="1">
      <c r="A66" s="934">
        <f>+A36+1</f>
        <v>27</v>
      </c>
      <c r="B66" s="43" t="s">
        <v>865</v>
      </c>
      <c r="C66" s="511"/>
      <c r="D66" s="515"/>
      <c r="E66" s="1226"/>
      <c r="F66" s="904">
        <f>SUM(F37:F65)</f>
        <v>1190129.4450540736</v>
      </c>
      <c r="G66" s="971"/>
      <c r="H66" s="514" t="str">
        <f>+"Col. "&amp;F6&amp;" Sum of Line "&amp;A36&amp;" Subparts"</f>
        <v>Col. E Sum of Line 26 Subparts</v>
      </c>
      <c r="I66" s="972"/>
      <c r="J66" s="43"/>
      <c r="K66" s="43"/>
    </row>
    <row r="67" spans="1:13" s="281" customFormat="1" ht="13.8" thickBot="1">
      <c r="A67" s="1655">
        <f>A66+1</f>
        <v>28</v>
      </c>
      <c r="B67" s="1554" t="s">
        <v>1155</v>
      </c>
      <c r="C67" s="511"/>
      <c r="D67" s="515"/>
      <c r="E67" s="1226"/>
      <c r="F67" s="1553">
        <f>+G29+G31</f>
        <v>33496766.603691816</v>
      </c>
      <c r="G67" s="1967"/>
      <c r="H67" s="1968" t="str">
        <f>+"Col. "&amp;G6&amp;" Line "&amp;A29&amp;" + Line "&amp;A31</f>
        <v>Col. F Line 21 + Line 23</v>
      </c>
      <c r="I67" s="1968"/>
      <c r="J67" s="43"/>
      <c r="K67" s="43"/>
    </row>
    <row r="68" spans="1:13" s="281" customFormat="1" ht="13.8" thickBot="1">
      <c r="A68" s="1655">
        <f>A67+1</f>
        <v>29</v>
      </c>
      <c r="B68" s="43" t="s">
        <v>1154</v>
      </c>
      <c r="C68" s="511"/>
      <c r="D68" s="515"/>
      <c r="E68" s="1226"/>
      <c r="F68" s="1552">
        <f>SUM(F66:F67)</f>
        <v>34686896.048745893</v>
      </c>
      <c r="G68" s="514"/>
      <c r="H68" s="514" t="str">
        <f>+"Col. "&amp;F6&amp;" Line "&amp;A66&amp;" + "&amp;A67</f>
        <v>Col. E Line 27 + 28</v>
      </c>
      <c r="I68" s="514"/>
      <c r="J68" s="43"/>
      <c r="K68" s="43"/>
    </row>
    <row r="69" spans="1:13" s="281" customFormat="1" ht="13.8" thickBot="1">
      <c r="A69" s="44"/>
      <c r="B69" s="43"/>
      <c r="C69" s="43"/>
      <c r="D69" s="43"/>
      <c r="E69" s="43"/>
      <c r="F69" s="43"/>
      <c r="G69" s="1552">
        <f>-SUM(G54:G60)</f>
        <v>20234022.695101757</v>
      </c>
      <c r="H69" s="45" t="s">
        <v>1661</v>
      </c>
      <c r="I69" s="45"/>
      <c r="J69" s="43"/>
      <c r="K69" s="43"/>
    </row>
    <row r="70" spans="1:13" s="44" customFormat="1">
      <c r="B70" s="43"/>
      <c r="C70" s="511"/>
      <c r="D70" s="515"/>
      <c r="E70" s="1226"/>
      <c r="F70" s="513"/>
      <c r="G70" s="514"/>
      <c r="H70" s="1969"/>
      <c r="I70" s="514"/>
      <c r="J70" s="43"/>
      <c r="K70" s="43"/>
    </row>
    <row r="71" spans="1:13" s="281" customFormat="1">
      <c r="A71" s="44" t="s">
        <v>316</v>
      </c>
      <c r="B71" s="43"/>
      <c r="C71" s="511"/>
      <c r="D71" s="515"/>
      <c r="E71" s="1226"/>
      <c r="F71" s="513"/>
      <c r="G71" s="514"/>
      <c r="H71" s="517"/>
      <c r="I71" s="513"/>
      <c r="J71" s="44"/>
      <c r="K71" s="44"/>
    </row>
    <row r="72" spans="1:13" s="281" customFormat="1" ht="39.6" customHeight="1">
      <c r="A72" s="731">
        <v>1</v>
      </c>
      <c r="B72" s="1862" t="s">
        <v>1124</v>
      </c>
      <c r="C72" s="1862"/>
      <c r="D72" s="1862"/>
      <c r="E72" s="1862"/>
      <c r="F72" s="1862"/>
      <c r="G72" s="1862"/>
      <c r="H72" s="1862"/>
      <c r="I72" s="1862"/>
      <c r="J72" s="44"/>
      <c r="K72" s="44"/>
    </row>
    <row r="73" spans="1:13" s="281" customFormat="1" ht="27" customHeight="1">
      <c r="A73" s="933">
        <v>2</v>
      </c>
      <c r="B73" s="1857" t="s">
        <v>1149</v>
      </c>
      <c r="C73" s="1857"/>
      <c r="D73" s="1857"/>
      <c r="E73" s="1857"/>
      <c r="F73" s="1857"/>
      <c r="G73" s="1857"/>
      <c r="H73" s="1857"/>
      <c r="I73" s="1857"/>
      <c r="J73" s="44"/>
      <c r="K73" s="1824"/>
    </row>
    <row r="74" spans="1:13" s="281" customFormat="1" ht="27" customHeight="1">
      <c r="A74" s="731">
        <v>3</v>
      </c>
      <c r="B74" s="1857" t="s">
        <v>480</v>
      </c>
      <c r="C74" s="1857"/>
      <c r="D74" s="1857"/>
      <c r="E74" s="1857"/>
      <c r="F74" s="1857"/>
      <c r="G74" s="1857"/>
      <c r="H74" s="1857"/>
      <c r="I74" s="1857"/>
      <c r="J74" s="44"/>
      <c r="K74" s="44"/>
    </row>
    <row r="75" spans="1:13" s="281" customFormat="1" ht="66" customHeight="1">
      <c r="A75" s="731">
        <v>4</v>
      </c>
      <c r="B75" s="1857" t="s">
        <v>1159</v>
      </c>
      <c r="C75" s="1857"/>
      <c r="D75" s="1857"/>
      <c r="E75" s="1857"/>
      <c r="F75" s="1857"/>
      <c r="G75" s="1857"/>
      <c r="H75" s="1857"/>
      <c r="I75" s="1857"/>
      <c r="J75" s="44"/>
      <c r="K75" s="44"/>
    </row>
    <row r="76" spans="1:13" s="281" customFormat="1" ht="39" customHeight="1">
      <c r="A76" s="1652">
        <v>5</v>
      </c>
      <c r="B76" s="1857" t="s">
        <v>1156</v>
      </c>
      <c r="C76" s="1857"/>
      <c r="D76" s="1857"/>
      <c r="E76" s="1857"/>
      <c r="F76" s="1857"/>
      <c r="G76" s="1857"/>
      <c r="H76" s="1857"/>
      <c r="I76" s="1857"/>
      <c r="J76" s="44"/>
      <c r="K76" s="44"/>
    </row>
    <row r="77" spans="1:13" s="281" customFormat="1" ht="79.95" customHeight="1">
      <c r="A77" s="1652">
        <v>6</v>
      </c>
      <c r="B77" s="1857" t="s">
        <v>1157</v>
      </c>
      <c r="C77" s="1857"/>
      <c r="D77" s="1857"/>
      <c r="E77" s="1857"/>
      <c r="F77" s="1857"/>
      <c r="G77" s="1857"/>
      <c r="H77" s="1857"/>
      <c r="I77" s="1857"/>
      <c r="J77" s="44"/>
      <c r="K77" s="44"/>
    </row>
    <row r="78" spans="1:13" s="281" customFormat="1" ht="54.6" customHeight="1">
      <c r="A78" s="1654">
        <v>7</v>
      </c>
      <c r="B78" s="1857" t="s">
        <v>1158</v>
      </c>
      <c r="C78" s="1857"/>
      <c r="D78" s="1857"/>
      <c r="E78" s="1857"/>
      <c r="F78" s="1857"/>
      <c r="G78" s="1857"/>
      <c r="H78" s="1857"/>
      <c r="I78" s="1857"/>
      <c r="J78" s="44"/>
      <c r="K78" s="44"/>
    </row>
    <row r="79" spans="1:13" s="281" customFormat="1">
      <c r="A79" s="1652">
        <v>8</v>
      </c>
      <c r="B79" s="1027" t="s">
        <v>1663</v>
      </c>
      <c r="C79" s="535"/>
      <c r="D79" s="1965"/>
      <c r="E79" s="1966"/>
      <c r="F79" s="513"/>
      <c r="G79" s="514"/>
      <c r="H79" s="517"/>
      <c r="I79" s="513"/>
      <c r="J79" s="44"/>
      <c r="K79" s="44"/>
      <c r="L79" s="44"/>
      <c r="M79" s="44"/>
    </row>
    <row r="80" spans="1:13" s="281" customFormat="1">
      <c r="A80" s="1652">
        <v>9</v>
      </c>
      <c r="B80" s="43" t="s">
        <v>1664</v>
      </c>
      <c r="C80" s="511"/>
      <c r="D80" s="515"/>
      <c r="E80" s="1226"/>
      <c r="F80" s="513"/>
      <c r="G80" s="514"/>
      <c r="H80" s="517"/>
      <c r="I80" s="513"/>
      <c r="J80" s="44"/>
      <c r="K80" s="44"/>
      <c r="L80" s="44"/>
      <c r="M80" s="44"/>
    </row>
    <row r="81" spans="1:13" s="281" customFormat="1" ht="41.4" customHeight="1">
      <c r="A81" s="1652">
        <v>10</v>
      </c>
      <c r="B81" s="1857" t="s">
        <v>1830</v>
      </c>
      <c r="C81" s="1857"/>
      <c r="D81" s="1857"/>
      <c r="E81" s="1857"/>
      <c r="F81" s="1857"/>
      <c r="G81" s="1857"/>
      <c r="H81" s="1857"/>
      <c r="I81" s="1857"/>
      <c r="J81" s="44"/>
      <c r="K81" s="44"/>
      <c r="L81" s="44"/>
      <c r="M81" s="44"/>
    </row>
    <row r="82" spans="1:13" s="281" customFormat="1" ht="44.4" customHeight="1">
      <c r="A82" s="1652">
        <v>11</v>
      </c>
      <c r="B82" s="1857" t="s">
        <v>1832</v>
      </c>
      <c r="C82" s="1857"/>
      <c r="D82" s="1857"/>
      <c r="E82" s="1857"/>
      <c r="F82" s="1857"/>
      <c r="G82" s="1857"/>
      <c r="H82" s="1857"/>
      <c r="I82" s="1857"/>
      <c r="J82" s="44"/>
      <c r="K82" s="44"/>
      <c r="L82" s="44"/>
      <c r="M82" s="44"/>
    </row>
    <row r="83" spans="1:13" s="281" customFormat="1">
      <c r="A83" s="44"/>
      <c r="B83" s="43"/>
      <c r="C83" s="511"/>
      <c r="D83" s="519"/>
      <c r="E83" s="512"/>
      <c r="F83" s="513"/>
      <c r="G83" s="514"/>
      <c r="H83" s="517"/>
      <c r="I83" s="513"/>
      <c r="J83" s="44"/>
      <c r="K83" s="44"/>
    </row>
    <row r="84" spans="1:13" s="281" customFormat="1">
      <c r="A84" s="44"/>
      <c r="B84" s="43"/>
      <c r="C84" s="511"/>
      <c r="D84" s="519"/>
      <c r="E84" s="512"/>
      <c r="F84" s="513"/>
      <c r="G84" s="514"/>
      <c r="H84" s="517"/>
      <c r="I84" s="513"/>
      <c r="J84" s="44"/>
      <c r="K84" s="44"/>
    </row>
    <row r="85" spans="1:13" s="281" customFormat="1">
      <c r="A85" s="44"/>
      <c r="B85" s="43"/>
      <c r="C85" s="511"/>
      <c r="D85" s="519"/>
      <c r="E85" s="512"/>
      <c r="F85" s="513"/>
      <c r="G85" s="514"/>
      <c r="H85" s="517"/>
      <c r="I85" s="513"/>
      <c r="J85" s="44"/>
      <c r="K85" s="44"/>
    </row>
    <row r="86" spans="1:13" s="281" customFormat="1">
      <c r="A86" s="44"/>
      <c r="B86" s="44"/>
      <c r="C86" s="511"/>
      <c r="D86" s="519"/>
      <c r="E86" s="512"/>
      <c r="F86" s="513"/>
      <c r="G86" s="514"/>
      <c r="H86" s="517"/>
      <c r="I86" s="513"/>
      <c r="J86" s="44"/>
      <c r="K86" s="44"/>
    </row>
    <row r="87" spans="1:13" s="281" customFormat="1">
      <c r="A87" s="44"/>
      <c r="B87" s="44"/>
      <c r="C87" s="511"/>
      <c r="D87" s="519"/>
      <c r="E87" s="512"/>
      <c r="F87" s="513"/>
      <c r="G87" s="514"/>
      <c r="H87" s="517"/>
      <c r="I87" s="513"/>
      <c r="J87" s="44"/>
      <c r="K87" s="44"/>
    </row>
    <row r="88" spans="1:13" s="281" customFormat="1">
      <c r="A88" s="44"/>
      <c r="B88" s="44"/>
      <c r="C88" s="511"/>
      <c r="D88" s="519"/>
      <c r="E88" s="512"/>
      <c r="F88" s="513"/>
      <c r="G88" s="514"/>
      <c r="H88" s="517"/>
      <c r="I88" s="513"/>
      <c r="J88" s="44"/>
      <c r="K88" s="44"/>
    </row>
    <row r="89" spans="1:13" s="281" customFormat="1">
      <c r="A89" s="44"/>
      <c r="B89" s="44"/>
      <c r="C89" s="511"/>
      <c r="D89" s="519"/>
      <c r="E89" s="512"/>
      <c r="F89" s="513"/>
      <c r="G89" s="514"/>
      <c r="H89" s="517"/>
      <c r="I89" s="513"/>
      <c r="J89" s="44"/>
      <c r="K89" s="44"/>
    </row>
    <row r="90" spans="1:13" s="281" customFormat="1">
      <c r="A90" s="44"/>
      <c r="B90" s="44"/>
      <c r="C90" s="511"/>
      <c r="D90" s="519"/>
      <c r="E90" s="512"/>
      <c r="F90" s="513"/>
      <c r="G90" s="514"/>
      <c r="H90" s="517"/>
      <c r="I90" s="513"/>
      <c r="J90" s="44"/>
      <c r="K90" s="44"/>
    </row>
    <row r="91" spans="1:13" s="281" customFormat="1">
      <c r="A91" s="44"/>
      <c r="B91" s="44"/>
      <c r="C91" s="511"/>
      <c r="D91" s="519"/>
      <c r="E91" s="512"/>
      <c r="F91" s="513"/>
      <c r="G91" s="514"/>
      <c r="H91" s="517"/>
      <c r="I91" s="513"/>
      <c r="J91" s="44"/>
      <c r="K91" s="44"/>
    </row>
    <row r="92" spans="1:13" s="281" customFormat="1">
      <c r="A92" s="44"/>
      <c r="B92" s="44"/>
      <c r="C92" s="511"/>
      <c r="D92" s="519"/>
      <c r="E92" s="512"/>
      <c r="F92" s="513"/>
      <c r="G92" s="514"/>
      <c r="H92" s="517"/>
      <c r="I92" s="513"/>
      <c r="J92" s="44"/>
      <c r="K92" s="44"/>
    </row>
    <row r="93" spans="1:13" s="281" customFormat="1">
      <c r="A93" s="44"/>
      <c r="B93" s="44"/>
      <c r="C93" s="511"/>
      <c r="D93" s="519"/>
      <c r="E93" s="512"/>
      <c r="F93" s="513"/>
      <c r="G93" s="514"/>
      <c r="H93" s="517"/>
      <c r="I93" s="513"/>
      <c r="J93" s="44"/>
      <c r="K93" s="44"/>
    </row>
    <row r="94" spans="1:13" s="281" customFormat="1">
      <c r="A94" s="44"/>
      <c r="B94" s="44"/>
      <c r="C94" s="511"/>
      <c r="D94" s="519"/>
      <c r="E94" s="512"/>
      <c r="F94" s="513"/>
      <c r="G94" s="514"/>
      <c r="H94" s="517"/>
      <c r="I94" s="513"/>
      <c r="J94" s="44"/>
      <c r="K94" s="44"/>
    </row>
    <row r="95" spans="1:13" s="281" customFormat="1">
      <c r="A95" s="44"/>
      <c r="B95" s="44"/>
      <c r="C95" s="511"/>
      <c r="D95" s="519"/>
      <c r="E95" s="512"/>
      <c r="F95" s="513"/>
      <c r="G95" s="514"/>
      <c r="H95" s="517"/>
      <c r="I95" s="513"/>
      <c r="J95" s="44"/>
      <c r="K95" s="44"/>
    </row>
    <row r="96" spans="1:13" s="281" customFormat="1">
      <c r="A96" s="44"/>
      <c r="B96" s="44"/>
      <c r="C96" s="511"/>
      <c r="D96" s="519"/>
      <c r="E96" s="512"/>
      <c r="F96" s="513"/>
      <c r="G96" s="514"/>
      <c r="H96" s="517"/>
      <c r="I96" s="513"/>
      <c r="J96" s="44"/>
      <c r="K96" s="44"/>
    </row>
    <row r="97" spans="1:24" s="281" customFormat="1">
      <c r="A97" s="44"/>
      <c r="B97" s="44"/>
      <c r="C97" s="511"/>
      <c r="D97" s="519"/>
      <c r="E97" s="512"/>
      <c r="F97" s="513"/>
      <c r="G97" s="514"/>
      <c r="H97" s="517"/>
      <c r="I97" s="513"/>
      <c r="J97" s="44"/>
      <c r="K97" s="44"/>
    </row>
    <row r="98" spans="1:24" s="281" customFormat="1">
      <c r="A98" s="44"/>
      <c r="B98" s="44"/>
      <c r="C98" s="511"/>
      <c r="D98" s="519"/>
      <c r="E98" s="512"/>
      <c r="F98" s="513"/>
      <c r="G98" s="514"/>
      <c r="H98" s="517"/>
      <c r="I98" s="513"/>
      <c r="J98" s="44"/>
      <c r="K98" s="44"/>
    </row>
    <row r="99" spans="1:24" s="281" customFormat="1">
      <c r="A99" s="44"/>
      <c r="B99" s="44"/>
      <c r="C99" s="511"/>
      <c r="D99" s="519"/>
      <c r="E99" s="512"/>
      <c r="F99" s="513"/>
      <c r="G99" s="514"/>
      <c r="H99" s="517"/>
      <c r="I99" s="513"/>
      <c r="J99" s="44"/>
      <c r="K99" s="44"/>
    </row>
    <row r="100" spans="1:24" s="281" customFormat="1">
      <c r="A100" s="44"/>
      <c r="B100" s="44"/>
      <c r="C100" s="511"/>
      <c r="D100" s="519"/>
      <c r="E100" s="512"/>
      <c r="F100" s="513"/>
      <c r="G100" s="514"/>
      <c r="H100" s="517"/>
      <c r="I100" s="513"/>
      <c r="J100" s="44"/>
      <c r="K100" s="44"/>
    </row>
    <row r="101" spans="1:24" s="281" customFormat="1">
      <c r="A101" s="44"/>
      <c r="B101" s="44"/>
      <c r="C101" s="511"/>
      <c r="D101" s="519"/>
      <c r="E101" s="512"/>
      <c r="F101" s="513"/>
      <c r="G101" s="514"/>
      <c r="H101" s="517"/>
      <c r="I101" s="513"/>
      <c r="J101" s="44"/>
      <c r="K101" s="44"/>
    </row>
    <row r="102" spans="1:24">
      <c r="C102" s="511"/>
      <c r="D102" s="519"/>
      <c r="E102" s="512"/>
      <c r="F102" s="513"/>
      <c r="G102" s="514"/>
      <c r="H102" s="517"/>
      <c r="I102" s="513"/>
      <c r="L102" s="82"/>
      <c r="M102" s="82"/>
      <c r="N102" s="82"/>
      <c r="O102" s="82"/>
      <c r="P102" s="82"/>
      <c r="Q102" s="82"/>
      <c r="R102" s="82"/>
      <c r="S102" s="82"/>
      <c r="T102" s="82"/>
      <c r="U102" s="82"/>
      <c r="V102" s="82"/>
      <c r="W102" s="82"/>
      <c r="X102" s="82"/>
    </row>
    <row r="103" spans="1:24">
      <c r="C103" s="511"/>
      <c r="D103" s="519"/>
      <c r="E103" s="512"/>
      <c r="F103" s="513"/>
      <c r="G103" s="514"/>
      <c r="H103" s="517"/>
      <c r="I103" s="513"/>
      <c r="L103" s="82"/>
      <c r="M103" s="82"/>
      <c r="N103" s="82"/>
      <c r="O103" s="82"/>
      <c r="P103" s="82"/>
      <c r="Q103" s="82"/>
      <c r="R103" s="82"/>
      <c r="S103" s="82"/>
      <c r="T103" s="82"/>
      <c r="U103" s="82"/>
      <c r="V103" s="82"/>
      <c r="W103" s="82"/>
      <c r="X103" s="82"/>
    </row>
    <row r="104" spans="1:24">
      <c r="C104" s="511"/>
      <c r="D104" s="519"/>
      <c r="E104" s="512"/>
      <c r="F104" s="513"/>
      <c r="G104" s="514"/>
      <c r="H104" s="517"/>
      <c r="I104" s="513"/>
      <c r="L104" s="82"/>
      <c r="M104" s="82"/>
      <c r="N104" s="82"/>
      <c r="O104" s="82"/>
      <c r="P104" s="82"/>
      <c r="Q104" s="82"/>
      <c r="R104" s="82"/>
      <c r="S104" s="82"/>
      <c r="T104" s="82"/>
      <c r="U104" s="82"/>
      <c r="V104" s="82"/>
      <c r="W104" s="82"/>
      <c r="X104" s="82"/>
    </row>
    <row r="105" spans="1:24">
      <c r="C105" s="511"/>
      <c r="D105" s="519"/>
      <c r="E105" s="512"/>
      <c r="F105" s="513"/>
      <c r="G105" s="514"/>
      <c r="H105" s="517"/>
      <c r="I105" s="513"/>
      <c r="L105" s="82"/>
      <c r="M105" s="82"/>
      <c r="N105" s="82"/>
      <c r="O105" s="82"/>
      <c r="P105" s="82"/>
      <c r="Q105" s="82"/>
      <c r="R105" s="82"/>
      <c r="S105" s="82"/>
      <c r="T105" s="82"/>
      <c r="U105" s="82"/>
      <c r="V105" s="82"/>
      <c r="W105" s="82"/>
      <c r="X105" s="82"/>
    </row>
    <row r="106" spans="1:24">
      <c r="C106" s="511"/>
      <c r="D106" s="519"/>
      <c r="E106" s="512"/>
      <c r="F106" s="513"/>
      <c r="G106" s="514"/>
      <c r="H106" s="517"/>
      <c r="I106" s="513"/>
      <c r="L106" s="82"/>
      <c r="M106" s="82"/>
      <c r="N106" s="82"/>
      <c r="O106" s="82"/>
      <c r="P106" s="82"/>
      <c r="Q106" s="82"/>
      <c r="R106" s="82"/>
      <c r="S106" s="82"/>
      <c r="T106" s="82"/>
      <c r="U106" s="82"/>
      <c r="V106" s="82"/>
      <c r="W106" s="82"/>
      <c r="X106" s="82"/>
    </row>
    <row r="107" spans="1:24">
      <c r="C107" s="511"/>
      <c r="D107" s="519"/>
      <c r="E107" s="512"/>
      <c r="F107" s="513"/>
      <c r="G107" s="514"/>
      <c r="H107" s="517"/>
      <c r="I107" s="513"/>
      <c r="L107" s="82"/>
      <c r="M107" s="82"/>
      <c r="N107" s="82"/>
      <c r="O107" s="82"/>
      <c r="P107" s="82"/>
      <c r="Q107" s="82"/>
      <c r="R107" s="82"/>
      <c r="S107" s="82"/>
      <c r="T107" s="82"/>
      <c r="U107" s="82"/>
      <c r="V107" s="82"/>
      <c r="W107" s="82"/>
      <c r="X107" s="82"/>
    </row>
    <row r="108" spans="1:24">
      <c r="C108" s="511"/>
      <c r="D108" s="519"/>
      <c r="E108" s="512"/>
      <c r="F108" s="513"/>
      <c r="G108" s="514"/>
      <c r="H108" s="517"/>
      <c r="I108" s="513"/>
      <c r="L108" s="82"/>
      <c r="M108" s="82"/>
      <c r="N108" s="82"/>
      <c r="O108" s="82"/>
      <c r="P108" s="82"/>
      <c r="Q108" s="82"/>
      <c r="R108" s="82"/>
      <c r="S108" s="82"/>
      <c r="T108" s="82"/>
      <c r="U108" s="82"/>
      <c r="V108" s="82"/>
      <c r="W108" s="82"/>
      <c r="X108" s="82"/>
    </row>
    <row r="109" spans="1:24">
      <c r="C109" s="511"/>
      <c r="D109" s="519"/>
      <c r="E109" s="512"/>
      <c r="F109" s="513"/>
      <c r="G109" s="514"/>
      <c r="H109" s="517"/>
      <c r="I109" s="513"/>
      <c r="L109" s="82"/>
      <c r="M109" s="82"/>
      <c r="N109" s="82"/>
      <c r="O109" s="82"/>
      <c r="P109" s="82"/>
      <c r="Q109" s="82"/>
      <c r="R109" s="82"/>
      <c r="S109" s="82"/>
      <c r="T109" s="82"/>
      <c r="U109" s="82"/>
      <c r="V109" s="82"/>
      <c r="W109" s="82"/>
      <c r="X109" s="82"/>
    </row>
    <row r="110" spans="1:24">
      <c r="B110" s="66"/>
      <c r="C110" s="511"/>
      <c r="D110" s="519"/>
      <c r="E110" s="512"/>
      <c r="F110" s="513"/>
      <c r="G110" s="514"/>
      <c r="H110" s="517"/>
      <c r="I110" s="513"/>
      <c r="L110" s="82"/>
      <c r="M110" s="82"/>
      <c r="N110" s="82"/>
      <c r="O110" s="82"/>
      <c r="P110" s="82"/>
      <c r="Q110" s="82"/>
      <c r="R110" s="82"/>
      <c r="S110" s="82"/>
      <c r="T110" s="82"/>
      <c r="U110" s="82"/>
      <c r="V110" s="82"/>
      <c r="W110" s="82"/>
      <c r="X110" s="82"/>
    </row>
    <row r="111" spans="1:24">
      <c r="A111" s="66"/>
      <c r="B111" s="66"/>
      <c r="C111" s="511"/>
      <c r="D111" s="519"/>
      <c r="E111" s="512"/>
      <c r="F111" s="513"/>
      <c r="G111" s="514"/>
      <c r="H111" s="517"/>
      <c r="I111" s="513"/>
      <c r="L111" s="82"/>
      <c r="M111" s="82"/>
      <c r="N111" s="82"/>
      <c r="O111" s="82"/>
      <c r="P111" s="82"/>
      <c r="Q111" s="82"/>
      <c r="R111" s="82"/>
      <c r="S111" s="82"/>
      <c r="T111" s="82"/>
      <c r="U111" s="82"/>
      <c r="V111" s="82"/>
      <c r="W111" s="82"/>
      <c r="X111" s="82"/>
    </row>
    <row r="112" spans="1:24">
      <c r="A112" s="66"/>
      <c r="B112" s="66"/>
      <c r="C112" s="511"/>
      <c r="D112" s="519"/>
      <c r="E112" s="512"/>
      <c r="F112" s="513"/>
      <c r="G112" s="514"/>
      <c r="H112" s="517"/>
      <c r="I112" s="513"/>
      <c r="L112" s="82"/>
      <c r="M112" s="82"/>
      <c r="N112" s="82"/>
      <c r="O112" s="82"/>
      <c r="P112" s="82"/>
      <c r="Q112" s="82"/>
      <c r="R112" s="82"/>
      <c r="S112" s="82"/>
      <c r="T112" s="82"/>
      <c r="U112" s="82"/>
      <c r="V112" s="82"/>
      <c r="W112" s="82"/>
      <c r="X112" s="82"/>
    </row>
    <row r="113" spans="1:24">
      <c r="A113" s="66"/>
      <c r="B113" s="66"/>
      <c r="C113" s="511"/>
      <c r="D113" s="519"/>
      <c r="E113" s="512"/>
      <c r="F113" s="513"/>
      <c r="G113" s="514"/>
      <c r="H113" s="517"/>
      <c r="I113" s="513"/>
      <c r="L113" s="82"/>
      <c r="M113" s="82"/>
      <c r="N113" s="82"/>
      <c r="O113" s="82"/>
      <c r="P113" s="82"/>
      <c r="Q113" s="82"/>
      <c r="R113" s="82"/>
      <c r="S113" s="82"/>
      <c r="T113" s="82"/>
      <c r="U113" s="82"/>
      <c r="V113" s="82"/>
      <c r="W113" s="82"/>
      <c r="X113" s="82"/>
    </row>
    <row r="114" spans="1:24">
      <c r="A114" s="66"/>
      <c r="B114" s="66"/>
      <c r="C114" s="511"/>
      <c r="D114" s="519"/>
      <c r="E114" s="512"/>
      <c r="F114" s="513"/>
      <c r="G114" s="514"/>
      <c r="H114" s="517"/>
      <c r="I114" s="513"/>
      <c r="L114" s="82"/>
      <c r="M114" s="82"/>
      <c r="N114" s="82"/>
      <c r="O114" s="82"/>
      <c r="P114" s="82"/>
      <c r="Q114" s="82"/>
      <c r="R114" s="82"/>
      <c r="S114" s="82"/>
      <c r="T114" s="82"/>
      <c r="U114" s="82"/>
      <c r="V114" s="82"/>
      <c r="W114" s="82"/>
      <c r="X114" s="82"/>
    </row>
    <row r="115" spans="1:24">
      <c r="A115" s="66"/>
      <c r="B115" s="66"/>
      <c r="C115" s="511"/>
      <c r="D115" s="519"/>
      <c r="E115" s="512"/>
      <c r="F115" s="513"/>
      <c r="G115" s="514"/>
      <c r="H115" s="517"/>
      <c r="I115" s="513"/>
      <c r="L115" s="82"/>
      <c r="M115" s="82"/>
      <c r="N115" s="82"/>
      <c r="O115" s="82"/>
      <c r="P115" s="82"/>
      <c r="Q115" s="82"/>
      <c r="R115" s="82"/>
      <c r="S115" s="82"/>
      <c r="T115" s="82"/>
      <c r="U115" s="82"/>
      <c r="V115" s="82"/>
      <c r="W115" s="82"/>
      <c r="X115" s="82"/>
    </row>
    <row r="116" spans="1:24">
      <c r="A116" s="66"/>
      <c r="B116" s="66"/>
      <c r="C116" s="511"/>
      <c r="D116" s="519"/>
      <c r="E116" s="512"/>
      <c r="F116" s="513"/>
      <c r="G116" s="514"/>
      <c r="H116" s="517"/>
      <c r="I116" s="513"/>
      <c r="L116" s="82"/>
      <c r="M116" s="82"/>
      <c r="N116" s="82"/>
      <c r="O116" s="82"/>
      <c r="P116" s="82"/>
      <c r="Q116" s="82"/>
      <c r="R116" s="82"/>
      <c r="S116" s="82"/>
      <c r="T116" s="82"/>
      <c r="U116" s="82"/>
      <c r="V116" s="82"/>
      <c r="W116" s="82"/>
      <c r="X116" s="82"/>
    </row>
    <row r="117" spans="1:24">
      <c r="A117" s="66"/>
      <c r="B117" s="66"/>
      <c r="C117" s="511"/>
      <c r="D117" s="519"/>
      <c r="E117" s="512"/>
      <c r="F117" s="513"/>
      <c r="G117" s="514"/>
      <c r="H117" s="517"/>
      <c r="I117" s="513"/>
      <c r="L117" s="82"/>
      <c r="M117" s="82"/>
      <c r="N117" s="82"/>
      <c r="O117" s="82"/>
      <c r="P117" s="82"/>
      <c r="Q117" s="82"/>
      <c r="R117" s="82"/>
      <c r="S117" s="82"/>
      <c r="T117" s="82"/>
      <c r="U117" s="82"/>
      <c r="V117" s="82"/>
      <c r="W117" s="82"/>
      <c r="X117" s="82"/>
    </row>
    <row r="118" spans="1:24">
      <c r="A118" s="66"/>
      <c r="B118" s="66"/>
      <c r="C118" s="511"/>
      <c r="D118" s="519"/>
      <c r="E118" s="512"/>
      <c r="F118" s="513"/>
      <c r="G118" s="514"/>
      <c r="H118" s="517"/>
      <c r="I118" s="513"/>
      <c r="L118" s="82"/>
      <c r="M118" s="82"/>
      <c r="N118" s="82"/>
      <c r="O118" s="82"/>
      <c r="P118" s="82"/>
      <c r="Q118" s="82"/>
      <c r="R118" s="82"/>
      <c r="S118" s="82"/>
      <c r="T118" s="82"/>
      <c r="U118" s="82"/>
      <c r="V118" s="82"/>
      <c r="W118" s="82"/>
      <c r="X118" s="82"/>
    </row>
    <row r="119" spans="1:24">
      <c r="A119" s="66"/>
      <c r="B119" s="66"/>
      <c r="C119" s="511"/>
      <c r="D119" s="519"/>
      <c r="E119" s="512"/>
      <c r="F119" s="513"/>
      <c r="G119" s="514"/>
      <c r="H119" s="517"/>
      <c r="I119" s="513"/>
      <c r="L119" s="82"/>
      <c r="M119" s="82"/>
      <c r="N119" s="82"/>
      <c r="O119" s="82"/>
      <c r="P119" s="82"/>
      <c r="Q119" s="82"/>
      <c r="R119" s="82"/>
      <c r="S119" s="82"/>
      <c r="T119" s="82"/>
      <c r="U119" s="82"/>
      <c r="V119" s="82"/>
      <c r="W119" s="82"/>
      <c r="X119" s="82"/>
    </row>
    <row r="120" spans="1:24">
      <c r="A120" s="66"/>
      <c r="B120" s="66"/>
      <c r="C120" s="511"/>
      <c r="D120" s="519"/>
      <c r="E120" s="512"/>
      <c r="F120" s="513"/>
      <c r="G120" s="514"/>
      <c r="H120" s="517"/>
      <c r="I120" s="513"/>
      <c r="L120" s="82"/>
      <c r="M120" s="82"/>
      <c r="N120" s="82"/>
      <c r="O120" s="82"/>
      <c r="P120" s="82"/>
      <c r="Q120" s="82"/>
      <c r="R120" s="82"/>
      <c r="S120" s="82"/>
      <c r="T120" s="82"/>
      <c r="U120" s="82"/>
      <c r="V120" s="82"/>
      <c r="W120" s="82"/>
      <c r="X120" s="82"/>
    </row>
    <row r="121" spans="1:24">
      <c r="A121" s="66"/>
      <c r="B121" s="66"/>
      <c r="C121" s="511"/>
      <c r="D121" s="519"/>
      <c r="E121" s="512"/>
      <c r="F121" s="513"/>
      <c r="G121" s="514"/>
      <c r="H121" s="517"/>
      <c r="I121" s="513"/>
      <c r="L121" s="82"/>
      <c r="M121" s="82"/>
      <c r="N121" s="82"/>
      <c r="O121" s="82"/>
      <c r="P121" s="82"/>
      <c r="Q121" s="82"/>
      <c r="R121" s="82"/>
      <c r="S121" s="82"/>
      <c r="T121" s="82"/>
      <c r="U121" s="82"/>
      <c r="V121" s="82"/>
      <c r="W121" s="82"/>
      <c r="X121" s="82"/>
    </row>
    <row r="122" spans="1:24">
      <c r="A122" s="66"/>
      <c r="B122" s="66"/>
      <c r="C122" s="511"/>
      <c r="D122" s="519"/>
      <c r="E122" s="512"/>
      <c r="F122" s="513"/>
      <c r="G122" s="514"/>
      <c r="H122" s="517"/>
      <c r="I122" s="513"/>
      <c r="L122" s="82"/>
      <c r="M122" s="82"/>
      <c r="N122" s="82"/>
      <c r="O122" s="82"/>
      <c r="P122" s="82"/>
      <c r="Q122" s="82"/>
      <c r="R122" s="82"/>
      <c r="S122" s="82"/>
      <c r="T122" s="82"/>
      <c r="U122" s="82"/>
      <c r="V122" s="82"/>
      <c r="W122" s="82"/>
      <c r="X122" s="82"/>
    </row>
    <row r="123" spans="1:24">
      <c r="A123" s="66"/>
      <c r="B123" s="66"/>
      <c r="F123" s="520"/>
      <c r="G123" s="520"/>
      <c r="H123" s="520"/>
      <c r="I123" s="520"/>
      <c r="L123" s="82"/>
      <c r="M123" s="82"/>
      <c r="N123" s="82"/>
      <c r="O123" s="82"/>
      <c r="P123" s="82"/>
      <c r="Q123" s="82"/>
      <c r="R123" s="82"/>
      <c r="S123" s="82"/>
      <c r="T123" s="82"/>
      <c r="U123" s="82"/>
      <c r="V123" s="82"/>
      <c r="W123" s="82"/>
      <c r="X123" s="82"/>
    </row>
    <row r="124" spans="1:24">
      <c r="A124" s="66"/>
      <c r="B124" s="66"/>
      <c r="L124" s="82"/>
      <c r="M124" s="82"/>
      <c r="N124" s="82"/>
      <c r="O124" s="82"/>
      <c r="P124" s="82"/>
      <c r="Q124" s="82"/>
      <c r="R124" s="82"/>
      <c r="S124" s="82"/>
      <c r="T124" s="82"/>
      <c r="U124" s="82"/>
      <c r="V124" s="82"/>
      <c r="W124" s="82"/>
      <c r="X124" s="82"/>
    </row>
    <row r="125" spans="1:24">
      <c r="A125" s="66"/>
      <c r="B125" s="66"/>
      <c r="F125" s="521"/>
      <c r="L125" s="82"/>
      <c r="M125" s="82"/>
      <c r="N125" s="82"/>
      <c r="O125" s="82"/>
      <c r="P125" s="82"/>
      <c r="Q125" s="82"/>
      <c r="R125" s="82"/>
      <c r="S125" s="82"/>
      <c r="T125" s="82"/>
      <c r="U125" s="82"/>
      <c r="V125" s="82"/>
      <c r="W125" s="82"/>
      <c r="X125" s="82"/>
    </row>
    <row r="126" spans="1:24">
      <c r="A126" s="66"/>
      <c r="B126" s="66"/>
      <c r="C126" s="66"/>
      <c r="D126" s="66"/>
      <c r="E126" s="66"/>
      <c r="F126" s="521"/>
      <c r="L126" s="82"/>
      <c r="M126" s="82"/>
      <c r="N126" s="82"/>
      <c r="O126" s="82"/>
      <c r="P126" s="82"/>
      <c r="Q126" s="82"/>
      <c r="R126" s="82"/>
      <c r="S126" s="82"/>
      <c r="T126" s="82"/>
      <c r="U126" s="82"/>
      <c r="V126" s="82"/>
      <c r="W126" s="82"/>
      <c r="X126" s="82"/>
    </row>
    <row r="127" spans="1:24">
      <c r="A127" s="66"/>
      <c r="B127" s="66"/>
      <c r="C127" s="66"/>
      <c r="D127" s="66"/>
      <c r="E127" s="66"/>
      <c r="F127" s="520"/>
      <c r="L127" s="82"/>
      <c r="M127" s="82"/>
      <c r="N127" s="82"/>
      <c r="O127" s="82"/>
      <c r="P127" s="82"/>
      <c r="Q127" s="82"/>
      <c r="R127" s="82"/>
      <c r="S127" s="82"/>
      <c r="T127" s="82"/>
      <c r="U127" s="82"/>
      <c r="V127" s="82"/>
      <c r="W127" s="82"/>
      <c r="X127" s="82"/>
    </row>
    <row r="128" spans="1:24">
      <c r="A128" s="66"/>
      <c r="B128" s="66"/>
      <c r="C128" s="66"/>
      <c r="D128" s="66"/>
      <c r="E128" s="66"/>
      <c r="L128" s="82"/>
      <c r="M128" s="82"/>
      <c r="N128" s="82"/>
      <c r="O128" s="82"/>
      <c r="P128" s="82"/>
      <c r="Q128" s="82"/>
      <c r="R128" s="82"/>
      <c r="S128" s="82"/>
      <c r="T128" s="82"/>
      <c r="U128" s="82"/>
      <c r="V128" s="82"/>
      <c r="W128" s="82"/>
      <c r="X128" s="82"/>
    </row>
    <row r="129" spans="1:24">
      <c r="A129" s="66"/>
      <c r="B129" s="66"/>
      <c r="C129" s="66"/>
      <c r="D129" s="66"/>
      <c r="E129" s="66"/>
      <c r="L129" s="82"/>
      <c r="M129" s="82"/>
      <c r="N129" s="82"/>
      <c r="O129" s="82"/>
      <c r="P129" s="82"/>
      <c r="Q129" s="82"/>
      <c r="R129" s="82"/>
      <c r="S129" s="82"/>
      <c r="T129" s="82"/>
      <c r="U129" s="82"/>
      <c r="V129" s="82"/>
      <c r="W129" s="82"/>
      <c r="X129" s="82"/>
    </row>
    <row r="130" spans="1:24">
      <c r="A130" s="66"/>
      <c r="B130" s="66"/>
      <c r="C130" s="66"/>
      <c r="D130" s="66"/>
      <c r="E130" s="66"/>
      <c r="L130" s="82"/>
      <c r="M130" s="82"/>
      <c r="N130" s="82"/>
      <c r="O130" s="82"/>
      <c r="P130" s="82"/>
      <c r="Q130" s="82"/>
      <c r="R130" s="82"/>
      <c r="S130" s="82"/>
      <c r="T130" s="82"/>
      <c r="U130" s="82"/>
      <c r="V130" s="82"/>
      <c r="W130" s="82"/>
      <c r="X130" s="82"/>
    </row>
    <row r="131" spans="1:24">
      <c r="A131" s="66"/>
      <c r="B131" s="66"/>
      <c r="C131" s="66"/>
      <c r="D131" s="66"/>
      <c r="E131" s="66"/>
      <c r="L131" s="82"/>
      <c r="M131" s="82"/>
      <c r="N131" s="82"/>
      <c r="O131" s="82"/>
      <c r="P131" s="82"/>
      <c r="Q131" s="82"/>
      <c r="R131" s="82"/>
      <c r="S131" s="82"/>
      <c r="T131" s="82"/>
      <c r="U131" s="82"/>
      <c r="V131" s="82"/>
      <c r="W131" s="82"/>
      <c r="X131" s="82"/>
    </row>
    <row r="132" spans="1:24">
      <c r="A132" s="66"/>
      <c r="B132" s="66"/>
      <c r="C132" s="66"/>
      <c r="D132" s="66"/>
      <c r="E132" s="66"/>
      <c r="L132" s="82"/>
      <c r="M132" s="82"/>
      <c r="N132" s="82"/>
      <c r="O132" s="82"/>
      <c r="P132" s="82"/>
      <c r="Q132" s="82"/>
      <c r="R132" s="82"/>
      <c r="S132" s="82"/>
      <c r="T132" s="82"/>
      <c r="U132" s="82"/>
      <c r="V132" s="82"/>
      <c r="W132" s="82"/>
      <c r="X132" s="82"/>
    </row>
    <row r="133" spans="1:24">
      <c r="A133" s="66"/>
      <c r="B133" s="66"/>
      <c r="C133" s="66"/>
      <c r="D133" s="66"/>
      <c r="E133" s="66"/>
      <c r="L133" s="82"/>
      <c r="M133" s="82"/>
      <c r="N133" s="82"/>
      <c r="O133" s="82"/>
      <c r="P133" s="82"/>
      <c r="Q133" s="82"/>
      <c r="R133" s="82"/>
      <c r="S133" s="82"/>
      <c r="T133" s="82"/>
      <c r="U133" s="82"/>
      <c r="V133" s="82"/>
      <c r="W133" s="82"/>
      <c r="X133" s="82"/>
    </row>
    <row r="134" spans="1:24">
      <c r="A134" s="66"/>
      <c r="B134" s="66"/>
      <c r="C134" s="66"/>
      <c r="D134" s="66"/>
      <c r="E134" s="66"/>
      <c r="L134" s="82"/>
      <c r="M134" s="82"/>
      <c r="N134" s="82"/>
      <c r="O134" s="82"/>
      <c r="P134" s="82"/>
      <c r="Q134" s="82"/>
      <c r="R134" s="82"/>
      <c r="S134" s="82"/>
      <c r="T134" s="82"/>
      <c r="U134" s="82"/>
      <c r="V134" s="82"/>
      <c r="W134" s="82"/>
      <c r="X134" s="82"/>
    </row>
    <row r="135" spans="1:24">
      <c r="A135" s="66"/>
      <c r="B135" s="66"/>
      <c r="C135" s="66"/>
      <c r="D135" s="66"/>
      <c r="E135" s="66"/>
      <c r="L135" s="82"/>
      <c r="M135" s="82"/>
      <c r="N135" s="82"/>
      <c r="O135" s="82"/>
      <c r="P135" s="82"/>
      <c r="Q135" s="82"/>
      <c r="R135" s="82"/>
      <c r="S135" s="82"/>
      <c r="T135" s="82"/>
      <c r="U135" s="82"/>
      <c r="V135" s="82"/>
      <c r="W135" s="82"/>
      <c r="X135" s="82"/>
    </row>
    <row r="136" spans="1:24">
      <c r="A136" s="66"/>
      <c r="B136" s="66"/>
      <c r="C136" s="66"/>
      <c r="D136" s="66"/>
      <c r="E136" s="66"/>
      <c r="L136" s="82"/>
      <c r="M136" s="82"/>
      <c r="N136" s="82"/>
      <c r="O136" s="82"/>
      <c r="P136" s="82"/>
      <c r="Q136" s="82"/>
      <c r="R136" s="82"/>
      <c r="S136" s="82"/>
      <c r="T136" s="82"/>
      <c r="U136" s="82"/>
      <c r="V136" s="82"/>
      <c r="W136" s="82"/>
      <c r="X136" s="82"/>
    </row>
    <row r="137" spans="1:24">
      <c r="A137" s="66"/>
      <c r="B137" s="66"/>
      <c r="C137" s="66"/>
      <c r="D137" s="66"/>
      <c r="E137" s="66"/>
      <c r="L137" s="82"/>
      <c r="M137" s="82"/>
      <c r="N137" s="82"/>
      <c r="O137" s="82"/>
      <c r="P137" s="82"/>
      <c r="Q137" s="82"/>
      <c r="R137" s="82"/>
      <c r="S137" s="82"/>
      <c r="T137" s="82"/>
      <c r="U137" s="82"/>
      <c r="V137" s="82"/>
      <c r="W137" s="82"/>
      <c r="X137" s="82"/>
    </row>
    <row r="138" spans="1:24">
      <c r="A138" s="66"/>
      <c r="B138" s="66"/>
      <c r="C138" s="66"/>
      <c r="D138" s="66"/>
      <c r="E138" s="66"/>
      <c r="L138" s="82"/>
      <c r="M138" s="82"/>
      <c r="N138" s="82"/>
      <c r="O138" s="82"/>
      <c r="P138" s="82"/>
      <c r="Q138" s="82"/>
      <c r="R138" s="82"/>
      <c r="S138" s="82"/>
      <c r="T138" s="82"/>
      <c r="U138" s="82"/>
      <c r="V138" s="82"/>
      <c r="W138" s="82"/>
      <c r="X138" s="82"/>
    </row>
    <row r="139" spans="1:24">
      <c r="A139" s="66"/>
      <c r="B139" s="66"/>
      <c r="C139" s="66"/>
      <c r="D139" s="66"/>
      <c r="E139" s="66"/>
      <c r="L139" s="82"/>
      <c r="M139" s="82"/>
      <c r="N139" s="82"/>
      <c r="O139" s="82"/>
      <c r="P139" s="82"/>
      <c r="Q139" s="82"/>
      <c r="R139" s="82"/>
      <c r="S139" s="82"/>
      <c r="T139" s="82"/>
      <c r="U139" s="82"/>
      <c r="V139" s="82"/>
      <c r="W139" s="82"/>
      <c r="X139" s="82"/>
    </row>
    <row r="140" spans="1:24">
      <c r="A140" s="66"/>
      <c r="B140" s="66"/>
      <c r="C140" s="66"/>
      <c r="D140" s="66"/>
      <c r="E140" s="66"/>
      <c r="L140" s="82"/>
      <c r="M140" s="82"/>
      <c r="N140" s="82"/>
      <c r="O140" s="82"/>
      <c r="P140" s="82"/>
      <c r="Q140" s="82"/>
      <c r="R140" s="82"/>
      <c r="S140" s="82"/>
      <c r="T140" s="82"/>
      <c r="U140" s="82"/>
      <c r="V140" s="82"/>
      <c r="W140" s="82"/>
      <c r="X140" s="82"/>
    </row>
    <row r="141" spans="1:24">
      <c r="A141" s="66"/>
      <c r="B141" s="66"/>
      <c r="C141" s="66"/>
      <c r="D141" s="66"/>
      <c r="E141" s="66"/>
      <c r="L141" s="82"/>
      <c r="M141" s="82"/>
      <c r="N141" s="82"/>
      <c r="O141" s="82"/>
      <c r="P141" s="82"/>
      <c r="Q141" s="82"/>
      <c r="R141" s="82"/>
      <c r="S141" s="82"/>
      <c r="T141" s="82"/>
      <c r="U141" s="82"/>
      <c r="V141" s="82"/>
      <c r="W141" s="82"/>
      <c r="X141" s="82"/>
    </row>
    <row r="142" spans="1:24">
      <c r="A142" s="66"/>
      <c r="B142" s="66"/>
      <c r="C142" s="66"/>
      <c r="D142" s="66"/>
      <c r="E142" s="66"/>
      <c r="F142" s="66"/>
      <c r="G142" s="66"/>
      <c r="H142" s="66"/>
      <c r="I142" s="66"/>
      <c r="L142" s="82"/>
      <c r="M142" s="82"/>
      <c r="N142" s="82"/>
      <c r="O142" s="82"/>
      <c r="P142" s="82"/>
      <c r="Q142" s="82"/>
      <c r="R142" s="82"/>
      <c r="S142" s="82"/>
      <c r="T142" s="82"/>
      <c r="U142" s="82"/>
      <c r="V142" s="82"/>
      <c r="W142" s="82"/>
      <c r="X142" s="82"/>
    </row>
    <row r="143" spans="1:24">
      <c r="A143" s="66"/>
      <c r="B143" s="66"/>
      <c r="C143" s="66"/>
      <c r="D143" s="66"/>
      <c r="E143" s="66"/>
      <c r="F143" s="66"/>
      <c r="G143" s="66"/>
      <c r="H143" s="66"/>
      <c r="I143" s="66"/>
      <c r="J143" s="66"/>
      <c r="K143" s="66"/>
      <c r="L143" s="82"/>
      <c r="M143" s="82"/>
      <c r="N143" s="82"/>
      <c r="O143" s="82"/>
      <c r="P143" s="82"/>
      <c r="Q143" s="82"/>
      <c r="R143" s="82"/>
      <c r="S143" s="82"/>
      <c r="T143" s="82"/>
      <c r="U143" s="82"/>
      <c r="V143" s="82"/>
      <c r="W143" s="82"/>
      <c r="X143" s="82"/>
    </row>
    <row r="144" spans="1:24">
      <c r="A144" s="66"/>
      <c r="B144" s="66"/>
      <c r="C144" s="66"/>
      <c r="D144" s="66"/>
      <c r="E144" s="66"/>
      <c r="F144" s="66"/>
      <c r="G144" s="66"/>
      <c r="H144" s="66"/>
      <c r="I144" s="66"/>
      <c r="J144" s="66"/>
      <c r="K144" s="66"/>
      <c r="L144" s="82"/>
      <c r="M144" s="82"/>
      <c r="N144" s="82"/>
      <c r="O144" s="82"/>
      <c r="P144" s="82"/>
      <c r="Q144" s="82"/>
      <c r="R144" s="82"/>
      <c r="S144" s="82"/>
      <c r="T144" s="82"/>
      <c r="U144" s="82"/>
      <c r="V144" s="82"/>
      <c r="W144" s="82"/>
      <c r="X144" s="82"/>
    </row>
    <row r="145" spans="1:24">
      <c r="A145" s="66"/>
      <c r="B145" s="66"/>
      <c r="C145" s="66"/>
      <c r="D145" s="66"/>
      <c r="E145" s="66"/>
      <c r="F145" s="66"/>
      <c r="G145" s="66"/>
      <c r="H145" s="66"/>
      <c r="I145" s="66"/>
      <c r="J145" s="66"/>
      <c r="K145" s="66"/>
      <c r="L145" s="82"/>
      <c r="M145" s="82"/>
      <c r="N145" s="82"/>
      <c r="O145" s="82"/>
      <c r="P145" s="82"/>
      <c r="Q145" s="82"/>
      <c r="R145" s="82"/>
      <c r="S145" s="82"/>
      <c r="T145" s="82"/>
      <c r="U145" s="82"/>
      <c r="V145" s="82"/>
      <c r="W145" s="82"/>
      <c r="X145" s="82"/>
    </row>
    <row r="146" spans="1:24">
      <c r="A146" s="66"/>
      <c r="B146" s="66"/>
      <c r="C146" s="66"/>
      <c r="D146" s="66"/>
      <c r="E146" s="66"/>
      <c r="F146" s="66"/>
      <c r="G146" s="66"/>
      <c r="H146" s="66"/>
      <c r="I146" s="66"/>
      <c r="J146" s="66"/>
      <c r="K146" s="66"/>
      <c r="L146" s="82"/>
      <c r="M146" s="82"/>
      <c r="N146" s="82"/>
      <c r="O146" s="82"/>
      <c r="P146" s="82"/>
      <c r="Q146" s="82"/>
      <c r="R146" s="82"/>
      <c r="S146" s="82"/>
      <c r="T146" s="82"/>
      <c r="U146" s="82"/>
      <c r="V146" s="82"/>
      <c r="W146" s="82"/>
      <c r="X146" s="82"/>
    </row>
    <row r="147" spans="1:24">
      <c r="A147" s="66"/>
      <c r="B147" s="66"/>
      <c r="C147" s="66"/>
      <c r="D147" s="66"/>
      <c r="E147" s="66"/>
      <c r="F147" s="66"/>
      <c r="G147" s="66"/>
      <c r="H147" s="66"/>
      <c r="I147" s="66"/>
      <c r="J147" s="66"/>
      <c r="K147" s="66"/>
      <c r="L147" s="82"/>
      <c r="M147" s="82"/>
      <c r="N147" s="82"/>
      <c r="O147" s="82"/>
      <c r="P147" s="82"/>
      <c r="Q147" s="82"/>
      <c r="R147" s="82"/>
      <c r="S147" s="82"/>
      <c r="T147" s="82"/>
      <c r="U147" s="82"/>
      <c r="V147" s="82"/>
      <c r="W147" s="82"/>
      <c r="X147" s="82"/>
    </row>
    <row r="148" spans="1:24">
      <c r="A148" s="66"/>
      <c r="B148" s="66"/>
      <c r="C148" s="66"/>
      <c r="D148" s="66"/>
      <c r="E148" s="66"/>
      <c r="F148" s="66"/>
      <c r="G148" s="66"/>
      <c r="H148" s="66"/>
      <c r="I148" s="66"/>
      <c r="J148" s="66"/>
      <c r="K148" s="66"/>
      <c r="L148" s="82"/>
      <c r="M148" s="82"/>
      <c r="N148" s="82"/>
      <c r="O148" s="82"/>
      <c r="P148" s="82"/>
      <c r="Q148" s="82"/>
      <c r="R148" s="82"/>
      <c r="S148" s="82"/>
      <c r="T148" s="82"/>
      <c r="U148" s="82"/>
      <c r="V148" s="82"/>
      <c r="W148" s="82"/>
      <c r="X148" s="82"/>
    </row>
    <row r="149" spans="1:24">
      <c r="A149" s="66"/>
      <c r="B149" s="66"/>
      <c r="C149" s="66"/>
      <c r="D149" s="66"/>
      <c r="E149" s="66"/>
      <c r="F149" s="66"/>
      <c r="G149" s="66"/>
      <c r="H149" s="66"/>
      <c r="I149" s="66"/>
      <c r="J149" s="66"/>
      <c r="K149" s="66"/>
      <c r="L149" s="82"/>
      <c r="M149" s="82"/>
      <c r="N149" s="82"/>
      <c r="O149" s="82"/>
      <c r="P149" s="82"/>
      <c r="Q149" s="82"/>
      <c r="R149" s="82"/>
      <c r="S149" s="82"/>
      <c r="T149" s="82"/>
      <c r="U149" s="82"/>
      <c r="V149" s="82"/>
      <c r="W149" s="82"/>
      <c r="X149" s="82"/>
    </row>
    <row r="150" spans="1:24">
      <c r="A150" s="66"/>
      <c r="B150" s="66"/>
      <c r="C150" s="66"/>
      <c r="D150" s="66"/>
      <c r="E150" s="66"/>
      <c r="F150" s="66"/>
      <c r="G150" s="66"/>
      <c r="H150" s="66"/>
      <c r="I150" s="66"/>
      <c r="J150" s="66"/>
      <c r="K150" s="66"/>
      <c r="L150" s="82"/>
      <c r="M150" s="82"/>
      <c r="N150" s="82"/>
      <c r="O150" s="82"/>
      <c r="P150" s="82"/>
      <c r="Q150" s="82"/>
      <c r="R150" s="82"/>
      <c r="S150" s="82"/>
      <c r="T150" s="82"/>
      <c r="U150" s="82"/>
      <c r="V150" s="82"/>
      <c r="W150" s="82"/>
      <c r="X150" s="82"/>
    </row>
    <row r="151" spans="1:24">
      <c r="A151" s="66"/>
      <c r="B151" s="66"/>
      <c r="C151" s="66"/>
      <c r="D151" s="66"/>
      <c r="E151" s="66"/>
      <c r="F151" s="66"/>
      <c r="G151" s="66"/>
      <c r="H151" s="66"/>
      <c r="I151" s="66"/>
      <c r="J151" s="66"/>
      <c r="K151" s="66"/>
      <c r="L151" s="82"/>
      <c r="M151" s="82"/>
      <c r="N151" s="82"/>
      <c r="O151" s="82"/>
      <c r="P151" s="82"/>
      <c r="Q151" s="82"/>
      <c r="R151" s="82"/>
      <c r="S151" s="82"/>
      <c r="T151" s="82"/>
      <c r="U151" s="82"/>
      <c r="V151" s="82"/>
      <c r="W151" s="82"/>
      <c r="X151" s="82"/>
    </row>
    <row r="152" spans="1:24">
      <c r="A152" s="66"/>
      <c r="B152" s="66"/>
      <c r="C152" s="66"/>
      <c r="D152" s="66"/>
      <c r="E152" s="66"/>
      <c r="F152" s="66"/>
      <c r="G152" s="66"/>
      <c r="H152" s="66"/>
      <c r="I152" s="66"/>
      <c r="J152" s="66"/>
      <c r="K152" s="66"/>
      <c r="L152" s="82"/>
      <c r="M152" s="82"/>
      <c r="N152" s="82"/>
      <c r="O152" s="82"/>
      <c r="P152" s="82"/>
      <c r="Q152" s="82"/>
      <c r="R152" s="82"/>
      <c r="S152" s="82"/>
      <c r="T152" s="82"/>
      <c r="U152" s="82"/>
      <c r="V152" s="82"/>
      <c r="W152" s="82"/>
      <c r="X152" s="82"/>
    </row>
    <row r="153" spans="1:24">
      <c r="A153" s="66"/>
      <c r="B153" s="66"/>
      <c r="C153" s="66"/>
      <c r="D153" s="66"/>
      <c r="E153" s="66"/>
      <c r="F153" s="66"/>
      <c r="G153" s="66"/>
      <c r="H153" s="66"/>
      <c r="I153" s="66"/>
      <c r="J153" s="66"/>
      <c r="K153" s="66"/>
      <c r="L153" s="82"/>
      <c r="M153" s="82"/>
      <c r="N153" s="82"/>
      <c r="O153" s="82"/>
      <c r="P153" s="82"/>
      <c r="Q153" s="82"/>
      <c r="R153" s="82"/>
      <c r="S153" s="82"/>
      <c r="T153" s="82"/>
      <c r="U153" s="82"/>
      <c r="V153" s="82"/>
      <c r="W153" s="82"/>
      <c r="X153" s="82"/>
    </row>
    <row r="154" spans="1:24">
      <c r="A154" s="66"/>
      <c r="B154" s="66"/>
      <c r="C154" s="66"/>
      <c r="D154" s="66"/>
      <c r="E154" s="66"/>
      <c r="F154" s="66"/>
      <c r="G154" s="66"/>
      <c r="H154" s="66"/>
      <c r="I154" s="66"/>
      <c r="J154" s="66"/>
      <c r="K154" s="66"/>
      <c r="L154" s="82"/>
      <c r="M154" s="82"/>
      <c r="N154" s="82"/>
      <c r="O154" s="82"/>
      <c r="P154" s="82"/>
      <c r="Q154" s="82"/>
      <c r="R154" s="82"/>
      <c r="S154" s="82"/>
      <c r="T154" s="82"/>
      <c r="U154" s="82"/>
      <c r="V154" s="82"/>
      <c r="W154" s="82"/>
      <c r="X154" s="82"/>
    </row>
    <row r="155" spans="1:24">
      <c r="A155" s="66"/>
      <c r="B155" s="66"/>
      <c r="C155" s="66"/>
      <c r="D155" s="66"/>
      <c r="E155" s="66"/>
      <c r="F155" s="66"/>
      <c r="G155" s="66"/>
      <c r="H155" s="66"/>
      <c r="I155" s="66"/>
      <c r="J155" s="66"/>
      <c r="K155" s="66"/>
      <c r="L155" s="82"/>
      <c r="M155" s="82"/>
      <c r="N155" s="82"/>
      <c r="O155" s="82"/>
      <c r="P155" s="82"/>
      <c r="Q155" s="82"/>
      <c r="R155" s="82"/>
      <c r="S155" s="82"/>
      <c r="T155" s="82"/>
      <c r="U155" s="82"/>
      <c r="V155" s="82"/>
      <c r="W155" s="82"/>
      <c r="X155" s="82"/>
    </row>
    <row r="156" spans="1:24">
      <c r="A156" s="66"/>
      <c r="B156" s="66"/>
      <c r="C156" s="66"/>
      <c r="D156" s="66"/>
      <c r="E156" s="66"/>
      <c r="F156" s="66"/>
      <c r="G156" s="66"/>
      <c r="H156" s="66"/>
      <c r="I156" s="66"/>
      <c r="J156" s="66"/>
      <c r="K156" s="66"/>
      <c r="L156" s="82"/>
      <c r="M156" s="82"/>
      <c r="N156" s="82"/>
      <c r="O156" s="82"/>
      <c r="P156" s="82"/>
      <c r="Q156" s="82"/>
      <c r="R156" s="82"/>
      <c r="S156" s="82"/>
      <c r="T156" s="82"/>
      <c r="U156" s="82"/>
      <c r="V156" s="82"/>
      <c r="W156" s="82"/>
      <c r="X156" s="82"/>
    </row>
    <row r="157" spans="1:24">
      <c r="A157" s="66"/>
      <c r="B157" s="66"/>
      <c r="C157" s="66"/>
      <c r="D157" s="66"/>
      <c r="E157" s="66"/>
      <c r="F157" s="66"/>
      <c r="G157" s="66"/>
      <c r="H157" s="66"/>
      <c r="I157" s="66"/>
      <c r="J157" s="66"/>
      <c r="K157" s="66"/>
      <c r="L157" s="82"/>
      <c r="M157" s="82"/>
      <c r="N157" s="82"/>
      <c r="O157" s="82"/>
      <c r="P157" s="82"/>
      <c r="Q157" s="82"/>
      <c r="R157" s="82"/>
      <c r="S157" s="82"/>
      <c r="T157" s="82"/>
      <c r="U157" s="82"/>
      <c r="V157" s="82"/>
      <c r="W157" s="82"/>
      <c r="X157" s="82"/>
    </row>
    <row r="158" spans="1:24">
      <c r="A158" s="66"/>
      <c r="J158" s="66"/>
      <c r="K158" s="66"/>
      <c r="L158" s="82"/>
      <c r="M158" s="82"/>
      <c r="N158" s="82"/>
      <c r="O158" s="82"/>
      <c r="P158" s="82"/>
      <c r="Q158" s="82"/>
      <c r="R158" s="82"/>
      <c r="S158" s="82"/>
      <c r="T158" s="82"/>
      <c r="U158" s="82"/>
      <c r="V158" s="82"/>
      <c r="W158" s="82"/>
      <c r="X158" s="82"/>
    </row>
    <row r="159" spans="1:24" s="244" customFormat="1">
      <c r="A159" s="44"/>
      <c r="B159" s="44"/>
      <c r="C159" s="43"/>
      <c r="D159" s="44"/>
      <c r="E159" s="44"/>
      <c r="F159" s="44"/>
      <c r="G159" s="44"/>
      <c r="H159" s="44"/>
      <c r="I159" s="44"/>
      <c r="J159" s="44"/>
      <c r="K159" s="44"/>
      <c r="L159" s="252"/>
      <c r="M159" s="252"/>
      <c r="N159" s="252"/>
      <c r="O159" s="252"/>
      <c r="P159" s="252"/>
      <c r="Q159" s="252"/>
      <c r="R159" s="252"/>
      <c r="S159" s="252"/>
      <c r="T159" s="252"/>
      <c r="U159" s="252"/>
      <c r="V159" s="252"/>
      <c r="W159" s="252"/>
      <c r="X159" s="252"/>
    </row>
    <row r="160" spans="1:24">
      <c r="L160" s="82"/>
      <c r="M160" s="82"/>
      <c r="N160" s="82"/>
      <c r="O160" s="82"/>
      <c r="P160" s="82"/>
      <c r="Q160" s="82"/>
      <c r="R160" s="82"/>
      <c r="S160" s="82"/>
      <c r="T160" s="82"/>
      <c r="U160" s="82"/>
      <c r="V160" s="82"/>
      <c r="W160" s="82"/>
      <c r="X160" s="82"/>
    </row>
    <row r="161" spans="1:24">
      <c r="L161" s="82"/>
      <c r="M161" s="82"/>
      <c r="N161" s="82"/>
      <c r="O161" s="82"/>
      <c r="P161" s="82"/>
      <c r="Q161" s="82"/>
      <c r="R161" s="82"/>
      <c r="S161" s="82"/>
      <c r="T161" s="82"/>
      <c r="U161" s="82"/>
      <c r="V161" s="82"/>
      <c r="W161" s="82"/>
      <c r="X161" s="82"/>
    </row>
    <row r="162" spans="1:24">
      <c r="L162" s="82"/>
      <c r="M162" s="82"/>
      <c r="N162" s="82"/>
      <c r="O162" s="82"/>
      <c r="P162" s="82"/>
      <c r="Q162" s="82"/>
      <c r="R162" s="82"/>
      <c r="S162" s="82"/>
      <c r="T162" s="82"/>
      <c r="U162" s="82"/>
      <c r="V162" s="82"/>
      <c r="W162" s="82"/>
      <c r="X162" s="82"/>
    </row>
    <row r="163" spans="1:24">
      <c r="L163" s="82"/>
      <c r="M163" s="82"/>
      <c r="N163" s="82"/>
      <c r="O163" s="82"/>
      <c r="P163" s="82"/>
      <c r="Q163" s="82"/>
      <c r="R163" s="82"/>
      <c r="S163" s="82"/>
      <c r="T163" s="82"/>
      <c r="U163" s="82"/>
      <c r="V163" s="82"/>
      <c r="W163" s="82"/>
      <c r="X163" s="82"/>
    </row>
    <row r="164" spans="1:24">
      <c r="L164" s="82"/>
      <c r="M164" s="82"/>
      <c r="N164" s="82"/>
      <c r="O164" s="82"/>
      <c r="P164" s="82"/>
      <c r="Q164" s="82"/>
      <c r="R164" s="82"/>
      <c r="S164" s="82"/>
      <c r="T164" s="82"/>
      <c r="U164" s="82"/>
      <c r="V164" s="82"/>
      <c r="W164" s="82"/>
      <c r="X164" s="82"/>
    </row>
    <row r="165" spans="1:24">
      <c r="L165" s="82"/>
      <c r="M165" s="82"/>
      <c r="N165" s="82"/>
      <c r="O165" s="82"/>
      <c r="P165" s="82"/>
      <c r="Q165" s="82"/>
      <c r="R165" s="82"/>
      <c r="S165" s="82"/>
      <c r="T165" s="82"/>
      <c r="U165" s="82"/>
      <c r="V165" s="82"/>
      <c r="W165" s="82"/>
      <c r="X165" s="82"/>
    </row>
    <row r="166" spans="1:24">
      <c r="L166" s="82"/>
      <c r="M166" s="82"/>
      <c r="N166" s="82"/>
      <c r="O166" s="82"/>
      <c r="P166" s="82"/>
      <c r="Q166" s="82"/>
      <c r="R166" s="82"/>
      <c r="S166" s="82"/>
      <c r="T166" s="82"/>
      <c r="U166" s="82"/>
      <c r="V166" s="82"/>
      <c r="W166" s="82"/>
      <c r="X166" s="82"/>
    </row>
    <row r="167" spans="1:24">
      <c r="L167" s="82"/>
      <c r="M167" s="82"/>
      <c r="N167" s="82"/>
      <c r="O167" s="82"/>
      <c r="P167" s="82"/>
      <c r="Q167" s="82"/>
      <c r="R167" s="82"/>
      <c r="S167" s="82"/>
      <c r="T167" s="82"/>
      <c r="U167" s="82"/>
      <c r="V167" s="82"/>
      <c r="W167" s="82"/>
      <c r="X167" s="82"/>
    </row>
    <row r="168" spans="1:24">
      <c r="L168" s="82"/>
      <c r="M168" s="82"/>
      <c r="N168" s="82"/>
      <c r="O168" s="82"/>
      <c r="P168" s="82"/>
      <c r="Q168" s="82"/>
      <c r="R168" s="82"/>
      <c r="S168" s="82"/>
      <c r="T168" s="82"/>
      <c r="U168" s="82"/>
      <c r="V168" s="82"/>
      <c r="W168" s="82"/>
      <c r="X168" s="82"/>
    </row>
    <row r="169" spans="1:24">
      <c r="L169" s="82"/>
      <c r="M169" s="82"/>
      <c r="N169" s="82"/>
      <c r="O169" s="82"/>
      <c r="P169" s="82"/>
      <c r="Q169" s="82"/>
      <c r="R169" s="82"/>
      <c r="S169" s="82"/>
      <c r="T169" s="82"/>
      <c r="U169" s="82"/>
      <c r="V169" s="82"/>
      <c r="W169" s="82"/>
      <c r="X169" s="82"/>
    </row>
    <row r="170" spans="1:24">
      <c r="L170" s="82"/>
      <c r="M170" s="82"/>
      <c r="N170" s="82"/>
      <c r="O170" s="82"/>
      <c r="P170" s="82"/>
      <c r="Q170" s="82"/>
      <c r="R170" s="82"/>
      <c r="S170" s="82"/>
      <c r="T170" s="82"/>
      <c r="U170" s="82"/>
      <c r="V170" s="82"/>
      <c r="W170" s="82"/>
      <c r="X170" s="82"/>
    </row>
    <row r="171" spans="1:24">
      <c r="L171" s="82"/>
      <c r="M171" s="82"/>
      <c r="N171" s="82"/>
      <c r="O171" s="82"/>
      <c r="P171" s="82"/>
      <c r="Q171" s="82"/>
      <c r="R171" s="82"/>
      <c r="S171" s="82"/>
      <c r="T171" s="82"/>
      <c r="U171" s="82"/>
      <c r="V171" s="82"/>
      <c r="W171" s="82"/>
      <c r="X171" s="82"/>
    </row>
    <row r="172" spans="1:24">
      <c r="L172" s="82"/>
      <c r="M172" s="82"/>
      <c r="N172" s="82"/>
      <c r="O172" s="82"/>
      <c r="P172" s="82"/>
      <c r="Q172" s="82"/>
      <c r="R172" s="82"/>
      <c r="S172" s="82"/>
      <c r="T172" s="82"/>
      <c r="U172" s="82"/>
      <c r="V172" s="82"/>
      <c r="W172" s="82"/>
      <c r="X172" s="82"/>
    </row>
    <row r="173" spans="1:24">
      <c r="L173" s="82"/>
      <c r="M173" s="82"/>
      <c r="N173" s="82"/>
      <c r="O173" s="82"/>
      <c r="P173" s="82"/>
      <c r="Q173" s="82"/>
      <c r="R173" s="82"/>
      <c r="S173" s="82"/>
      <c r="T173" s="82"/>
      <c r="U173" s="82"/>
      <c r="V173" s="82"/>
      <c r="W173" s="82"/>
      <c r="X173" s="82"/>
    </row>
    <row r="174" spans="1:24">
      <c r="B174" s="66"/>
      <c r="C174" s="66"/>
      <c r="D174" s="66"/>
      <c r="E174" s="66"/>
      <c r="F174" s="66"/>
      <c r="G174" s="66"/>
      <c r="H174" s="66"/>
      <c r="I174" s="66"/>
      <c r="L174" s="82"/>
      <c r="M174" s="82"/>
      <c r="N174" s="82"/>
      <c r="O174" s="82"/>
      <c r="P174" s="82"/>
      <c r="Q174" s="82"/>
      <c r="R174" s="82"/>
      <c r="S174" s="82"/>
      <c r="T174" s="82"/>
      <c r="U174" s="82"/>
      <c r="V174" s="82"/>
      <c r="W174" s="82"/>
      <c r="X174" s="82"/>
    </row>
    <row r="175" spans="1:24">
      <c r="A175" s="66"/>
      <c r="B175" s="66"/>
      <c r="C175" s="66"/>
      <c r="D175" s="66"/>
      <c r="E175" s="66"/>
      <c r="F175" s="66"/>
      <c r="G175" s="66"/>
      <c r="H175" s="66"/>
      <c r="I175" s="66"/>
      <c r="J175" s="66"/>
      <c r="K175" s="66"/>
      <c r="L175" s="82"/>
      <c r="M175" s="82"/>
      <c r="N175" s="82"/>
      <c r="O175" s="82"/>
      <c r="P175" s="82"/>
      <c r="Q175" s="82"/>
      <c r="R175" s="82"/>
      <c r="S175" s="82"/>
      <c r="T175" s="82"/>
      <c r="U175" s="82"/>
      <c r="V175" s="82"/>
      <c r="W175" s="82"/>
      <c r="X175" s="82"/>
    </row>
    <row r="176" spans="1:24">
      <c r="A176" s="66"/>
      <c r="B176" s="66"/>
      <c r="C176" s="66"/>
      <c r="D176" s="66"/>
      <c r="E176" s="66"/>
      <c r="F176" s="66"/>
      <c r="G176" s="66"/>
      <c r="H176" s="66"/>
      <c r="I176" s="66"/>
      <c r="J176" s="66"/>
      <c r="K176" s="66"/>
      <c r="L176" s="82"/>
      <c r="M176" s="82"/>
      <c r="N176" s="82"/>
      <c r="O176" s="82"/>
      <c r="P176" s="82"/>
      <c r="Q176" s="82"/>
      <c r="R176" s="82"/>
      <c r="S176" s="82"/>
      <c r="T176" s="82"/>
      <c r="U176" s="82"/>
      <c r="V176" s="82"/>
      <c r="W176" s="82"/>
      <c r="X176" s="82"/>
    </row>
    <row r="177" spans="1:24">
      <c r="A177" s="66"/>
      <c r="B177" s="66"/>
      <c r="C177" s="66"/>
      <c r="D177" s="66"/>
      <c r="E177" s="66"/>
      <c r="F177" s="66"/>
      <c r="G177" s="66"/>
      <c r="H177" s="66"/>
      <c r="I177" s="66"/>
      <c r="J177" s="66"/>
      <c r="K177" s="66"/>
      <c r="L177" s="82"/>
      <c r="M177" s="82"/>
      <c r="N177" s="82"/>
      <c r="O177" s="82"/>
      <c r="P177" s="82"/>
      <c r="Q177" s="82"/>
      <c r="R177" s="82"/>
      <c r="S177" s="82"/>
      <c r="T177" s="82"/>
      <c r="U177" s="82"/>
      <c r="V177" s="82"/>
      <c r="W177" s="82"/>
      <c r="X177" s="82"/>
    </row>
    <row r="178" spans="1:24">
      <c r="A178" s="66"/>
      <c r="B178" s="66"/>
      <c r="C178" s="66"/>
      <c r="D178" s="66"/>
      <c r="E178" s="66"/>
      <c r="F178" s="66"/>
      <c r="G178" s="66"/>
      <c r="H178" s="66"/>
      <c r="I178" s="66"/>
      <c r="J178" s="66"/>
      <c r="K178" s="66"/>
      <c r="L178" s="82"/>
      <c r="M178" s="82"/>
      <c r="N178" s="82"/>
      <c r="O178" s="82"/>
      <c r="P178" s="82"/>
      <c r="Q178" s="82"/>
      <c r="R178" s="82"/>
      <c r="S178" s="82"/>
      <c r="T178" s="82"/>
      <c r="U178" s="82"/>
      <c r="V178" s="82"/>
      <c r="W178" s="82"/>
      <c r="X178" s="82"/>
    </row>
    <row r="179" spans="1:24">
      <c r="A179" s="66"/>
      <c r="J179" s="66"/>
      <c r="K179" s="66"/>
      <c r="L179" s="82"/>
      <c r="M179" s="82"/>
      <c r="N179" s="82"/>
      <c r="O179" s="82"/>
      <c r="P179" s="82"/>
      <c r="Q179" s="82"/>
      <c r="R179" s="82"/>
      <c r="S179" s="82"/>
      <c r="T179" s="82"/>
      <c r="U179" s="82"/>
      <c r="V179" s="82"/>
      <c r="W179" s="82"/>
      <c r="X179" s="82"/>
    </row>
  </sheetData>
  <mergeCells count="17">
    <mergeCell ref="K2:Q3"/>
    <mergeCell ref="B24:F24"/>
    <mergeCell ref="A1:I1"/>
    <mergeCell ref="A2:I2"/>
    <mergeCell ref="A3:I3"/>
    <mergeCell ref="A4:I4"/>
    <mergeCell ref="H9:I9"/>
    <mergeCell ref="H67:I67"/>
    <mergeCell ref="B72:I72"/>
    <mergeCell ref="B73:I73"/>
    <mergeCell ref="B74:I74"/>
    <mergeCell ref="B75:I75"/>
    <mergeCell ref="B81:I81"/>
    <mergeCell ref="B82:I82"/>
    <mergeCell ref="B76:I76"/>
    <mergeCell ref="B77:I77"/>
    <mergeCell ref="B78:I78"/>
  </mergeCells>
  <pageMargins left="0.7" right="0.7" top="0.75" bottom="0.75" header="0.3" footer="0.3"/>
  <pageSetup scale="90" orientation="portrait" r:id="rId1"/>
  <headerFooter>
    <oddFooter>&amp;R&amp;A</oddFooter>
  </headerFooter>
  <rowBreaks count="1" manualBreakCount="1">
    <brk id="51" max="8" man="1"/>
  </rowBreaks>
  <ignoredErrors>
    <ignoredError sqref="H10:H28 D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79"/>
  <sheetViews>
    <sheetView zoomScaleNormal="100" zoomScaleSheetLayoutView="70" workbookViewId="0">
      <selection sqref="A1:B1"/>
    </sheetView>
  </sheetViews>
  <sheetFormatPr defaultColWidth="9.109375" defaultRowHeight="13.2"/>
  <cols>
    <col min="1" max="1" width="5.88671875" style="597" bestFit="1" customWidth="1"/>
    <col min="2" max="2" width="2.6640625" style="66" customWidth="1"/>
    <col min="3" max="3" width="68.109375" style="66" customWidth="1"/>
    <col min="4" max="4" width="15.6640625" style="66" customWidth="1"/>
    <col min="5" max="5" width="16.6640625" style="66" customWidth="1"/>
    <col min="6" max="7" width="12.44140625" style="66" bestFit="1" customWidth="1"/>
    <col min="8" max="8" width="14.88671875" style="66" customWidth="1"/>
    <col min="9" max="9" width="32.33203125" style="719" bestFit="1" customWidth="1"/>
    <col min="10" max="10" width="18.33203125" style="66" customWidth="1"/>
    <col min="11" max="11" width="18.88671875" style="66" customWidth="1"/>
    <col min="12" max="12" width="16.5546875" style="82" customWidth="1"/>
    <col min="13" max="13" width="15.109375" style="82" customWidth="1"/>
    <col min="14" max="14" width="17.88671875" style="82" customWidth="1"/>
    <col min="15" max="15" width="17.88671875" style="66" customWidth="1"/>
    <col min="16" max="16" width="15.6640625" style="66" customWidth="1"/>
    <col min="17" max="17" width="4.109375" style="66" customWidth="1"/>
    <col min="18" max="18" width="17.88671875" style="66" customWidth="1"/>
    <col min="19" max="19" width="15.6640625" style="66" customWidth="1"/>
    <col min="20" max="20" width="23" style="66" customWidth="1"/>
    <col min="21" max="16384" width="9.109375" style="66"/>
  </cols>
  <sheetData>
    <row r="1" spans="1:14">
      <c r="A1" s="1866" t="str">
        <f>+'MISO Cover'!C6</f>
        <v>Entergy Arkansas, Inc.</v>
      </c>
      <c r="B1" s="1866"/>
      <c r="C1" s="1866"/>
      <c r="D1" s="1866"/>
      <c r="E1" s="1866"/>
      <c r="F1" s="1866"/>
      <c r="G1" s="1866"/>
      <c r="H1" s="1866"/>
      <c r="I1" s="1866"/>
      <c r="J1" s="195"/>
      <c r="K1" s="195"/>
      <c r="L1" s="195"/>
      <c r="M1" s="195"/>
    </row>
    <row r="2" spans="1:14">
      <c r="A2" s="1858" t="s">
        <v>722</v>
      </c>
      <c r="B2" s="1858"/>
      <c r="C2" s="1858"/>
      <c r="D2" s="1858"/>
      <c r="E2" s="1858"/>
      <c r="F2" s="1858"/>
      <c r="G2" s="1858"/>
      <c r="H2" s="1858"/>
      <c r="I2" s="1858"/>
      <c r="J2" s="195"/>
      <c r="K2" s="195"/>
      <c r="L2" s="195"/>
      <c r="M2" s="195"/>
    </row>
    <row r="3" spans="1:14">
      <c r="A3" s="1866" t="str">
        <f>+'MISO Cover'!K4</f>
        <v>For  the 12 Months Ended 12/31/2016</v>
      </c>
      <c r="B3" s="1866"/>
      <c r="C3" s="1866"/>
      <c r="D3" s="1866"/>
      <c r="E3" s="1866"/>
      <c r="F3" s="1866"/>
      <c r="G3" s="1866"/>
      <c r="H3" s="1866"/>
      <c r="I3" s="1866"/>
      <c r="J3" s="195"/>
      <c r="K3" s="195"/>
      <c r="L3" s="195"/>
      <c r="M3" s="195"/>
    </row>
    <row r="4" spans="1:14" ht="1.95" customHeight="1">
      <c r="A4" s="646"/>
      <c r="B4" s="646"/>
      <c r="C4" s="646"/>
      <c r="D4" s="646"/>
      <c r="E4" s="646"/>
      <c r="F4" s="646"/>
      <c r="G4" s="646"/>
      <c r="H4" s="646"/>
      <c r="I4" s="40"/>
      <c r="J4" s="233"/>
      <c r="K4" s="233"/>
      <c r="L4" s="233"/>
      <c r="M4" s="233"/>
    </row>
    <row r="5" spans="1:14" s="244" customFormat="1">
      <c r="A5" s="598" t="s">
        <v>290</v>
      </c>
      <c r="B5" s="244" t="s">
        <v>72</v>
      </c>
      <c r="C5" s="244" t="s">
        <v>119</v>
      </c>
      <c r="D5" s="244" t="s">
        <v>60</v>
      </c>
      <c r="E5" s="244" t="s">
        <v>73</v>
      </c>
      <c r="F5" s="244" t="s">
        <v>71</v>
      </c>
      <c r="G5" s="244" t="s">
        <v>161</v>
      </c>
      <c r="H5" s="244" t="s">
        <v>74</v>
      </c>
      <c r="I5" s="244" t="s">
        <v>174</v>
      </c>
      <c r="J5" s="722"/>
      <c r="L5" s="252"/>
      <c r="M5" s="252"/>
      <c r="N5" s="252"/>
    </row>
    <row r="6" spans="1:14" s="244" customFormat="1">
      <c r="A6" s="598"/>
      <c r="I6" s="719"/>
      <c r="J6" s="722"/>
      <c r="L6" s="252"/>
      <c r="M6" s="252"/>
      <c r="N6" s="252"/>
    </row>
    <row r="7" spans="1:14">
      <c r="A7" s="905">
        <v>1</v>
      </c>
      <c r="B7" s="1556" t="s">
        <v>91</v>
      </c>
      <c r="C7" s="650"/>
      <c r="D7" s="651"/>
      <c r="E7" s="651"/>
      <c r="F7" s="652"/>
      <c r="G7" s="654"/>
      <c r="H7" s="655"/>
      <c r="I7" s="720"/>
      <c r="J7" s="722"/>
      <c r="K7" s="244"/>
      <c r="L7" s="252"/>
      <c r="M7" s="252"/>
    </row>
    <row r="8" spans="1:14">
      <c r="A8" s="906">
        <f>+A7+1</f>
        <v>2</v>
      </c>
      <c r="B8" s="44"/>
      <c r="C8" s="44"/>
      <c r="D8" s="242"/>
      <c r="E8" s="81"/>
      <c r="F8" s="81"/>
      <c r="G8" s="81"/>
      <c r="H8" s="81"/>
    </row>
    <row r="9" spans="1:14" ht="13.2" customHeight="1">
      <c r="A9" s="906">
        <f>+A8+1</f>
        <v>3</v>
      </c>
      <c r="B9" s="647" t="s">
        <v>92</v>
      </c>
      <c r="C9" s="288"/>
      <c r="D9" s="550"/>
      <c r="E9" s="82"/>
      <c r="F9" s="82"/>
      <c r="G9" s="82"/>
      <c r="H9" s="82"/>
      <c r="J9" s="1983"/>
    </row>
    <row r="10" spans="1:14">
      <c r="A10" s="905">
        <f>+A9+1</f>
        <v>4</v>
      </c>
      <c r="C10" s="75" t="s">
        <v>812</v>
      </c>
      <c r="D10" s="282"/>
      <c r="E10" s="82"/>
      <c r="F10" s="82"/>
      <c r="G10" s="82"/>
      <c r="H10" s="82"/>
      <c r="I10" s="234"/>
    </row>
    <row r="11" spans="1:14">
      <c r="A11" s="907">
        <f>+A10+0.1</f>
        <v>4.0999999999999996</v>
      </c>
      <c r="C11" s="599" t="s">
        <v>809</v>
      </c>
      <c r="D11" s="282">
        <f>+'WP10 Storm'!D45</f>
        <v>40496.21</v>
      </c>
      <c r="E11" s="82"/>
      <c r="F11" s="82"/>
      <c r="G11" s="281"/>
      <c r="H11" s="281"/>
      <c r="I11" s="234" t="str">
        <f>+"WP10 Storm Ln "&amp;'WP10 Storm'!A45&amp;" Col. "&amp;'WP10 Storm'!$D$6</f>
        <v>WP10 Storm Ln 8 Col. C</v>
      </c>
    </row>
    <row r="12" spans="1:14">
      <c r="A12" s="907">
        <f>+A11+0.1</f>
        <v>4.1999999999999993</v>
      </c>
      <c r="C12" s="599" t="s">
        <v>780</v>
      </c>
      <c r="D12" s="282">
        <f>'WP AJ1 MISO'!H61</f>
        <v>0</v>
      </c>
      <c r="E12" s="82"/>
      <c r="F12" s="82"/>
      <c r="G12" s="281"/>
      <c r="H12" s="281"/>
      <c r="I12" s="234" t="str">
        <f>+"WP AJ1 MISO Ln "&amp;'WP AJ1 MISO'!A61&amp;" Col. "&amp;'WP AJ1 MISO'!H$8</f>
        <v>WP AJ1 MISO Ln 8 Col. G</v>
      </c>
    </row>
    <row r="13" spans="1:14">
      <c r="A13" s="907">
        <f>+A12+0.1</f>
        <v>4.2999999999999989</v>
      </c>
      <c r="C13" s="599" t="s">
        <v>1171</v>
      </c>
      <c r="D13" s="282">
        <f>-'WP AJ2 ITC'!E47</f>
        <v>0</v>
      </c>
      <c r="E13" s="82"/>
      <c r="F13" s="82"/>
      <c r="G13" s="281"/>
      <c r="H13" s="281"/>
      <c r="I13" s="234" t="str">
        <f>"WP AJ2 ITC Ln "&amp;'WP AJ2 ITC'!A47&amp;" Col. "&amp;'WP AJ2 ITC'!E$6</f>
        <v>WP AJ2 ITC Ln 8 Col. C</v>
      </c>
    </row>
    <row r="14" spans="1:14" s="984" customFormat="1">
      <c r="A14" s="907">
        <f>+A13+0.1</f>
        <v>4.3999999999999986</v>
      </c>
      <c r="B14" s="81"/>
      <c r="C14" s="1388" t="s">
        <v>903</v>
      </c>
      <c r="D14" s="282">
        <v>0</v>
      </c>
      <c r="E14" s="281"/>
      <c r="F14" s="281"/>
      <c r="G14" s="281"/>
      <c r="H14" s="281"/>
      <c r="I14" s="234" t="s">
        <v>902</v>
      </c>
      <c r="J14" s="66"/>
      <c r="L14" s="985"/>
      <c r="M14" s="985"/>
      <c r="N14" s="985"/>
    </row>
    <row r="15" spans="1:14" s="984" customFormat="1">
      <c r="A15" s="1395">
        <f>+A14+0.1</f>
        <v>4.4999999999999982</v>
      </c>
      <c r="B15" s="1396"/>
      <c r="C15" s="1394" t="s">
        <v>969</v>
      </c>
      <c r="D15" s="208"/>
      <c r="E15" s="281"/>
      <c r="F15" s="281"/>
      <c r="G15" s="281"/>
      <c r="H15" s="281"/>
      <c r="I15" s="1393"/>
      <c r="J15" s="66"/>
      <c r="L15" s="985"/>
      <c r="M15" s="985"/>
      <c r="N15" s="985"/>
    </row>
    <row r="16" spans="1:14" s="984" customFormat="1">
      <c r="A16" s="1395" t="s">
        <v>959</v>
      </c>
      <c r="B16" s="1396"/>
      <c r="C16" s="1394" t="s">
        <v>969</v>
      </c>
      <c r="D16" s="208"/>
      <c r="E16" s="281"/>
      <c r="F16" s="281"/>
      <c r="G16" s="281"/>
      <c r="H16" s="281"/>
      <c r="I16" s="1393"/>
      <c r="J16" s="66"/>
      <c r="L16" s="985"/>
      <c r="M16" s="985"/>
      <c r="N16" s="985"/>
    </row>
    <row r="17" spans="1:14" s="984" customFormat="1">
      <c r="A17" s="1395" t="str">
        <f>+A10&amp;".x"</f>
        <v>4.x</v>
      </c>
      <c r="B17" s="1396"/>
      <c r="C17" s="1394" t="s">
        <v>969</v>
      </c>
      <c r="D17" s="277"/>
      <c r="E17" s="281"/>
      <c r="F17" s="281"/>
      <c r="G17" s="281"/>
      <c r="H17" s="281"/>
      <c r="I17" s="1393"/>
      <c r="J17" s="66"/>
      <c r="L17" s="985"/>
      <c r="M17" s="985"/>
      <c r="N17" s="985"/>
    </row>
    <row r="18" spans="1:14">
      <c r="A18" s="905">
        <f>+A10+1</f>
        <v>5</v>
      </c>
      <c r="C18" s="745" t="str">
        <f>+"Total "&amp;+C10</f>
        <v>Total Adjustments to Transmission Wages Expense (1) (2)</v>
      </c>
      <c r="D18" s="282">
        <f>SUM(D11:D17)</f>
        <v>40496.21</v>
      </c>
      <c r="E18" s="281"/>
      <c r="F18" s="281"/>
      <c r="G18" s="281"/>
      <c r="H18" s="281"/>
      <c r="I18" s="1199" t="str">
        <f>+"Sum Ln "&amp;A10&amp;" Subparts"</f>
        <v>Sum Ln 4 Subparts</v>
      </c>
    </row>
    <row r="19" spans="1:14">
      <c r="A19" s="905">
        <f>+A18+1</f>
        <v>6</v>
      </c>
      <c r="C19" s="45"/>
      <c r="D19" s="1032"/>
      <c r="E19" s="281"/>
      <c r="F19" s="281"/>
      <c r="G19" s="281"/>
      <c r="H19" s="281"/>
      <c r="I19" s="234"/>
    </row>
    <row r="20" spans="1:14">
      <c r="A20" s="905">
        <f>+A19+1</f>
        <v>7</v>
      </c>
      <c r="C20" s="75" t="s">
        <v>818</v>
      </c>
      <c r="D20" s="282"/>
      <c r="E20" s="281"/>
      <c r="F20" s="281"/>
      <c r="G20" s="281"/>
      <c r="H20" s="281"/>
      <c r="I20" s="234"/>
    </row>
    <row r="21" spans="1:14">
      <c r="A21" s="907">
        <f>+A20+0.1</f>
        <v>7.1</v>
      </c>
      <c r="C21" s="599" t="s">
        <v>809</v>
      </c>
      <c r="D21" s="282">
        <f>+'WP10 Storm'!D59</f>
        <v>40496.21</v>
      </c>
      <c r="E21" s="281"/>
      <c r="F21" s="281"/>
      <c r="G21" s="281"/>
      <c r="H21" s="281"/>
      <c r="I21" s="234" t="str">
        <f>+"WP10 Storm Ln "&amp;'WP10 Storm'!A59&amp;" Col. "&amp;'WP10 Storm'!$D$6</f>
        <v>WP10 Storm Ln 22 Col. C</v>
      </c>
    </row>
    <row r="22" spans="1:14">
      <c r="A22" s="907">
        <f>+A21+0.1</f>
        <v>7.1999999999999993</v>
      </c>
      <c r="C22" s="599" t="s">
        <v>810</v>
      </c>
      <c r="D22" s="282">
        <f>'WP AJ1 MISO'!H75</f>
        <v>0</v>
      </c>
      <c r="E22" s="281"/>
      <c r="F22" s="281"/>
      <c r="G22" s="281"/>
      <c r="H22" s="281"/>
      <c r="I22" s="234" t="str">
        <f>+"WP AJ1 MISO Ln "&amp;'WP AJ1 MISO'!A75&amp;" Col. "&amp;'WP AJ1 MISO'!H$8</f>
        <v>WP AJ1 MISO Ln 22 Col. G</v>
      </c>
    </row>
    <row r="23" spans="1:14">
      <c r="A23" s="907">
        <f>+A22+0.1</f>
        <v>7.2999999999999989</v>
      </c>
      <c r="C23" s="599" t="s">
        <v>1173</v>
      </c>
      <c r="D23" s="282">
        <f>-'WP AJ2 ITC'!E61</f>
        <v>0</v>
      </c>
      <c r="E23" s="281"/>
      <c r="F23" s="281"/>
      <c r="G23" s="281"/>
      <c r="H23" s="281"/>
      <c r="I23" s="234" t="str">
        <f>"WP AJ2 ITC Ln "&amp;'WP AJ2 ITC'!A61&amp;" Col. "&amp;'WP AJ2 ITC'!E$6</f>
        <v>WP AJ2 ITC Ln 22 Col. C</v>
      </c>
    </row>
    <row r="24" spans="1:14" s="984" customFormat="1">
      <c r="A24" s="907">
        <f>+A23+0.1</f>
        <v>7.3999999999999986</v>
      </c>
      <c r="B24" s="81"/>
      <c r="C24" s="1388" t="s">
        <v>903</v>
      </c>
      <c r="D24" s="282">
        <v>0</v>
      </c>
      <c r="E24" s="281"/>
      <c r="F24" s="281"/>
      <c r="G24" s="281"/>
      <c r="H24" s="281"/>
      <c r="I24" s="234" t="s">
        <v>902</v>
      </c>
      <c r="J24" s="66"/>
      <c r="L24" s="985"/>
      <c r="M24" s="985"/>
      <c r="N24" s="985"/>
    </row>
    <row r="25" spans="1:14" s="984" customFormat="1">
      <c r="A25" s="1395">
        <f>+A24+0.1</f>
        <v>7.4999999999999982</v>
      </c>
      <c r="B25" s="1396"/>
      <c r="C25" s="1394" t="s">
        <v>969</v>
      </c>
      <c r="D25" s="208"/>
      <c r="E25" s="281"/>
      <c r="F25" s="281"/>
      <c r="G25" s="281"/>
      <c r="H25" s="281"/>
      <c r="I25" s="1393"/>
      <c r="J25" s="66"/>
      <c r="L25" s="985"/>
      <c r="M25" s="985"/>
      <c r="N25" s="985"/>
    </row>
    <row r="26" spans="1:14" s="984" customFormat="1">
      <c r="A26" s="1395" t="s">
        <v>959</v>
      </c>
      <c r="B26" s="1396"/>
      <c r="C26" s="1394" t="s">
        <v>969</v>
      </c>
      <c r="D26" s="208"/>
      <c r="E26" s="281"/>
      <c r="F26" s="281"/>
      <c r="G26" s="281"/>
      <c r="H26" s="281"/>
      <c r="I26" s="1393"/>
      <c r="J26" s="66"/>
      <c r="L26" s="985"/>
      <c r="M26" s="985"/>
      <c r="N26" s="985"/>
    </row>
    <row r="27" spans="1:14" s="984" customFormat="1">
      <c r="A27" s="1395" t="str">
        <f>+A20&amp;".x"</f>
        <v>7.x</v>
      </c>
      <c r="B27" s="1396"/>
      <c r="C27" s="1394" t="s">
        <v>969</v>
      </c>
      <c r="D27" s="277"/>
      <c r="E27" s="281"/>
      <c r="F27" s="281"/>
      <c r="G27" s="281"/>
      <c r="H27" s="281"/>
      <c r="I27" s="1393"/>
      <c r="J27" s="66"/>
      <c r="L27" s="985"/>
      <c r="M27" s="985"/>
      <c r="N27" s="985"/>
    </row>
    <row r="28" spans="1:14">
      <c r="A28" s="905">
        <f>+A20+1</f>
        <v>8</v>
      </c>
      <c r="C28" s="745" t="str">
        <f>+"Total "&amp;+C20</f>
        <v>Total Adjustment to Total Wages Expense (1) (2)</v>
      </c>
      <c r="D28" s="282">
        <f>SUM(D21:D27)</f>
        <v>40496.21</v>
      </c>
      <c r="E28" s="281"/>
      <c r="F28" s="281"/>
      <c r="G28" s="281"/>
      <c r="H28" s="281"/>
      <c r="I28" s="1251" t="str">
        <f>+"Sum Ln "&amp;A20&amp;" Subparts"</f>
        <v>Sum Ln 7 Subparts</v>
      </c>
    </row>
    <row r="29" spans="1:14">
      <c r="A29" s="905">
        <f>+A28+1</f>
        <v>9</v>
      </c>
      <c r="D29" s="282"/>
      <c r="E29" s="281"/>
      <c r="F29" s="281"/>
      <c r="G29" s="281"/>
      <c r="H29" s="281"/>
      <c r="I29" s="234"/>
    </row>
    <row r="30" spans="1:14">
      <c r="A30" s="905">
        <f>+A29+1</f>
        <v>10</v>
      </c>
      <c r="C30" s="75" t="s">
        <v>813</v>
      </c>
      <c r="D30" s="282"/>
      <c r="E30" s="281"/>
      <c r="F30" s="281"/>
      <c r="G30" s="281"/>
      <c r="H30" s="281"/>
      <c r="I30" s="234"/>
    </row>
    <row r="31" spans="1:14">
      <c r="A31" s="907">
        <f>+A30+0.1</f>
        <v>10.1</v>
      </c>
      <c r="C31" s="599" t="s">
        <v>809</v>
      </c>
      <c r="D31" s="282">
        <f>+'WP10 Storm'!D58</f>
        <v>0</v>
      </c>
      <c r="E31" s="281"/>
      <c r="F31" s="281"/>
      <c r="G31" s="281"/>
      <c r="H31" s="281"/>
      <c r="I31" s="234" t="str">
        <f>+"WP10 Storm Ln "&amp;'WP10 Storm'!A58&amp;" Col. "&amp;'WP10 Storm'!$D$6</f>
        <v>WP10 Storm Ln 21 Col. C</v>
      </c>
    </row>
    <row r="32" spans="1:14">
      <c r="A32" s="907">
        <f>+A31+0.1</f>
        <v>10.199999999999999</v>
      </c>
      <c r="C32" s="599" t="s">
        <v>810</v>
      </c>
      <c r="D32" s="282">
        <f>'WP AJ1 MISO'!H74</f>
        <v>0</v>
      </c>
      <c r="E32" s="281"/>
      <c r="F32" s="281"/>
      <c r="G32" s="281"/>
      <c r="H32" s="281"/>
      <c r="I32" s="234" t="str">
        <f>+"WP AJ1 MISO Ln "&amp;'WP AJ1 MISO'!A74&amp;" Col. "&amp;'WP AJ1 MISO'!H$8</f>
        <v>WP AJ1 MISO Ln 21 Col. G</v>
      </c>
    </row>
    <row r="33" spans="1:14">
      <c r="A33" s="907">
        <f>+A32+0.1</f>
        <v>10.299999999999999</v>
      </c>
      <c r="C33" s="599" t="s">
        <v>1172</v>
      </c>
      <c r="D33" s="282">
        <f>-'WP AJ2 ITC'!E60</f>
        <v>0</v>
      </c>
      <c r="E33" s="281"/>
      <c r="F33" s="281"/>
      <c r="G33" s="281"/>
      <c r="H33" s="281"/>
      <c r="I33" s="234" t="str">
        <f>"WP AJ2 ITC Ln "&amp;'WP AJ2 ITC'!A60&amp;" Col. "&amp;'WP AJ2 ITC'!E$6</f>
        <v>WP AJ2 ITC Ln 21 Col. C</v>
      </c>
    </row>
    <row r="34" spans="1:14" s="984" customFormat="1">
      <c r="A34" s="907">
        <f>+A33+0.1</f>
        <v>10.399999999999999</v>
      </c>
      <c r="B34" s="81"/>
      <c r="C34" s="1388" t="s">
        <v>903</v>
      </c>
      <c r="D34" s="282">
        <v>0</v>
      </c>
      <c r="E34" s="281"/>
      <c r="F34" s="281"/>
      <c r="G34" s="281"/>
      <c r="H34" s="281"/>
      <c r="I34" s="234" t="s">
        <v>902</v>
      </c>
      <c r="J34" s="66"/>
      <c r="L34" s="985"/>
      <c r="M34" s="985"/>
      <c r="N34" s="985"/>
    </row>
    <row r="35" spans="1:14" s="984" customFormat="1">
      <c r="A35" s="1395">
        <f>+A34+0.1</f>
        <v>10.499999999999998</v>
      </c>
      <c r="B35" s="1396"/>
      <c r="C35" s="1394" t="s">
        <v>969</v>
      </c>
      <c r="D35" s="208"/>
      <c r="E35" s="281"/>
      <c r="F35" s="281"/>
      <c r="G35" s="281"/>
      <c r="H35" s="281"/>
      <c r="I35" s="1393"/>
      <c r="J35" s="66"/>
      <c r="L35" s="985"/>
      <c r="M35" s="985"/>
      <c r="N35" s="985"/>
    </row>
    <row r="36" spans="1:14" s="984" customFormat="1">
      <c r="A36" s="1395" t="s">
        <v>959</v>
      </c>
      <c r="B36" s="1396"/>
      <c r="C36" s="1394" t="s">
        <v>969</v>
      </c>
      <c r="D36" s="208"/>
      <c r="E36" s="281"/>
      <c r="F36" s="281"/>
      <c r="G36" s="281"/>
      <c r="H36" s="281"/>
      <c r="I36" s="1393"/>
      <c r="J36" s="66"/>
      <c r="L36" s="985"/>
      <c r="M36" s="985"/>
      <c r="N36" s="985"/>
    </row>
    <row r="37" spans="1:14" s="984" customFormat="1">
      <c r="A37" s="1395" t="str">
        <f>+A30&amp;".x"</f>
        <v>10.x</v>
      </c>
      <c r="B37" s="1396"/>
      <c r="C37" s="1394" t="s">
        <v>969</v>
      </c>
      <c r="D37" s="277"/>
      <c r="E37" s="281"/>
      <c r="F37" s="281"/>
      <c r="G37" s="281"/>
      <c r="H37" s="281"/>
      <c r="I37" s="1393"/>
      <c r="J37" s="66"/>
      <c r="L37" s="985"/>
      <c r="M37" s="985"/>
      <c r="N37" s="985"/>
    </row>
    <row r="38" spans="1:14">
      <c r="A38" s="905">
        <f>+A30+1</f>
        <v>11</v>
      </c>
      <c r="C38" s="745" t="str">
        <f>+"Total "&amp;+C30</f>
        <v>Total Adjustment to A&amp;G Wages Expense (1) (2)</v>
      </c>
      <c r="D38" s="282">
        <f>SUM(D31:D37)</f>
        <v>0</v>
      </c>
      <c r="E38" s="281"/>
      <c r="F38" s="281"/>
      <c r="G38" s="281"/>
      <c r="H38" s="281"/>
      <c r="I38" s="1251" t="str">
        <f>+"Sum Ln "&amp;A30&amp;" Subparts"</f>
        <v>Sum Ln 10 Subparts</v>
      </c>
    </row>
    <row r="39" spans="1:14">
      <c r="A39" s="905">
        <f>+A38+1</f>
        <v>12</v>
      </c>
      <c r="B39" s="283"/>
      <c r="D39" s="269"/>
      <c r="I39" s="234"/>
    </row>
    <row r="40" spans="1:14">
      <c r="A40" s="905">
        <f>+A39+1</f>
        <v>13</v>
      </c>
      <c r="B40" s="653" t="s">
        <v>112</v>
      </c>
      <c r="C40" s="650"/>
      <c r="D40" s="651"/>
      <c r="E40" s="651"/>
      <c r="F40" s="652"/>
      <c r="G40" s="654"/>
      <c r="H40" s="655"/>
      <c r="I40" s="720"/>
      <c r="K40" s="244"/>
      <c r="L40" s="252"/>
      <c r="M40" s="252"/>
    </row>
    <row r="41" spans="1:14">
      <c r="A41" s="905">
        <f>+A40+1</f>
        <v>14</v>
      </c>
      <c r="B41" s="244" t="s">
        <v>72</v>
      </c>
      <c r="C41" s="244" t="s">
        <v>119</v>
      </c>
      <c r="D41" s="244" t="s">
        <v>60</v>
      </c>
      <c r="E41" s="244" t="s">
        <v>73</v>
      </c>
      <c r="F41" s="244" t="s">
        <v>71</v>
      </c>
      <c r="G41" s="244" t="s">
        <v>161</v>
      </c>
      <c r="H41" s="244" t="s">
        <v>74</v>
      </c>
      <c r="I41" s="244" t="s">
        <v>174</v>
      </c>
    </row>
    <row r="42" spans="1:14" ht="13.2" customHeight="1">
      <c r="A42" s="905">
        <f>+A41+1</f>
        <v>15</v>
      </c>
      <c r="B42" s="75" t="s">
        <v>891</v>
      </c>
      <c r="C42" s="288"/>
      <c r="D42" s="602" t="s">
        <v>551</v>
      </c>
      <c r="E42" s="602" t="s">
        <v>516</v>
      </c>
      <c r="F42" s="602" t="s">
        <v>141</v>
      </c>
      <c r="G42" s="602" t="s">
        <v>164</v>
      </c>
      <c r="H42" s="602" t="s">
        <v>149</v>
      </c>
      <c r="I42" s="721" t="s">
        <v>145</v>
      </c>
    </row>
    <row r="43" spans="1:14">
      <c r="A43" s="905">
        <v>16</v>
      </c>
      <c r="C43" s="86" t="s">
        <v>495</v>
      </c>
      <c r="D43" s="211"/>
      <c r="E43" s="212"/>
      <c r="F43" s="212"/>
      <c r="G43" s="281"/>
      <c r="H43" s="281"/>
    </row>
    <row r="44" spans="1:14">
      <c r="A44" s="907">
        <f t="shared" ref="A44:A51" si="0">+A43+0.1</f>
        <v>16.100000000000001</v>
      </c>
      <c r="B44" s="283"/>
      <c r="C44" s="599" t="s">
        <v>491</v>
      </c>
      <c r="D44" s="282">
        <f>'WP20 Reserves'!Q8</f>
        <v>28462485.733847234</v>
      </c>
      <c r="E44" s="293">
        <f t="shared" ref="E44:E49" si="1">+D44</f>
        <v>28462485.733847234</v>
      </c>
      <c r="F44" s="212"/>
      <c r="G44" s="192"/>
      <c r="H44" s="82"/>
      <c r="I44" s="234" t="str">
        <f>+"WP20 Reserves Ln "&amp;'WP20 Reserves'!A8&amp;" Col. "&amp;'WP20 Reserves'!Q$5</f>
        <v>WP20 Reserves Ln 2.01 Col. P</v>
      </c>
    </row>
    <row r="45" spans="1:14">
      <c r="A45" s="907">
        <f t="shared" si="0"/>
        <v>16.200000000000003</v>
      </c>
      <c r="B45" s="283"/>
      <c r="C45" s="599" t="s">
        <v>657</v>
      </c>
      <c r="D45" s="282">
        <f>'WP20 Reserves'!Q9</f>
        <v>8482394.6453846153</v>
      </c>
      <c r="E45" s="293">
        <f t="shared" si="1"/>
        <v>8482394.6453846153</v>
      </c>
      <c r="F45" s="212"/>
      <c r="G45" s="192"/>
      <c r="H45" s="82"/>
      <c r="I45" s="234" t="str">
        <f>+"WP20 Reserves Ln "&amp;'WP20 Reserves'!A9&amp;" Col. "&amp;'WP20 Reserves'!Q$5</f>
        <v>WP20 Reserves Ln 2.02 Col. P</v>
      </c>
    </row>
    <row r="46" spans="1:14">
      <c r="A46" s="907">
        <f t="shared" si="0"/>
        <v>16.300000000000004</v>
      </c>
      <c r="B46" s="283"/>
      <c r="C46" s="599" t="s">
        <v>492</v>
      </c>
      <c r="D46" s="282">
        <f>'WP20 Reserves'!Q10</f>
        <v>0</v>
      </c>
      <c r="E46" s="293">
        <f t="shared" si="1"/>
        <v>0</v>
      </c>
      <c r="F46" s="212"/>
      <c r="G46" s="192"/>
      <c r="H46" s="82"/>
      <c r="I46" s="234" t="str">
        <f>+"WP20 Reserves Ln "&amp;'WP20 Reserves'!A10&amp;" Col. "&amp;'WP20 Reserves'!Q$5</f>
        <v>WP20 Reserves Ln 2.03 Col. P</v>
      </c>
    </row>
    <row r="47" spans="1:14">
      <c r="A47" s="907">
        <f t="shared" si="0"/>
        <v>16.400000000000006</v>
      </c>
      <c r="B47" s="283"/>
      <c r="C47" s="599" t="s">
        <v>493</v>
      </c>
      <c r="D47" s="282">
        <f>'WP20 Reserves'!Q11</f>
        <v>0</v>
      </c>
      <c r="E47" s="293">
        <f t="shared" si="1"/>
        <v>0</v>
      </c>
      <c r="F47" s="212"/>
      <c r="G47" s="192"/>
      <c r="H47" s="82"/>
      <c r="I47" s="234" t="str">
        <f>+"WP20 Reserves Ln "&amp;'WP20 Reserves'!A11&amp;" Col. "&amp;'WP20 Reserves'!Q$5</f>
        <v>WP20 Reserves Ln 2.04 Col. P</v>
      </c>
    </row>
    <row r="48" spans="1:14">
      <c r="A48" s="907">
        <f t="shared" si="0"/>
        <v>16.500000000000007</v>
      </c>
      <c r="B48" s="283"/>
      <c r="C48" s="599" t="s">
        <v>837</v>
      </c>
      <c r="D48" s="282">
        <f>'WP20 Reserves'!Q12</f>
        <v>0</v>
      </c>
      <c r="E48" s="293">
        <f t="shared" si="1"/>
        <v>0</v>
      </c>
      <c r="F48" s="212"/>
      <c r="G48" s="192"/>
      <c r="H48" s="82"/>
      <c r="I48" s="234" t="str">
        <f>+"WP20 Reserves Ln "&amp;'WP20 Reserves'!A12&amp;" Col. "&amp;'WP20 Reserves'!Q$5</f>
        <v>WP20 Reserves Ln 2.05 Col. P</v>
      </c>
    </row>
    <row r="49" spans="1:15">
      <c r="A49" s="907">
        <f t="shared" si="0"/>
        <v>16.600000000000009</v>
      </c>
      <c r="B49" s="283"/>
      <c r="C49" s="599" t="s">
        <v>513</v>
      </c>
      <c r="D49" s="282">
        <f>'WP20 Reserves'!Q13</f>
        <v>-37954271.732307687</v>
      </c>
      <c r="E49" s="293">
        <f t="shared" si="1"/>
        <v>-37954271.732307687</v>
      </c>
      <c r="F49" s="212"/>
      <c r="G49" s="293"/>
      <c r="H49" s="82"/>
      <c r="I49" s="234" t="str">
        <f>+"WP20 Reserves Ln "&amp;'WP20 Reserves'!A13&amp;" Col. "&amp;'WP20 Reserves'!Q$5</f>
        <v>WP20 Reserves Ln 2.06 Col. P</v>
      </c>
    </row>
    <row r="50" spans="1:15">
      <c r="A50" s="907">
        <f t="shared" si="0"/>
        <v>16.70000000000001</v>
      </c>
      <c r="B50" s="283"/>
      <c r="C50" s="599" t="s">
        <v>494</v>
      </c>
      <c r="D50" s="282">
        <f>'WP20 Reserves'!Q14</f>
        <v>0</v>
      </c>
      <c r="E50" s="192">
        <f>D50</f>
        <v>0</v>
      </c>
      <c r="F50" s="212"/>
      <c r="G50" s="192"/>
      <c r="H50" s="82"/>
      <c r="I50" s="234" t="str">
        <f>+"WP20 Reserves Ln "&amp;'WP20 Reserves'!A14&amp;" Col. "&amp;'WP20 Reserves'!Q$5</f>
        <v>WP20 Reserves Ln 2.07 Col. P</v>
      </c>
    </row>
    <row r="51" spans="1:15" s="984" customFormat="1">
      <c r="A51" s="1395">
        <f t="shared" si="0"/>
        <v>16.800000000000011</v>
      </c>
      <c r="B51" s="1396"/>
      <c r="C51" s="1394" t="s">
        <v>969</v>
      </c>
      <c r="D51" s="208"/>
      <c r="E51" s="1392"/>
      <c r="F51" s="1392"/>
      <c r="G51" s="1392"/>
      <c r="H51" s="1392"/>
      <c r="I51" s="1393"/>
      <c r="J51" s="66"/>
      <c r="L51" s="985"/>
      <c r="M51" s="985"/>
      <c r="N51" s="985"/>
    </row>
    <row r="52" spans="1:15" s="984" customFormat="1">
      <c r="A52" s="1395" t="s">
        <v>959</v>
      </c>
      <c r="B52" s="1396"/>
      <c r="C52" s="1394" t="s">
        <v>969</v>
      </c>
      <c r="D52" s="208"/>
      <c r="E52" s="1392"/>
      <c r="F52" s="1392"/>
      <c r="G52" s="1392"/>
      <c r="H52" s="1392"/>
      <c r="I52" s="1393"/>
      <c r="J52" s="66"/>
      <c r="L52" s="985"/>
      <c r="M52" s="985"/>
      <c r="N52" s="985"/>
    </row>
    <row r="53" spans="1:15" s="984" customFormat="1">
      <c r="A53" s="1395" t="str">
        <f>+A43&amp;".x"</f>
        <v>16.x</v>
      </c>
      <c r="B53" s="1396"/>
      <c r="C53" s="1394" t="s">
        <v>969</v>
      </c>
      <c r="D53" s="277"/>
      <c r="E53" s="1397"/>
      <c r="F53" s="1397"/>
      <c r="G53" s="1397"/>
      <c r="H53" s="1397"/>
      <c r="I53" s="1393"/>
      <c r="J53" s="66"/>
      <c r="L53" s="985"/>
      <c r="M53" s="985"/>
      <c r="N53" s="985"/>
    </row>
    <row r="54" spans="1:15" s="908" customFormat="1">
      <c r="A54" s="1077">
        <f>+A43+1</f>
        <v>17</v>
      </c>
      <c r="B54" s="283"/>
      <c r="C54" s="973" t="str">
        <f>+"2281 Total "&amp;C43</f>
        <v>2281 Total Accumulated Provision for Property Insurance</v>
      </c>
      <c r="D54" s="282">
        <f>SUM(D44:D53)</f>
        <v>-1009391.3530758396</v>
      </c>
      <c r="E54" s="217">
        <f>SUM(E44:E53)</f>
        <v>-1009391.3530758396</v>
      </c>
      <c r="F54" s="217">
        <f>SUM(F44:F53)</f>
        <v>0</v>
      </c>
      <c r="G54" s="217">
        <f>SUM(G44:G53)</f>
        <v>0</v>
      </c>
      <c r="H54" s="217">
        <f>SUM(H44:H53)</f>
        <v>0</v>
      </c>
      <c r="I54" s="1026" t="str">
        <f>+"Sum Ln "&amp;A43&amp;" Subparts"</f>
        <v>Sum Ln 16 Subparts</v>
      </c>
      <c r="J54" s="66"/>
      <c r="L54" s="909"/>
      <c r="M54" s="909"/>
      <c r="N54" s="909"/>
    </row>
    <row r="55" spans="1:15">
      <c r="A55" s="905">
        <f>+A54+1</f>
        <v>18</v>
      </c>
      <c r="C55" s="283" t="s">
        <v>512</v>
      </c>
      <c r="D55" s="213"/>
      <c r="E55" s="82"/>
      <c r="F55" s="212"/>
      <c r="G55" s="192"/>
      <c r="H55" s="82"/>
      <c r="N55" s="281"/>
      <c r="O55" s="81"/>
    </row>
    <row r="56" spans="1:15">
      <c r="A56" s="907">
        <f>+A55+0.1</f>
        <v>18.100000000000001</v>
      </c>
      <c r="B56" s="81"/>
      <c r="C56" s="1398" t="s">
        <v>514</v>
      </c>
      <c r="D56" s="282">
        <f>'WP20 Reserves'!Q15</f>
        <v>-3646701.0376923038</v>
      </c>
      <c r="E56" s="82"/>
      <c r="F56" s="212"/>
      <c r="G56" s="281"/>
      <c r="H56" s="192">
        <f>+D56</f>
        <v>-3646701.0376923038</v>
      </c>
      <c r="I56" s="234" t="str">
        <f>+"WP20 Reserves Ln "&amp;'WP20 Reserves'!A15&amp;" Col. "&amp;'WP20 Reserves'!Q$5</f>
        <v>WP20 Reserves Ln 2.08 Col. P</v>
      </c>
    </row>
    <row r="57" spans="1:15">
      <c r="A57" s="907">
        <f>+A56+0.1</f>
        <v>18.200000000000003</v>
      </c>
      <c r="B57" s="81"/>
      <c r="C57" s="1398" t="s">
        <v>515</v>
      </c>
      <c r="D57" s="282">
        <f>'WP20 Reserves'!Q16</f>
        <v>-755197.79307692393</v>
      </c>
      <c r="E57" s="82"/>
      <c r="F57" s="212"/>
      <c r="G57" s="281"/>
      <c r="H57" s="192">
        <f>+D57</f>
        <v>-755197.79307692393</v>
      </c>
      <c r="I57" s="234" t="str">
        <f>+"WP20 Reserves Ln "&amp;'WP20 Reserves'!A16&amp;" Col. "&amp;'WP20 Reserves'!Q$5</f>
        <v>WP20 Reserves Ln 2.09 Col. P</v>
      </c>
      <c r="N57" s="281"/>
      <c r="O57" s="81"/>
    </row>
    <row r="58" spans="1:15" s="984" customFormat="1">
      <c r="A58" s="1395">
        <f>+A57+0.1</f>
        <v>18.300000000000004</v>
      </c>
      <c r="B58" s="1396"/>
      <c r="C58" s="1394" t="s">
        <v>969</v>
      </c>
      <c r="D58" s="208"/>
      <c r="E58" s="1392"/>
      <c r="F58" s="1392"/>
      <c r="G58" s="1392"/>
      <c r="H58" s="1392"/>
      <c r="I58" s="1393"/>
      <c r="J58" s="66"/>
      <c r="L58" s="985"/>
      <c r="M58" s="985"/>
      <c r="N58" s="985"/>
    </row>
    <row r="59" spans="1:15" s="984" customFormat="1">
      <c r="A59" s="1395" t="s">
        <v>959</v>
      </c>
      <c r="B59" s="1396"/>
      <c r="C59" s="1394" t="s">
        <v>969</v>
      </c>
      <c r="D59" s="208"/>
      <c r="E59" s="1392"/>
      <c r="F59" s="1392"/>
      <c r="G59" s="1392"/>
      <c r="H59" s="1392"/>
      <c r="I59" s="1393"/>
      <c r="J59" s="66"/>
      <c r="L59" s="985"/>
      <c r="M59" s="985"/>
      <c r="N59" s="985"/>
    </row>
    <row r="60" spans="1:15" s="984" customFormat="1">
      <c r="A60" s="1395" t="str">
        <f>+A55&amp;".x"</f>
        <v>18.x</v>
      </c>
      <c r="B60" s="1396"/>
      <c r="C60" s="1394" t="s">
        <v>969</v>
      </c>
      <c r="D60" s="277"/>
      <c r="E60" s="1397"/>
      <c r="F60" s="1397"/>
      <c r="G60" s="1397"/>
      <c r="H60" s="1397"/>
      <c r="I60" s="1393"/>
      <c r="J60" s="66"/>
      <c r="L60" s="985"/>
      <c r="M60" s="985"/>
      <c r="N60" s="985"/>
    </row>
    <row r="61" spans="1:15">
      <c r="A61" s="905">
        <f>+A55+1</f>
        <v>19</v>
      </c>
      <c r="B61" s="81"/>
      <c r="C61" s="974" t="str">
        <f>+"2282 Total "&amp;C55</f>
        <v>2282 Total Accumulated Provision for Injuries and Damages</v>
      </c>
      <c r="D61" s="282">
        <f>SUM(D56:D60)</f>
        <v>-4401898.8307692278</v>
      </c>
      <c r="E61" s="216">
        <f>SUM(E56:E60)</f>
        <v>0</v>
      </c>
      <c r="F61" s="216">
        <f>SUM(F56:F60)</f>
        <v>0</v>
      </c>
      <c r="G61" s="216">
        <f>SUM(G56:G60)</f>
        <v>0</v>
      </c>
      <c r="H61" s="216">
        <f>SUM(H56:H60)</f>
        <v>-4401898.8307692278</v>
      </c>
      <c r="I61" s="1380" t="str">
        <f>+"Sum Ln "&amp;A55&amp;" Subparts"</f>
        <v>Sum Ln 18 Subparts</v>
      </c>
    </row>
    <row r="62" spans="1:15">
      <c r="A62" s="905">
        <f>+A61+1</f>
        <v>20</v>
      </c>
      <c r="C62" s="283" t="s">
        <v>496</v>
      </c>
      <c r="D62" s="220"/>
      <c r="E62" s="82"/>
      <c r="F62" s="212"/>
      <c r="G62" s="281"/>
      <c r="H62" s="82"/>
      <c r="I62" s="234"/>
      <c r="N62" s="281"/>
      <c r="O62" s="81"/>
    </row>
    <row r="63" spans="1:15">
      <c r="A63" s="907">
        <f>+A62+0.1</f>
        <v>20.100000000000001</v>
      </c>
      <c r="B63" s="283"/>
      <c r="C63" s="1398" t="s">
        <v>662</v>
      </c>
      <c r="D63" s="282">
        <f>'WP20 Reserves'!Q17</f>
        <v>-6695296.828461539</v>
      </c>
      <c r="E63" s="82"/>
      <c r="F63" s="212"/>
      <c r="G63" s="281"/>
      <c r="H63" s="192">
        <f>+D63</f>
        <v>-6695296.828461539</v>
      </c>
      <c r="I63" s="234" t="str">
        <f>+"WP20 Reserves Ln 2.10 Col. "&amp;'WP20 Reserves'!Q$5</f>
        <v>WP20 Reserves Ln 2.10 Col. P</v>
      </c>
    </row>
    <row r="64" spans="1:15">
      <c r="A64" s="907">
        <f>+A63+0.1</f>
        <v>20.200000000000003</v>
      </c>
      <c r="B64" s="283"/>
      <c r="C64" s="1398" t="s">
        <v>661</v>
      </c>
      <c r="D64" s="282">
        <f>'WP20 Reserves'!Q18</f>
        <v>-9750125.3053845428</v>
      </c>
      <c r="E64" s="192">
        <f>+D64</f>
        <v>-9750125.3053845428</v>
      </c>
      <c r="F64" s="212"/>
      <c r="G64" s="281"/>
      <c r="H64" s="215"/>
      <c r="I64" s="234" t="str">
        <f>+"WP20 Reserves Ln "&amp;'WP20 Reserves'!A18&amp;" Col. "&amp;'WP20 Reserves'!Q$5</f>
        <v>WP20 Reserves Ln 2.11 Col. P</v>
      </c>
      <c r="N64" s="281"/>
      <c r="O64" s="81"/>
    </row>
    <row r="65" spans="1:15" s="984" customFormat="1">
      <c r="A65" s="1395">
        <f>+A64+0.1</f>
        <v>20.300000000000004</v>
      </c>
      <c r="B65" s="1396"/>
      <c r="C65" s="1394" t="s">
        <v>969</v>
      </c>
      <c r="D65" s="208"/>
      <c r="E65" s="1392"/>
      <c r="F65" s="1392"/>
      <c r="G65" s="1392"/>
      <c r="H65" s="1392"/>
      <c r="I65" s="1393"/>
      <c r="J65" s="66"/>
      <c r="L65" s="985"/>
      <c r="M65" s="985"/>
      <c r="N65" s="985"/>
    </row>
    <row r="66" spans="1:15" s="984" customFormat="1">
      <c r="A66" s="1395" t="s">
        <v>959</v>
      </c>
      <c r="B66" s="1396"/>
      <c r="C66" s="1394" t="s">
        <v>969</v>
      </c>
      <c r="D66" s="208"/>
      <c r="E66" s="1392"/>
      <c r="F66" s="1392"/>
      <c r="G66" s="1392"/>
      <c r="H66" s="1392"/>
      <c r="I66" s="1393"/>
      <c r="J66" s="66"/>
      <c r="L66" s="985"/>
      <c r="M66" s="985"/>
      <c r="N66" s="985"/>
    </row>
    <row r="67" spans="1:15" s="984" customFormat="1">
      <c r="A67" s="1395" t="str">
        <f>+A62&amp;".x"</f>
        <v>20.x</v>
      </c>
      <c r="B67" s="1396"/>
      <c r="C67" s="1394" t="s">
        <v>969</v>
      </c>
      <c r="D67" s="277"/>
      <c r="E67" s="1397"/>
      <c r="F67" s="1397"/>
      <c r="G67" s="1397"/>
      <c r="H67" s="1397"/>
      <c r="I67" s="1393"/>
      <c r="J67" s="66"/>
      <c r="L67" s="985"/>
      <c r="M67" s="985"/>
      <c r="N67" s="985"/>
    </row>
    <row r="68" spans="1:15">
      <c r="A68" s="905">
        <f>+A62+1</f>
        <v>21</v>
      </c>
      <c r="B68" s="283"/>
      <c r="C68" s="974" t="str">
        <f>+"2283 Total "&amp;C62</f>
        <v>2283 Total Accumulated Provision for Pensions and Benefits</v>
      </c>
      <c r="D68" s="282">
        <f>SUM(D63:D67)</f>
        <v>-16445422.133846082</v>
      </c>
      <c r="E68" s="216">
        <f>SUM(E63:E67)</f>
        <v>-9750125.3053845428</v>
      </c>
      <c r="F68" s="216">
        <f>SUM(F63:F67)</f>
        <v>0</v>
      </c>
      <c r="G68" s="216">
        <f>SUM(G63:G67)</f>
        <v>0</v>
      </c>
      <c r="H68" s="216">
        <f>SUM(H63:H67)</f>
        <v>-6695296.828461539</v>
      </c>
      <c r="I68" s="1380" t="str">
        <f>+"Sum Ln "&amp;A62&amp;" Subparts"</f>
        <v>Sum Ln 20 Subparts</v>
      </c>
      <c r="N68" s="281"/>
      <c r="O68" s="81"/>
    </row>
    <row r="69" spans="1:15">
      <c r="A69" s="905">
        <f>+A68+1</f>
        <v>22</v>
      </c>
      <c r="C69" s="283" t="s">
        <v>497</v>
      </c>
      <c r="D69" s="217"/>
      <c r="E69" s="82"/>
      <c r="F69" s="212"/>
      <c r="G69" s="281"/>
      <c r="H69" s="82"/>
      <c r="I69" s="234"/>
    </row>
    <row r="70" spans="1:15">
      <c r="A70" s="907">
        <f>+A69+0.1</f>
        <v>22.1</v>
      </c>
      <c r="B70" s="283"/>
      <c r="C70" s="1398" t="s">
        <v>658</v>
      </c>
      <c r="D70" s="282">
        <f>'WP20 Reserves'!Q19</f>
        <v>-1551799.4823076841</v>
      </c>
      <c r="E70" s="192">
        <f>+D70</f>
        <v>-1551799.4823076841</v>
      </c>
      <c r="F70" s="212"/>
      <c r="G70" s="281"/>
      <c r="H70" s="82"/>
      <c r="I70" s="234" t="str">
        <f>+"WP20 Reserves Ln "&amp;'WP20 Reserves'!A19&amp;" Col. "&amp;'WP20 Reserves'!Q$5</f>
        <v>WP20 Reserves Ln 2.12 Col. P</v>
      </c>
      <c r="N70" s="281"/>
      <c r="O70" s="81"/>
    </row>
    <row r="71" spans="1:15">
      <c r="A71" s="907">
        <f>+A70+0.1</f>
        <v>22.200000000000003</v>
      </c>
      <c r="B71" s="283"/>
      <c r="C71" s="1398" t="s">
        <v>659</v>
      </c>
      <c r="D71" s="282">
        <f>'WP20 Reserves'!Q20</f>
        <v>0</v>
      </c>
      <c r="E71" s="192">
        <f>+D71</f>
        <v>0</v>
      </c>
      <c r="F71" s="212"/>
      <c r="G71" s="281"/>
      <c r="H71" s="82"/>
      <c r="I71" s="234" t="str">
        <f>+"WP20 Reserves Ln "&amp;'WP20 Reserves'!A20&amp;" Col. "&amp;'WP20 Reserves'!Q$5</f>
        <v>WP20 Reserves Ln 2.13 Col. P</v>
      </c>
    </row>
    <row r="72" spans="1:15">
      <c r="A72" s="907">
        <f>+A71+0.1</f>
        <v>22.300000000000004</v>
      </c>
      <c r="B72" s="283"/>
      <c r="C72" s="1398" t="s">
        <v>660</v>
      </c>
      <c r="D72" s="282">
        <f>'WP20 Reserves'!Q21</f>
        <v>0</v>
      </c>
      <c r="E72" s="192">
        <f>+D72</f>
        <v>0</v>
      </c>
      <c r="F72" s="212"/>
      <c r="G72" s="281"/>
      <c r="H72" s="281"/>
      <c r="I72" s="234" t="str">
        <f>+"WP20 Reserves Ln "&amp;'WP20 Reserves'!A21&amp;" Col. "&amp;'WP20 Reserves'!Q$5</f>
        <v>WP20 Reserves Ln 2.14 Col. P</v>
      </c>
      <c r="N72" s="281"/>
      <c r="O72" s="81"/>
    </row>
    <row r="73" spans="1:15">
      <c r="A73" s="907">
        <f>+A72+0.1</f>
        <v>22.400000000000006</v>
      </c>
      <c r="B73" s="283"/>
      <c r="C73" s="1398" t="s">
        <v>664</v>
      </c>
      <c r="D73" s="282">
        <f>'WP20 Reserves'!Q22</f>
        <v>0</v>
      </c>
      <c r="E73" s="192">
        <f>+D73</f>
        <v>0</v>
      </c>
      <c r="F73" s="212"/>
      <c r="G73" s="281"/>
      <c r="H73" s="82"/>
      <c r="I73" s="1379" t="str">
        <f>+"WP20 Reserves Ln "&amp;'WP20 Reserves'!A22&amp;" Col. "&amp;'WP20 Reserves'!Q$5</f>
        <v>WP20 Reserves Ln 2.15 Col. P</v>
      </c>
    </row>
    <row r="74" spans="1:15" s="984" customFormat="1">
      <c r="A74" s="1395">
        <f>+A73+0.1</f>
        <v>22.500000000000007</v>
      </c>
      <c r="B74" s="1396"/>
      <c r="C74" s="1394" t="s">
        <v>969</v>
      </c>
      <c r="D74" s="208"/>
      <c r="E74" s="1392"/>
      <c r="F74" s="1392"/>
      <c r="G74" s="1392"/>
      <c r="H74" s="1392"/>
      <c r="I74" s="1393"/>
      <c r="J74" s="66"/>
      <c r="L74" s="985"/>
      <c r="M74" s="985"/>
      <c r="N74" s="985"/>
    </row>
    <row r="75" spans="1:15" s="984" customFormat="1">
      <c r="A75" s="1395" t="s">
        <v>959</v>
      </c>
      <c r="B75" s="1396"/>
      <c r="C75" s="1394" t="s">
        <v>969</v>
      </c>
      <c r="D75" s="208"/>
      <c r="E75" s="1392"/>
      <c r="F75" s="1392"/>
      <c r="G75" s="1392"/>
      <c r="H75" s="1392"/>
      <c r="I75" s="1393"/>
      <c r="J75" s="66"/>
      <c r="L75" s="985"/>
      <c r="M75" s="985"/>
      <c r="N75" s="985"/>
    </row>
    <row r="76" spans="1:15" s="984" customFormat="1">
      <c r="A76" s="1395" t="str">
        <f>+A69&amp;".x"</f>
        <v>22.x</v>
      </c>
      <c r="B76" s="1396"/>
      <c r="C76" s="1394" t="s">
        <v>969</v>
      </c>
      <c r="D76" s="277"/>
      <c r="E76" s="1397"/>
      <c r="F76" s="1397"/>
      <c r="G76" s="1397"/>
      <c r="H76" s="1397"/>
      <c r="I76" s="1393"/>
      <c r="J76" s="66"/>
      <c r="L76" s="985"/>
      <c r="M76" s="985"/>
      <c r="N76" s="985"/>
    </row>
    <row r="77" spans="1:15">
      <c r="A77" s="905">
        <f>+A69+1</f>
        <v>23</v>
      </c>
      <c r="B77" s="283"/>
      <c r="C77" s="974" t="str">
        <f>+"2284 Total "&amp;C69</f>
        <v>2284 Total Accumulated Miscellaneous Operating Provisions</v>
      </c>
      <c r="D77" s="282">
        <f>SUM(D70:D76)</f>
        <v>-1551799.4823076841</v>
      </c>
      <c r="E77" s="218">
        <f>SUM(E70:E76)</f>
        <v>-1551799.4823076841</v>
      </c>
      <c r="F77" s="218">
        <f>SUM(F70:F76)</f>
        <v>0</v>
      </c>
      <c r="G77" s="218">
        <f>SUM(G70:G76)</f>
        <v>0</v>
      </c>
      <c r="H77" s="218">
        <f>SUM(H70:H76)</f>
        <v>0</v>
      </c>
      <c r="I77" s="1026" t="str">
        <f>+"Sum Ln "&amp;A69&amp;" Subparts"</f>
        <v>Sum Ln 22 Subparts</v>
      </c>
      <c r="N77" s="281"/>
      <c r="O77" s="81"/>
    </row>
    <row r="78" spans="1:15">
      <c r="A78" s="905">
        <f>+A77+1</f>
        <v>24</v>
      </c>
      <c r="B78" s="283"/>
      <c r="I78" s="66"/>
    </row>
    <row r="79" spans="1:15" s="81" customFormat="1">
      <c r="A79" s="905">
        <f>+A78+1</f>
        <v>25</v>
      </c>
      <c r="C79" s="283" t="s">
        <v>890</v>
      </c>
      <c r="D79" s="217"/>
      <c r="E79" s="82"/>
      <c r="F79" s="212"/>
      <c r="G79" s="281"/>
      <c r="H79" s="82"/>
      <c r="I79" s="234"/>
      <c r="J79" s="66"/>
      <c r="K79" s="66"/>
      <c r="L79" s="82"/>
      <c r="M79" s="82"/>
      <c r="N79" s="281"/>
    </row>
    <row r="80" spans="1:15">
      <c r="A80" s="907">
        <f>+A79+0.1</f>
        <v>25.1</v>
      </c>
      <c r="B80" s="81"/>
      <c r="C80" s="1398" t="s">
        <v>663</v>
      </c>
      <c r="D80" s="282">
        <f>-D49</f>
        <v>37954271.732307687</v>
      </c>
      <c r="E80" s="192">
        <f>+D80</f>
        <v>37954271.732307687</v>
      </c>
      <c r="F80" s="212"/>
      <c r="G80" s="192"/>
      <c r="H80" s="281"/>
      <c r="I80" s="719" t="str">
        <f>+"Less Ln "&amp;A49</f>
        <v>Less Ln 16.6</v>
      </c>
      <c r="K80" s="81"/>
      <c r="L80" s="281"/>
      <c r="M80" s="281"/>
    </row>
    <row r="81" spans="1:19">
      <c r="A81" s="907">
        <f>+A80+0.1</f>
        <v>25.200000000000003</v>
      </c>
      <c r="B81" s="81"/>
      <c r="C81" s="1398" t="s">
        <v>1650</v>
      </c>
      <c r="D81" s="1673">
        <f>+'WP21 Pension'!F24</f>
        <v>270242869.69538456</v>
      </c>
      <c r="E81" s="282"/>
      <c r="F81" s="1513"/>
      <c r="G81" s="282"/>
      <c r="H81" s="282">
        <f>+D81</f>
        <v>270242869.69538456</v>
      </c>
      <c r="I81" s="1674" t="str">
        <f>+"WP21 Pension Ln "&amp;'WP21 Pension'!A$24&amp;" Col. "&amp;LEFT('WP21 Pension'!F5,1)</f>
        <v>WP21 Pension Ln 18 Col. F</v>
      </c>
      <c r="J81" s="66" t="s">
        <v>1651</v>
      </c>
      <c r="K81" s="81"/>
      <c r="L81" s="281"/>
      <c r="M81" s="281"/>
    </row>
    <row r="82" spans="1:19">
      <c r="A82" s="907">
        <f>+A81+0.1</f>
        <v>25.300000000000004</v>
      </c>
      <c r="B82" s="81"/>
      <c r="C82" s="1398" t="s">
        <v>1652</v>
      </c>
      <c r="D82" s="1673">
        <f>+'WP21 Pension'!K24</f>
        <v>-2332892.1938461536</v>
      </c>
      <c r="E82" s="282"/>
      <c r="F82" s="1513"/>
      <c r="G82" s="282"/>
      <c r="H82" s="282">
        <f>+D82</f>
        <v>-2332892.1938461536</v>
      </c>
      <c r="I82" s="1674" t="str">
        <f>+"WP21 Pension Ln "&amp;'WP21 Pension'!A$24&amp;" Col. "&amp; LEFT('WP21 Pension'!K5,1)</f>
        <v>WP21 Pension Ln 18 Col. K</v>
      </c>
      <c r="J82" s="66" t="s">
        <v>1651</v>
      </c>
      <c r="K82" s="81"/>
      <c r="L82" s="281"/>
      <c r="M82" s="281"/>
    </row>
    <row r="83" spans="1:19" s="984" customFormat="1">
      <c r="A83" s="1395">
        <f>+A82+0.1</f>
        <v>25.400000000000006</v>
      </c>
      <c r="B83" s="1396"/>
      <c r="C83" s="1394" t="s">
        <v>969</v>
      </c>
      <c r="D83" s="208"/>
      <c r="E83" s="1392"/>
      <c r="F83" s="1392"/>
      <c r="G83" s="1392"/>
      <c r="H83" s="1392"/>
      <c r="I83" s="1393"/>
      <c r="J83" s="66"/>
      <c r="L83" s="985"/>
      <c r="M83" s="985"/>
      <c r="N83" s="985"/>
    </row>
    <row r="84" spans="1:19" s="984" customFormat="1">
      <c r="A84" s="1395" t="s">
        <v>959</v>
      </c>
      <c r="B84" s="1396"/>
      <c r="C84" s="1394" t="s">
        <v>969</v>
      </c>
      <c r="D84" s="208"/>
      <c r="E84" s="1392"/>
      <c r="F84" s="1392"/>
      <c r="G84" s="1392"/>
      <c r="H84" s="1392"/>
      <c r="I84" s="1393"/>
      <c r="J84" s="66"/>
      <c r="L84" s="985"/>
      <c r="M84" s="985"/>
      <c r="N84" s="985"/>
    </row>
    <row r="85" spans="1:19" s="984" customFormat="1">
      <c r="A85" s="1395" t="str">
        <f>+A79&amp;".x"</f>
        <v>25.x</v>
      </c>
      <c r="B85" s="1396"/>
      <c r="C85" s="1394" t="s">
        <v>969</v>
      </c>
      <c r="D85" s="277"/>
      <c r="E85" s="1397"/>
      <c r="F85" s="1397"/>
      <c r="G85" s="1397"/>
      <c r="H85" s="1397"/>
      <c r="I85" s="1393"/>
      <c r="J85" s="66"/>
      <c r="L85" s="985"/>
      <c r="M85" s="985"/>
      <c r="N85" s="985"/>
    </row>
    <row r="86" spans="1:19">
      <c r="A86" s="905">
        <f>+A79+1</f>
        <v>26</v>
      </c>
      <c r="B86" s="283"/>
      <c r="C86" s="974" t="str">
        <f>+"Total "&amp;C79</f>
        <v>Total Associated Balance Sheet Accounts &amp; Regulatory Assets (5)</v>
      </c>
      <c r="D86" s="600">
        <f>SUM(D80:D85)</f>
        <v>305864249.23384607</v>
      </c>
      <c r="E86" s="600">
        <f>SUM(E80:E85)</f>
        <v>37954271.732307687</v>
      </c>
      <c r="F86" s="600">
        <f>SUM(F80:F85)</f>
        <v>0</v>
      </c>
      <c r="G86" s="600">
        <f>SUM(G80:G85)</f>
        <v>0</v>
      </c>
      <c r="H86" s="600">
        <f>SUM(H80:H85)</f>
        <v>267909977.5015384</v>
      </c>
      <c r="I86" s="1078" t="str">
        <f>+"Sum Ln "&amp;A79&amp;" Subparts"</f>
        <v>Sum Ln 25 Subparts</v>
      </c>
    </row>
    <row r="87" spans="1:19" s="85" customFormat="1">
      <c r="A87" s="905">
        <f>+A86+1</f>
        <v>27</v>
      </c>
      <c r="B87" s="283" t="s">
        <v>735</v>
      </c>
      <c r="C87" s="42"/>
      <c r="D87" s="593">
        <f>+D54+D61+D68+D77+D86</f>
        <v>282455737.43384725</v>
      </c>
      <c r="E87" s="593">
        <f>+E54+E61+E68+E77+E86</f>
        <v>25642955.591539621</v>
      </c>
      <c r="F87" s="593">
        <f>+F54+F61+F68+F77+F86</f>
        <v>0</v>
      </c>
      <c r="G87" s="593">
        <f>+G54+G61+G68+G77+G86</f>
        <v>0</v>
      </c>
      <c r="H87" s="593">
        <f>+H54+H61+H68+H77+H86</f>
        <v>256812781.84230763</v>
      </c>
      <c r="I87" s="1026" t="str">
        <f>+"Sum (Ln "&amp;A54&amp;" + "&amp;A61&amp;" + "&amp;A68&amp;" + "&amp;A77&amp;" + "&amp;A86&amp;")"</f>
        <v>Sum (Ln 17 + 19 + 21 + 23 + 26)</v>
      </c>
      <c r="J87" s="66"/>
      <c r="K87" s="66"/>
      <c r="L87" s="82"/>
      <c r="M87" s="82"/>
      <c r="N87" s="595"/>
    </row>
    <row r="88" spans="1:19" s="85" customFormat="1">
      <c r="A88" s="905">
        <f>+A87+1</f>
        <v>28</v>
      </c>
      <c r="B88" s="283"/>
      <c r="C88" s="42"/>
      <c r="D88" s="593"/>
      <c r="E88" s="594"/>
      <c r="F88" s="594"/>
      <c r="G88" s="594"/>
      <c r="H88" s="594"/>
      <c r="I88" s="722"/>
      <c r="L88" s="595"/>
      <c r="M88" s="595"/>
      <c r="N88" s="595"/>
    </row>
    <row r="89" spans="1:19">
      <c r="A89" s="905">
        <f>+A88+1</f>
        <v>29</v>
      </c>
      <c r="B89" s="653" t="s">
        <v>131</v>
      </c>
      <c r="C89" s="650"/>
      <c r="D89" s="651"/>
      <c r="E89" s="651"/>
      <c r="F89" s="652"/>
      <c r="G89" s="654"/>
      <c r="H89" s="655"/>
      <c r="I89" s="720"/>
      <c r="J89" s="85"/>
      <c r="K89" s="85"/>
      <c r="L89" s="595"/>
      <c r="M89" s="595"/>
    </row>
    <row r="90" spans="1:19">
      <c r="A90" s="905">
        <f>+A89+1</f>
        <v>30</v>
      </c>
      <c r="B90" s="244" t="s">
        <v>72</v>
      </c>
      <c r="C90" s="244" t="s">
        <v>119</v>
      </c>
      <c r="D90" s="244" t="s">
        <v>60</v>
      </c>
      <c r="E90" s="244" t="s">
        <v>73</v>
      </c>
      <c r="F90" s="244" t="s">
        <v>71</v>
      </c>
      <c r="G90" s="244" t="s">
        <v>161</v>
      </c>
      <c r="H90" s="244" t="s">
        <v>74</v>
      </c>
      <c r="I90" s="244" t="s">
        <v>174</v>
      </c>
      <c r="J90" s="196"/>
      <c r="K90" s="196"/>
      <c r="L90" s="196"/>
      <c r="O90" s="45"/>
      <c r="P90" s="281"/>
      <c r="R90" s="45"/>
      <c r="S90" s="281"/>
    </row>
    <row r="91" spans="1:19" s="81" customFormat="1">
      <c r="A91" s="905">
        <f>+A90+1</f>
        <v>31</v>
      </c>
      <c r="C91" s="237" t="s">
        <v>814</v>
      </c>
      <c r="D91" s="721" t="s">
        <v>943</v>
      </c>
      <c r="H91" s="82"/>
      <c r="I91" s="196"/>
      <c r="J91" s="45"/>
      <c r="K91" s="45"/>
      <c r="L91" s="45"/>
      <c r="M91" s="45"/>
      <c r="N91" s="281"/>
      <c r="O91" s="281"/>
      <c r="P91" s="281"/>
    </row>
    <row r="92" spans="1:19" s="81" customFormat="1">
      <c r="A92" s="907">
        <f t="shared" ref="A92:A98" si="2">+A91+0.1</f>
        <v>31.1</v>
      </c>
      <c r="C92" s="599" t="s">
        <v>1136</v>
      </c>
      <c r="D92" s="282">
        <f>+'WP10 Storm'!E45</f>
        <v>225345.06999999995</v>
      </c>
      <c r="H92" s="281"/>
      <c r="I92" s="234" t="str">
        <f>+"WP10 Storm Ln "&amp;'WP10 Storm'!A45&amp;" Column "&amp;'WP10 Storm'!E6</f>
        <v xml:space="preserve">WP10 Storm Ln 8 Column D </v>
      </c>
      <c r="J92" s="45"/>
      <c r="K92" s="45"/>
      <c r="L92" s="45"/>
      <c r="M92" s="45"/>
      <c r="N92" s="281"/>
      <c r="O92" s="281"/>
      <c r="P92" s="281"/>
    </row>
    <row r="93" spans="1:19">
      <c r="A93" s="907">
        <f t="shared" si="2"/>
        <v>31.200000000000003</v>
      </c>
      <c r="B93" s="82"/>
      <c r="C93" s="599" t="s">
        <v>810</v>
      </c>
      <c r="D93" s="282">
        <f>+'WP AJ1 MISO'!K61</f>
        <v>-1473886.3499999999</v>
      </c>
      <c r="F93" s="81"/>
      <c r="G93" s="81"/>
      <c r="H93" s="569"/>
      <c r="I93" s="234" t="str">
        <f>+"WP AJ1 MISO Ln "&amp;'WP AJ1 MISO'!A61&amp;" Column "&amp;'WP AJ1 MISO'!K8</f>
        <v>WP AJ1 MISO Ln 8 Column J</v>
      </c>
      <c r="J93" s="45"/>
      <c r="K93" s="45"/>
      <c r="L93" s="45"/>
      <c r="M93" s="45"/>
      <c r="N93" s="281"/>
      <c r="O93" s="281"/>
      <c r="P93" s="281"/>
    </row>
    <row r="94" spans="1:19">
      <c r="A94" s="907">
        <f t="shared" si="2"/>
        <v>31.300000000000004</v>
      </c>
      <c r="B94" s="82"/>
      <c r="C94" s="599" t="s">
        <v>1173</v>
      </c>
      <c r="D94" s="282">
        <f>-'WP AJ2 ITC'!F47</f>
        <v>0</v>
      </c>
      <c r="E94" s="984"/>
      <c r="F94" s="81"/>
      <c r="G94" s="81"/>
      <c r="H94" s="569"/>
      <c r="I94" s="234" t="str">
        <f>"WP AJ2 ITC Ln "&amp;'WP AJ2 ITC'!A47&amp;" Column "&amp;'WP AJ2 ITC'!F6</f>
        <v>WP AJ2 ITC Ln 8 Column D</v>
      </c>
      <c r="J94" s="45"/>
      <c r="K94" s="45"/>
      <c r="L94" s="45"/>
      <c r="M94" s="45"/>
      <c r="N94" s="281"/>
      <c r="O94" s="281"/>
      <c r="P94" s="281"/>
    </row>
    <row r="95" spans="1:19" s="984" customFormat="1">
      <c r="A95" s="907">
        <f t="shared" si="2"/>
        <v>31.400000000000006</v>
      </c>
      <c r="B95" s="985"/>
      <c r="C95" s="1388" t="s">
        <v>903</v>
      </c>
      <c r="D95" s="282">
        <f>-'WP AJ3 HCM'!G38</f>
        <v>-54676.509999999995</v>
      </c>
      <c r="F95" s="81"/>
      <c r="G95" s="81"/>
      <c r="H95" s="986"/>
      <c r="I95" s="1567" t="s">
        <v>1163</v>
      </c>
      <c r="J95" s="1985" t="s">
        <v>1808</v>
      </c>
      <c r="K95" s="1985"/>
      <c r="L95" s="1985"/>
      <c r="M95" s="987"/>
      <c r="N95" s="990"/>
      <c r="O95" s="990"/>
      <c r="P95" s="990"/>
    </row>
    <row r="96" spans="1:19" s="984" customFormat="1">
      <c r="A96" s="907">
        <f t="shared" si="2"/>
        <v>31.500000000000007</v>
      </c>
      <c r="B96" s="985"/>
      <c r="C96" s="1388" t="s">
        <v>933</v>
      </c>
      <c r="D96" s="282">
        <f>-'WP AJ4 Ouachita'!E42</f>
        <v>-3170124</v>
      </c>
      <c r="F96" s="81"/>
      <c r="G96" s="81"/>
      <c r="H96" s="986"/>
      <c r="I96" s="234" t="str">
        <f>+"WP AJ4 Ouachita Ln "&amp;'WP AJ4 Ouachita'!A42&amp;" Column "&amp;'WP AJ4 Ouachita'!E6</f>
        <v>WP AJ4 Ouachita Ln 8 Column D</v>
      </c>
      <c r="J96" s="45"/>
      <c r="K96" s="1611"/>
      <c r="L96" s="990"/>
      <c r="M96" s="987"/>
      <c r="N96" s="990"/>
      <c r="O96" s="990"/>
      <c r="P96" s="990"/>
    </row>
    <row r="97" spans="1:16" s="984" customFormat="1">
      <c r="A97" s="1395">
        <f t="shared" si="2"/>
        <v>31.600000000000009</v>
      </c>
      <c r="B97" s="1396"/>
      <c r="C97" s="1394" t="s">
        <v>1597</v>
      </c>
      <c r="D97" s="208">
        <f>+'Support to WP02'!F40</f>
        <v>0</v>
      </c>
      <c r="E97" s="281"/>
      <c r="F97" s="281"/>
      <c r="G97" s="281"/>
      <c r="H97" s="281"/>
      <c r="I97" s="1628" t="str">
        <f>"Support to WP02 Ln "&amp;'Support to WP02'!A40&amp;" Column "&amp;'Support to WP02'!F6</f>
        <v>Support to WP02 Ln 8 Column D</v>
      </c>
      <c r="J97" s="81" t="s">
        <v>1660</v>
      </c>
      <c r="K97" s="1611"/>
      <c r="L97" s="81" t="s">
        <v>1809</v>
      </c>
      <c r="M97" s="1611"/>
      <c r="N97" s="990"/>
      <c r="O97" s="1611"/>
      <c r="P97" s="1611"/>
    </row>
    <row r="98" spans="1:16" s="984" customFormat="1">
      <c r="A98" s="1395">
        <f t="shared" si="2"/>
        <v>31.70000000000001</v>
      </c>
      <c r="B98" s="1396"/>
      <c r="C98" s="1394" t="s">
        <v>969</v>
      </c>
      <c r="D98" s="208"/>
      <c r="E98" s="281"/>
      <c r="F98" s="281"/>
      <c r="G98" s="281"/>
      <c r="H98" s="281"/>
      <c r="I98" s="1393"/>
      <c r="J98" s="81"/>
      <c r="K98" s="1611"/>
      <c r="L98" s="990"/>
      <c r="M98" s="990"/>
      <c r="N98" s="990"/>
      <c r="O98" s="1611"/>
      <c r="P98" s="1611"/>
    </row>
    <row r="99" spans="1:16" s="984" customFormat="1">
      <c r="A99" s="1395" t="s">
        <v>959</v>
      </c>
      <c r="B99" s="1396"/>
      <c r="C99" s="1394" t="s">
        <v>969</v>
      </c>
      <c r="D99" s="208"/>
      <c r="E99" s="281"/>
      <c r="F99" s="281"/>
      <c r="G99" s="281"/>
      <c r="H99" s="281"/>
      <c r="I99" s="1393"/>
      <c r="J99" s="81"/>
      <c r="K99" s="1611"/>
      <c r="L99" s="990"/>
      <c r="M99" s="990"/>
      <c r="N99" s="990"/>
      <c r="O99" s="1611"/>
      <c r="P99" s="1611"/>
    </row>
    <row r="100" spans="1:16" s="984" customFormat="1">
      <c r="A100" s="1395" t="str">
        <f>+A91&amp;".x"</f>
        <v>31.x</v>
      </c>
      <c r="B100" s="1396"/>
      <c r="C100" s="1394" t="s">
        <v>969</v>
      </c>
      <c r="D100" s="277"/>
      <c r="E100" s="281"/>
      <c r="F100" s="281"/>
      <c r="G100" s="281"/>
      <c r="H100" s="281"/>
      <c r="I100" s="1393"/>
      <c r="J100" s="81"/>
      <c r="K100" s="1611"/>
      <c r="L100" s="990"/>
      <c r="M100" s="990"/>
      <c r="N100" s="990"/>
      <c r="O100" s="1611"/>
      <c r="P100" s="1611"/>
    </row>
    <row r="101" spans="1:16">
      <c r="A101" s="905">
        <f>+A91+1</f>
        <v>32</v>
      </c>
      <c r="B101" s="82"/>
      <c r="C101" s="975" t="s">
        <v>519</v>
      </c>
      <c r="D101" s="282">
        <f>SUM(D92:D100)</f>
        <v>-4473341.79</v>
      </c>
      <c r="E101" s="281"/>
      <c r="F101" s="281"/>
      <c r="G101" s="281"/>
      <c r="H101" s="569"/>
      <c r="I101" s="892" t="str">
        <f>+"Sum Ln "&amp;A91&amp;" Subparts"</f>
        <v>Sum Ln 31 Subparts</v>
      </c>
      <c r="J101" s="45"/>
      <c r="K101" s="45"/>
      <c r="L101" s="45"/>
      <c r="M101" s="45"/>
      <c r="N101" s="281"/>
      <c r="O101" s="281"/>
      <c r="P101" s="281"/>
    </row>
    <row r="102" spans="1:16">
      <c r="A102" s="905">
        <f>+A101+1</f>
        <v>33</v>
      </c>
      <c r="C102" s="81"/>
      <c r="D102" s="81"/>
      <c r="E102" s="281"/>
      <c r="F102" s="281"/>
      <c r="G102" s="281"/>
      <c r="H102" s="281"/>
      <c r="J102" s="45"/>
      <c r="K102" s="45"/>
      <c r="L102" s="45"/>
      <c r="M102" s="281"/>
      <c r="N102" s="281"/>
      <c r="O102" s="81"/>
      <c r="P102" s="81"/>
    </row>
    <row r="103" spans="1:16" s="81" customFormat="1">
      <c r="A103" s="905">
        <f>+A102+1</f>
        <v>34</v>
      </c>
      <c r="C103" s="237" t="s">
        <v>815</v>
      </c>
      <c r="D103" s="236"/>
      <c r="E103" s="281"/>
      <c r="F103" s="281"/>
      <c r="G103" s="281"/>
      <c r="H103" s="281"/>
      <c r="I103" s="234"/>
      <c r="J103" s="45"/>
      <c r="K103" s="45"/>
      <c r="L103" s="45"/>
      <c r="M103" s="45"/>
      <c r="N103" s="281"/>
      <c r="O103" s="281"/>
      <c r="P103" s="281"/>
    </row>
    <row r="104" spans="1:16" s="81" customFormat="1">
      <c r="A104" s="907">
        <f t="shared" ref="A104:A109" si="3">+A103+0.1</f>
        <v>34.1</v>
      </c>
      <c r="C104" s="599" t="s">
        <v>1137</v>
      </c>
      <c r="D104" s="282">
        <f>+'WP10 Storm'!E58</f>
        <v>0</v>
      </c>
      <c r="E104" s="281"/>
      <c r="F104" s="281"/>
      <c r="G104" s="281"/>
      <c r="H104" s="281"/>
      <c r="I104" s="234" t="str">
        <f>+"WP10 Storm Ln "&amp;'WP10 Storm'!A58&amp;" Column "&amp;'WP10 Storm'!E6</f>
        <v xml:space="preserve">WP10 Storm Ln 21 Column D </v>
      </c>
      <c r="J104" s="45"/>
      <c r="K104" s="45"/>
      <c r="L104" s="45"/>
      <c r="M104" s="45"/>
      <c r="N104" s="281"/>
      <c r="O104" s="281"/>
      <c r="P104" s="281"/>
    </row>
    <row r="105" spans="1:16">
      <c r="A105" s="907">
        <f t="shared" si="3"/>
        <v>34.200000000000003</v>
      </c>
      <c r="B105" s="82"/>
      <c r="C105" s="599" t="s">
        <v>810</v>
      </c>
      <c r="D105" s="282">
        <f>+'WP AJ1 MISO'!K74</f>
        <v>-2286812.6300000004</v>
      </c>
      <c r="E105" s="569"/>
      <c r="F105" s="569"/>
      <c r="G105" s="569"/>
      <c r="H105" s="569"/>
      <c r="I105" s="234" t="str">
        <f>+"WP AJ1 MISO Ln "&amp;'WP AJ1 MISO'!A74&amp;" Column "&amp;'WP AJ1 MISO'!K8</f>
        <v>WP AJ1 MISO Ln 21 Column J</v>
      </c>
      <c r="J105" s="45"/>
      <c r="K105" s="45"/>
      <c r="L105" s="45"/>
      <c r="M105" s="45"/>
      <c r="N105" s="281"/>
      <c r="O105" s="281"/>
      <c r="P105" s="281"/>
    </row>
    <row r="106" spans="1:16">
      <c r="A106" s="907">
        <f t="shared" si="3"/>
        <v>34.300000000000004</v>
      </c>
      <c r="B106" s="82"/>
      <c r="C106" s="599" t="s">
        <v>1173</v>
      </c>
      <c r="D106" s="282">
        <f>-'WP AJ2 ITC'!F60</f>
        <v>0</v>
      </c>
      <c r="E106" s="569"/>
      <c r="F106" s="569"/>
      <c r="G106" s="569"/>
      <c r="H106" s="569"/>
      <c r="I106" s="1628" t="str">
        <f>"WP AJ2 ITC Ln "&amp;'WP AJ2 ITC'!A60&amp;" Column "&amp;'WP AJ2 ITC'!F6</f>
        <v>WP AJ2 ITC Ln 21 Column D</v>
      </c>
      <c r="J106" s="45"/>
      <c r="K106" s="45"/>
      <c r="L106" s="45"/>
      <c r="M106" s="45"/>
      <c r="N106" s="281"/>
      <c r="O106" s="281"/>
      <c r="P106" s="281"/>
    </row>
    <row r="107" spans="1:16" s="984" customFormat="1">
      <c r="A107" s="907">
        <f t="shared" si="3"/>
        <v>34.400000000000006</v>
      </c>
      <c r="B107" s="985"/>
      <c r="C107" s="1388" t="s">
        <v>903</v>
      </c>
      <c r="D107" s="282">
        <f>-'WP AJ3 HCM'!G51</f>
        <v>-1940445.03</v>
      </c>
      <c r="E107" s="986"/>
      <c r="F107" s="986"/>
      <c r="G107" s="986"/>
      <c r="H107" s="986"/>
      <c r="I107" s="1567" t="s">
        <v>1177</v>
      </c>
      <c r="J107" s="1986"/>
      <c r="K107" s="1986"/>
      <c r="L107" s="1986"/>
      <c r="M107" s="987"/>
      <c r="N107" s="990"/>
      <c r="O107" s="990"/>
      <c r="P107" s="990"/>
    </row>
    <row r="108" spans="1:16" s="984" customFormat="1">
      <c r="A108" s="1395">
        <f t="shared" si="3"/>
        <v>34.500000000000007</v>
      </c>
      <c r="B108" s="1396"/>
      <c r="C108" s="1394" t="s">
        <v>1833</v>
      </c>
      <c r="D108" s="208">
        <f>-'Support to WP02'!F53</f>
        <v>-2614.5</v>
      </c>
      <c r="E108" s="1804"/>
      <c r="F108" s="1804"/>
      <c r="G108" s="1804"/>
      <c r="H108" s="281"/>
      <c r="I108" s="1393" t="str">
        <f>"Support to WP02 Ln "&amp;'Support to WP02'!A53&amp;" Column "&amp;'Support to WP02'!F6</f>
        <v>Support to WP02 Ln 21 Column D</v>
      </c>
      <c r="J108" s="81" t="s">
        <v>1660</v>
      </c>
      <c r="K108" s="1611"/>
      <c r="L108" s="81" t="s">
        <v>1834</v>
      </c>
      <c r="M108" s="1611"/>
      <c r="N108" s="1986"/>
      <c r="O108" s="1986"/>
      <c r="P108" s="1986"/>
    </row>
    <row r="109" spans="1:16" s="984" customFormat="1">
      <c r="A109" s="1395">
        <f t="shared" si="3"/>
        <v>34.600000000000009</v>
      </c>
      <c r="B109" s="1396"/>
      <c r="C109" s="1394" t="s">
        <v>969</v>
      </c>
      <c r="D109" s="208"/>
      <c r="E109" s="281"/>
      <c r="F109" s="281"/>
      <c r="G109" s="281"/>
      <c r="H109" s="281"/>
      <c r="I109" s="1393"/>
      <c r="J109" s="81"/>
      <c r="K109" s="1611"/>
      <c r="L109" s="990"/>
      <c r="M109" s="990"/>
      <c r="N109" s="990"/>
      <c r="O109" s="1611"/>
      <c r="P109" s="1611"/>
    </row>
    <row r="110" spans="1:16" s="984" customFormat="1">
      <c r="A110" s="1395" t="s">
        <v>959</v>
      </c>
      <c r="B110" s="1396"/>
      <c r="C110" s="1394" t="s">
        <v>969</v>
      </c>
      <c r="D110" s="208"/>
      <c r="E110" s="281"/>
      <c r="F110" s="281"/>
      <c r="G110" s="281"/>
      <c r="H110" s="281"/>
      <c r="I110" s="1393"/>
      <c r="J110" s="81"/>
      <c r="K110" s="1611"/>
      <c r="L110" s="990"/>
      <c r="M110" s="990"/>
      <c r="N110" s="990"/>
      <c r="O110" s="1611"/>
      <c r="P110" s="1611"/>
    </row>
    <row r="111" spans="1:16" s="984" customFormat="1">
      <c r="A111" s="1395" t="str">
        <f>+A103&amp;".x"</f>
        <v>34.x</v>
      </c>
      <c r="B111" s="1396"/>
      <c r="C111" s="1394" t="s">
        <v>969</v>
      </c>
      <c r="D111" s="277"/>
      <c r="E111" s="281"/>
      <c r="F111" s="281"/>
      <c r="G111" s="281"/>
      <c r="H111" s="281"/>
      <c r="I111" s="1393"/>
      <c r="J111" s="81"/>
      <c r="K111" s="1611"/>
      <c r="L111" s="990"/>
      <c r="M111" s="990"/>
      <c r="N111" s="990"/>
      <c r="O111" s="1611"/>
      <c r="P111" s="1611"/>
    </row>
    <row r="112" spans="1:16" ht="15">
      <c r="A112" s="905">
        <f>+A103+1</f>
        <v>35</v>
      </c>
      <c r="B112" s="82"/>
      <c r="C112" s="975" t="s">
        <v>520</v>
      </c>
      <c r="D112" s="282">
        <f>SUM(D104:D111)</f>
        <v>-4229872.16</v>
      </c>
      <c r="E112" s="569"/>
      <c r="F112" s="569"/>
      <c r="G112" s="569"/>
      <c r="H112" s="569"/>
      <c r="I112" s="1017" t="str">
        <f>+"Sum Ln "&amp;A103&amp;" Subparts"</f>
        <v>Sum Ln 34 Subparts</v>
      </c>
      <c r="J112" s="45"/>
      <c r="K112" s="280" t="s">
        <v>1181</v>
      </c>
      <c r="L112" s="45"/>
      <c r="M112" s="45"/>
      <c r="N112" s="281"/>
      <c r="O112" s="281"/>
      <c r="P112" s="281"/>
    </row>
    <row r="113" spans="1:19" ht="13.8">
      <c r="A113" s="905">
        <f>+A112+1</f>
        <v>36</v>
      </c>
      <c r="B113" s="82"/>
      <c r="C113" s="645"/>
      <c r="D113" s="269"/>
      <c r="E113" s="282"/>
      <c r="F113" s="192"/>
      <c r="G113" s="282"/>
      <c r="H113" s="282"/>
      <c r="I113" s="286"/>
      <c r="J113" s="81"/>
      <c r="K113" s="1987" t="s">
        <v>694</v>
      </c>
      <c r="L113" s="45"/>
      <c r="M113" s="281"/>
      <c r="N113" s="281"/>
      <c r="O113" s="81"/>
      <c r="P113" s="81"/>
    </row>
    <row r="114" spans="1:19">
      <c r="A114" s="905">
        <f>+A113+1</f>
        <v>37</v>
      </c>
      <c r="C114" s="167" t="s">
        <v>811</v>
      </c>
      <c r="D114" s="209"/>
      <c r="E114" s="209"/>
      <c r="F114" s="209"/>
      <c r="G114" s="209"/>
      <c r="H114" s="196"/>
      <c r="I114" s="723"/>
      <c r="J114" s="81"/>
      <c r="K114" s="45"/>
      <c r="L114" s="45"/>
      <c r="M114" s="281"/>
      <c r="N114" s="209"/>
      <c r="O114" s="209"/>
      <c r="P114" s="209"/>
      <c r="R114" s="209"/>
      <c r="S114" s="209"/>
    </row>
    <row r="115" spans="1:19" ht="12.75" customHeight="1">
      <c r="A115" s="907">
        <f t="shared" ref="A115:A122" si="4">+A114+0.1</f>
        <v>37.1</v>
      </c>
      <c r="B115" s="82"/>
      <c r="C115" s="1519" t="s">
        <v>518</v>
      </c>
      <c r="D115" s="208">
        <v>1014674</v>
      </c>
      <c r="E115" s="82"/>
      <c r="G115" s="82"/>
      <c r="H115" s="82"/>
      <c r="I115" s="1399" t="s">
        <v>1174</v>
      </c>
      <c r="J115" s="81"/>
      <c r="K115" s="1988"/>
      <c r="L115" s="1988"/>
      <c r="M115" s="209"/>
      <c r="N115" s="281"/>
      <c r="O115" s="45"/>
      <c r="P115" s="281"/>
      <c r="R115" s="45"/>
      <c r="S115" s="281"/>
    </row>
    <row r="116" spans="1:19" ht="12.75" customHeight="1">
      <c r="A116" s="907">
        <f t="shared" si="4"/>
        <v>37.200000000000003</v>
      </c>
      <c r="B116" s="82"/>
      <c r="C116" s="1519" t="s">
        <v>979</v>
      </c>
      <c r="D116" s="208">
        <v>19140</v>
      </c>
      <c r="E116" s="82"/>
      <c r="G116" s="82"/>
      <c r="H116" s="82"/>
      <c r="I116" s="1399" t="s">
        <v>1677</v>
      </c>
      <c r="J116" s="81"/>
      <c r="K116" s="1988"/>
      <c r="L116" s="1988"/>
      <c r="M116" s="45"/>
      <c r="N116" s="281"/>
      <c r="O116" s="45"/>
      <c r="P116" s="281"/>
      <c r="R116" s="45"/>
      <c r="S116" s="281"/>
    </row>
    <row r="117" spans="1:19" ht="12.75" customHeight="1">
      <c r="A117" s="907">
        <f t="shared" si="4"/>
        <v>37.300000000000004</v>
      </c>
      <c r="B117" s="82"/>
      <c r="C117" s="1519" t="s">
        <v>980</v>
      </c>
      <c r="D117" s="208">
        <v>0</v>
      </c>
      <c r="E117" s="82"/>
      <c r="G117" s="82"/>
      <c r="H117" s="82"/>
      <c r="I117" s="1399"/>
      <c r="J117" s="81"/>
      <c r="K117" s="1988"/>
      <c r="L117" s="1988"/>
      <c r="M117" s="45"/>
      <c r="N117" s="281"/>
      <c r="O117" s="45"/>
      <c r="P117" s="281"/>
      <c r="R117" s="45"/>
      <c r="S117" s="281"/>
    </row>
    <row r="118" spans="1:19" ht="12.75" customHeight="1">
      <c r="A118" s="907">
        <f t="shared" si="4"/>
        <v>37.400000000000006</v>
      </c>
      <c r="B118" s="82"/>
      <c r="C118" s="1519" t="s">
        <v>981</v>
      </c>
      <c r="D118" s="208">
        <v>0</v>
      </c>
      <c r="E118" s="82"/>
      <c r="F118" s="82"/>
      <c r="G118" s="82"/>
      <c r="H118" s="82"/>
      <c r="I118" s="1399"/>
      <c r="J118" s="81"/>
      <c r="K118" s="1988"/>
      <c r="L118" s="1988"/>
      <c r="M118" s="281"/>
      <c r="N118" s="281"/>
      <c r="O118" s="81"/>
      <c r="P118" s="81"/>
    </row>
    <row r="119" spans="1:19" s="1601" customFormat="1" ht="12.75" customHeight="1">
      <c r="A119" s="1395">
        <f t="shared" si="4"/>
        <v>37.500000000000007</v>
      </c>
      <c r="B119" s="1600"/>
      <c r="C119" s="1394" t="s">
        <v>1554</v>
      </c>
      <c r="D119" s="208">
        <v>-4606586</v>
      </c>
      <c r="E119" s="281"/>
      <c r="F119" s="281"/>
      <c r="G119" s="281"/>
      <c r="H119" s="281"/>
      <c r="I119" s="1399" t="s">
        <v>1678</v>
      </c>
      <c r="J119" s="81" t="s">
        <v>1680</v>
      </c>
      <c r="K119" s="1988"/>
      <c r="L119" s="1988"/>
      <c r="M119" s="1989"/>
      <c r="N119" s="1989"/>
      <c r="O119" s="1990"/>
      <c r="P119" s="1990"/>
      <c r="Q119" s="1984"/>
      <c r="R119" s="1984"/>
    </row>
    <row r="120" spans="1:19" s="1601" customFormat="1" ht="12.75" customHeight="1">
      <c r="A120" s="1395">
        <f t="shared" si="4"/>
        <v>37.600000000000009</v>
      </c>
      <c r="B120" s="1600"/>
      <c r="C120" s="1394" t="s">
        <v>1676</v>
      </c>
      <c r="D120" s="208">
        <v>-230000</v>
      </c>
      <c r="E120" s="281"/>
      <c r="F120" s="281"/>
      <c r="G120" s="281"/>
      <c r="H120" s="281"/>
      <c r="I120" s="1399" t="s">
        <v>978</v>
      </c>
      <c r="J120" s="81" t="s">
        <v>1680</v>
      </c>
      <c r="K120" s="1988"/>
      <c r="L120" s="1988"/>
      <c r="M120" s="1989"/>
      <c r="N120" s="1989"/>
      <c r="O120" s="1990"/>
      <c r="P120" s="1990"/>
      <c r="Q120" s="1984"/>
      <c r="R120" s="1984"/>
    </row>
    <row r="121" spans="1:19" s="1601" customFormat="1" ht="12.75" customHeight="1">
      <c r="A121" s="1395">
        <f t="shared" si="4"/>
        <v>37.70000000000001</v>
      </c>
      <c r="B121" s="1600"/>
      <c r="C121" s="1394" t="s">
        <v>1697</v>
      </c>
      <c r="D121" s="208">
        <v>79557</v>
      </c>
      <c r="E121" s="281"/>
      <c r="F121" s="281"/>
      <c r="G121" s="281"/>
      <c r="H121" s="281"/>
      <c r="I121" s="1399" t="s">
        <v>1679</v>
      </c>
      <c r="J121" s="81" t="s">
        <v>1680</v>
      </c>
      <c r="K121" s="1988"/>
      <c r="L121" s="1988"/>
      <c r="M121" s="1989"/>
      <c r="N121" s="1989"/>
      <c r="O121" s="1990"/>
      <c r="P121" s="1990"/>
      <c r="Q121" s="1984"/>
      <c r="R121" s="1984"/>
    </row>
    <row r="122" spans="1:19" s="984" customFormat="1" ht="12.75" customHeight="1">
      <c r="A122" s="1395">
        <f t="shared" si="4"/>
        <v>37.800000000000011</v>
      </c>
      <c r="B122" s="1396"/>
      <c r="C122" s="1394" t="s">
        <v>969</v>
      </c>
      <c r="D122" s="208"/>
      <c r="E122" s="281"/>
      <c r="F122" s="281"/>
      <c r="G122" s="281"/>
      <c r="H122" s="281"/>
      <c r="I122" s="1393"/>
      <c r="J122" s="81" t="s">
        <v>1680</v>
      </c>
      <c r="K122" s="1988"/>
      <c r="L122" s="1988"/>
      <c r="M122" s="990"/>
      <c r="N122" s="990"/>
      <c r="O122" s="1611"/>
      <c r="P122" s="1611"/>
    </row>
    <row r="123" spans="1:19" s="984" customFormat="1" ht="12.75" customHeight="1">
      <c r="A123" s="1395" t="s">
        <v>959</v>
      </c>
      <c r="B123" s="1396"/>
      <c r="C123" s="1394" t="s">
        <v>969</v>
      </c>
      <c r="D123" s="208"/>
      <c r="E123" s="281"/>
      <c r="F123" s="281"/>
      <c r="G123" s="281"/>
      <c r="H123" s="281"/>
      <c r="I123" s="1393"/>
      <c r="J123" s="81"/>
      <c r="K123" s="1988"/>
      <c r="L123" s="1988"/>
      <c r="M123" s="990"/>
      <c r="N123" s="990"/>
      <c r="O123" s="1611"/>
      <c r="P123" s="1611"/>
    </row>
    <row r="124" spans="1:19" s="984" customFormat="1" ht="12.75" customHeight="1">
      <c r="A124" s="1395" t="str">
        <f>+A114&amp;".x"</f>
        <v>37.x</v>
      </c>
      <c r="B124" s="1396"/>
      <c r="C124" s="1394" t="s">
        <v>969</v>
      </c>
      <c r="D124" s="277"/>
      <c r="E124" s="281"/>
      <c r="F124" s="281"/>
      <c r="G124" s="281"/>
      <c r="H124" s="281"/>
      <c r="I124" s="1393"/>
      <c r="J124" s="81"/>
      <c r="K124" s="1988"/>
      <c r="L124" s="1988"/>
      <c r="M124" s="990"/>
      <c r="N124" s="990"/>
      <c r="O124" s="1611"/>
      <c r="P124" s="1611"/>
    </row>
    <row r="125" spans="1:19" ht="13.2" customHeight="1">
      <c r="A125" s="905">
        <f>+A114+1</f>
        <v>38</v>
      </c>
      <c r="B125" s="82"/>
      <c r="C125" s="976" t="str">
        <f>+"Total "&amp;C114</f>
        <v>Total 9302 Miscellaneous General Expenses Adjustments (3)</v>
      </c>
      <c r="D125" s="215">
        <f>SUM(D115:D124)</f>
        <v>-3723215</v>
      </c>
      <c r="E125" s="281"/>
      <c r="F125" s="281"/>
      <c r="G125" s="281"/>
      <c r="H125" s="281"/>
      <c r="I125" s="1017" t="str">
        <f>+"Sum Ln "&amp;A114&amp;" Subparts"</f>
        <v>Sum Ln 37 Subparts</v>
      </c>
      <c r="J125" s="81"/>
      <c r="K125" s="1988"/>
      <c r="L125" s="1988"/>
      <c r="M125" s="281"/>
      <c r="N125" s="281"/>
      <c r="O125" s="81"/>
      <c r="P125" s="81"/>
    </row>
    <row r="126" spans="1:19" ht="12.75" customHeight="1">
      <c r="A126" s="905">
        <f>+A125+1</f>
        <v>39</v>
      </c>
      <c r="B126" s="82"/>
      <c r="C126" s="82"/>
      <c r="D126" s="82"/>
      <c r="E126" s="82"/>
      <c r="F126" s="82"/>
      <c r="G126" s="82"/>
      <c r="H126" s="82"/>
      <c r="I126" s="235"/>
      <c r="J126" s="81"/>
      <c r="K126" s="1988"/>
      <c r="L126" s="281"/>
      <c r="M126" s="281"/>
      <c r="N126" s="281"/>
      <c r="O126" s="281"/>
      <c r="P126" s="281"/>
    </row>
    <row r="127" spans="1:19" ht="12.75" customHeight="1">
      <c r="A127" s="905">
        <f>+A126+1</f>
        <v>40</v>
      </c>
      <c r="B127" s="283" t="s">
        <v>79</v>
      </c>
      <c r="C127" s="81"/>
      <c r="H127" s="550"/>
      <c r="I127" s="168"/>
      <c r="J127" s="81"/>
      <c r="K127" s="1988"/>
      <c r="L127" s="192"/>
      <c r="M127" s="281"/>
      <c r="N127" s="281"/>
      <c r="O127" s="81"/>
      <c r="P127" s="81"/>
    </row>
    <row r="128" spans="1:19" ht="12.75" customHeight="1">
      <c r="A128" s="905">
        <f>+A127+1</f>
        <v>41</v>
      </c>
      <c r="B128" s="283"/>
      <c r="C128" s="746" t="s">
        <v>541</v>
      </c>
      <c r="H128" s="550"/>
      <c r="I128" s="168"/>
      <c r="J128" s="81"/>
      <c r="K128" s="1988"/>
      <c r="L128" s="192"/>
      <c r="M128" s="281"/>
      <c r="N128" s="281"/>
      <c r="O128" s="81"/>
      <c r="P128" s="81"/>
    </row>
    <row r="129" spans="1:16" ht="12.75" customHeight="1">
      <c r="A129" s="907">
        <f>+A128+0.1</f>
        <v>41.1</v>
      </c>
      <c r="B129" s="283"/>
      <c r="C129" s="644" t="s">
        <v>1512</v>
      </c>
      <c r="D129" s="208">
        <v>0</v>
      </c>
      <c r="H129" s="550"/>
      <c r="I129" s="1399" t="s">
        <v>840</v>
      </c>
      <c r="J129" s="81"/>
      <c r="K129" s="1988"/>
      <c r="L129" s="192"/>
      <c r="M129" s="281"/>
      <c r="N129" s="281"/>
      <c r="O129" s="81"/>
      <c r="P129" s="81"/>
    </row>
    <row r="130" spans="1:16" ht="12.75" customHeight="1">
      <c r="A130" s="907">
        <f>+A129+0.1</f>
        <v>41.2</v>
      </c>
      <c r="B130" s="283"/>
      <c r="C130" s="659" t="s">
        <v>1766</v>
      </c>
      <c r="D130" s="208">
        <v>10238</v>
      </c>
      <c r="H130" s="550"/>
      <c r="I130" s="1399" t="s">
        <v>599</v>
      </c>
      <c r="J130" s="81"/>
      <c r="K130" s="1988"/>
      <c r="L130" s="192"/>
      <c r="M130" s="281"/>
      <c r="N130" s="281"/>
      <c r="O130" s="81"/>
      <c r="P130" s="81"/>
    </row>
    <row r="131" spans="1:16" s="984" customFormat="1" ht="12.75" customHeight="1">
      <c r="A131" s="1395">
        <f>+A130+0.1</f>
        <v>41.300000000000004</v>
      </c>
      <c r="B131" s="1396"/>
      <c r="C131" s="1394" t="s">
        <v>969</v>
      </c>
      <c r="D131" s="208"/>
      <c r="E131" s="281"/>
      <c r="F131" s="281"/>
      <c r="G131" s="281"/>
      <c r="H131" s="281"/>
      <c r="I131" s="1393"/>
      <c r="J131" s="81"/>
      <c r="K131" s="1988"/>
      <c r="L131" s="990"/>
      <c r="M131" s="990"/>
      <c r="N131" s="990"/>
      <c r="O131" s="1611"/>
      <c r="P131" s="1611"/>
    </row>
    <row r="132" spans="1:16" s="984" customFormat="1" ht="12.75" customHeight="1">
      <c r="A132" s="1395" t="s">
        <v>959</v>
      </c>
      <c r="B132" s="1396"/>
      <c r="C132" s="1394" t="s">
        <v>969</v>
      </c>
      <c r="D132" s="208"/>
      <c r="E132" s="281"/>
      <c r="F132" s="281"/>
      <c r="G132" s="281"/>
      <c r="H132" s="281"/>
      <c r="I132" s="1393"/>
      <c r="J132" s="81"/>
      <c r="K132" s="1988"/>
      <c r="L132" s="990"/>
      <c r="M132" s="990"/>
      <c r="N132" s="990"/>
      <c r="O132" s="1611"/>
      <c r="P132" s="1611"/>
    </row>
    <row r="133" spans="1:16" s="984" customFormat="1" ht="12.75" customHeight="1">
      <c r="A133" s="1395" t="str">
        <f>+A128&amp;".x"</f>
        <v>41.x</v>
      </c>
      <c r="B133" s="1396"/>
      <c r="C133" s="1394" t="s">
        <v>969</v>
      </c>
      <c r="D133" s="277"/>
      <c r="E133" s="281"/>
      <c r="F133" s="281"/>
      <c r="G133" s="281"/>
      <c r="H133" s="281"/>
      <c r="I133" s="1393"/>
      <c r="J133" s="81"/>
      <c r="K133" s="1988"/>
      <c r="L133" s="990"/>
      <c r="M133" s="990"/>
      <c r="N133" s="990"/>
      <c r="O133" s="1611"/>
      <c r="P133" s="1611"/>
    </row>
    <row r="134" spans="1:16">
      <c r="A134" s="905">
        <f>+A128+1</f>
        <v>42</v>
      </c>
      <c r="B134" s="283"/>
      <c r="C134" s="977" t="str">
        <f>+"Total  "&amp;C128</f>
        <v>Total  Regulatory Commission Expense Account 928</v>
      </c>
      <c r="D134" s="169">
        <f>SUM(D129:D133)</f>
        <v>10238</v>
      </c>
      <c r="E134" s="82"/>
      <c r="F134" s="82"/>
      <c r="G134" s="82"/>
      <c r="H134" s="550"/>
      <c r="I134" s="1017" t="str">
        <f>+"Sum Ln "&amp;A128&amp;" Subparts"</f>
        <v>Sum Ln 41 Subparts</v>
      </c>
      <c r="J134" s="81"/>
      <c r="K134" s="81"/>
      <c r="L134" s="192"/>
      <c r="M134" s="281"/>
      <c r="N134" s="281"/>
      <c r="O134" s="81"/>
      <c r="P134" s="81"/>
    </row>
    <row r="135" spans="1:16">
      <c r="A135" s="905">
        <f>+A134+1</f>
        <v>43</v>
      </c>
      <c r="B135" s="82"/>
      <c r="C135" s="660"/>
      <c r="D135" s="169"/>
      <c r="E135" s="269"/>
      <c r="F135" s="550"/>
      <c r="G135" s="282"/>
      <c r="H135" s="282"/>
      <c r="I135" s="286"/>
      <c r="J135" s="81"/>
      <c r="K135" s="81"/>
      <c r="L135" s="281"/>
      <c r="M135" s="281"/>
      <c r="N135" s="281"/>
      <c r="O135" s="81"/>
      <c r="P135" s="81"/>
    </row>
    <row r="136" spans="1:16">
      <c r="A136" s="905">
        <f>+A135+1</f>
        <v>44</v>
      </c>
      <c r="B136" s="653" t="s">
        <v>330</v>
      </c>
      <c r="C136" s="650"/>
      <c r="D136" s="651"/>
      <c r="E136" s="651"/>
      <c r="F136" s="652"/>
      <c r="G136" s="654"/>
      <c r="H136" s="655"/>
      <c r="I136" s="725"/>
      <c r="J136" s="81"/>
      <c r="K136" s="43"/>
      <c r="L136" s="43"/>
      <c r="M136" s="43"/>
      <c r="N136" s="281"/>
      <c r="O136" s="81"/>
      <c r="P136" s="81"/>
    </row>
    <row r="137" spans="1:16" s="44" customFormat="1" ht="13.2" customHeight="1">
      <c r="A137" s="905">
        <f>+A136+1</f>
        <v>45</v>
      </c>
      <c r="B137" s="244" t="s">
        <v>72</v>
      </c>
      <c r="C137" s="244" t="s">
        <v>119</v>
      </c>
      <c r="D137" s="244" t="s">
        <v>60</v>
      </c>
      <c r="E137" s="244" t="s">
        <v>73</v>
      </c>
      <c r="F137" s="244" t="s">
        <v>71</v>
      </c>
      <c r="G137" s="244" t="s">
        <v>161</v>
      </c>
      <c r="H137" s="244" t="s">
        <v>74</v>
      </c>
      <c r="I137" s="244" t="s">
        <v>174</v>
      </c>
      <c r="J137" s="81"/>
      <c r="K137" s="43"/>
      <c r="L137" s="43"/>
      <c r="M137" s="43"/>
      <c r="N137" s="43"/>
      <c r="O137" s="43"/>
      <c r="P137" s="43"/>
    </row>
    <row r="138" spans="1:16" s="44" customFormat="1" ht="13.95" customHeight="1">
      <c r="A138" s="905">
        <f>+A137+1</f>
        <v>46</v>
      </c>
      <c r="B138" s="595" t="s">
        <v>1622</v>
      </c>
      <c r="C138" s="660"/>
      <c r="D138" s="169"/>
      <c r="E138" s="269"/>
      <c r="F138" s="550"/>
      <c r="G138" s="282"/>
      <c r="H138" s="282"/>
      <c r="I138" s="286"/>
      <c r="J138" s="81" t="s">
        <v>1549</v>
      </c>
      <c r="K138" s="81"/>
      <c r="L138" s="281"/>
      <c r="M138" s="281"/>
      <c r="N138" s="43"/>
      <c r="O138" s="43"/>
      <c r="P138" s="43"/>
    </row>
    <row r="139" spans="1:16">
      <c r="A139" s="905">
        <f>+A138+1</f>
        <v>47</v>
      </c>
      <c r="B139" s="82"/>
      <c r="C139" s="285" t="s">
        <v>816</v>
      </c>
      <c r="D139" s="293"/>
      <c r="E139" s="269"/>
      <c r="F139" s="550"/>
      <c r="G139" s="282"/>
      <c r="H139" s="282"/>
      <c r="I139" s="81"/>
      <c r="J139" s="81"/>
      <c r="K139" s="81"/>
      <c r="L139" s="281"/>
      <c r="M139" s="281"/>
      <c r="N139" s="281"/>
      <c r="O139" s="81"/>
      <c r="P139" s="81"/>
    </row>
    <row r="140" spans="1:16">
      <c r="A140" s="907">
        <f t="shared" ref="A140:A145" si="5">+A139+0.1</f>
        <v>47.1</v>
      </c>
      <c r="B140" s="82"/>
      <c r="C140" s="599" t="s">
        <v>809</v>
      </c>
      <c r="D140" s="282">
        <f>+'WP10 Storm'!E50</f>
        <v>0</v>
      </c>
      <c r="E140" s="269"/>
      <c r="F140" s="550"/>
      <c r="G140" s="282"/>
      <c r="H140" s="282"/>
      <c r="I140" s="234" t="str">
        <f>+"WP10 Storm Ln "&amp;'WP10 Storm'!A50&amp;" Column "&amp;'WP10 Storm'!E6</f>
        <v xml:space="preserve">WP10 Storm Ln 13 Column D </v>
      </c>
      <c r="J140" s="81"/>
      <c r="K140" s="81"/>
      <c r="L140" s="281"/>
      <c r="M140" s="281"/>
      <c r="N140" s="281"/>
      <c r="O140" s="81"/>
      <c r="P140" s="81"/>
    </row>
    <row r="141" spans="1:16">
      <c r="A141" s="907">
        <f t="shared" si="5"/>
        <v>47.2</v>
      </c>
      <c r="B141" s="82"/>
      <c r="C141" s="599" t="s">
        <v>810</v>
      </c>
      <c r="D141" s="282">
        <f>+'WP AJ1 MISO'!K66</f>
        <v>-73011.569999999992</v>
      </c>
      <c r="E141" s="269"/>
      <c r="F141" s="550"/>
      <c r="G141" s="282"/>
      <c r="H141" s="282"/>
      <c r="I141" s="234" t="str">
        <f>+"WP AJ1 MISO Ln "&amp;'WP AJ1 MISO'!A66&amp;" Column "&amp;'WP AJ1 MISO'!K8</f>
        <v>WP AJ1 MISO Ln 13 Column J</v>
      </c>
      <c r="J141" s="81"/>
      <c r="K141" s="81"/>
      <c r="L141" s="281"/>
      <c r="M141" s="281"/>
      <c r="N141" s="281"/>
      <c r="O141" s="81"/>
      <c r="P141" s="81"/>
    </row>
    <row r="142" spans="1:16">
      <c r="A142" s="907">
        <f t="shared" si="5"/>
        <v>47.300000000000004</v>
      </c>
      <c r="B142" s="82"/>
      <c r="C142" s="599" t="s">
        <v>1173</v>
      </c>
      <c r="D142" s="282">
        <f>-'WP AJ2 ITC'!F52</f>
        <v>0</v>
      </c>
      <c r="E142" s="269"/>
      <c r="F142" s="550"/>
      <c r="G142" s="282"/>
      <c r="H142" s="282"/>
      <c r="I142" s="234" t="str">
        <f>"WP AJ2 ITC Ln "&amp;'WP AJ2 ITC'!A52&amp;" Column "&amp;'WP AJ2 ITC'!F6</f>
        <v>WP AJ2 ITC Ln 13 Column D</v>
      </c>
      <c r="J142" s="81"/>
      <c r="K142" s="81"/>
      <c r="L142" s="281"/>
      <c r="M142" s="281"/>
      <c r="N142" s="281"/>
      <c r="O142" s="81"/>
      <c r="P142" s="81"/>
    </row>
    <row r="143" spans="1:16" s="984" customFormat="1">
      <c r="A143" s="907">
        <f t="shared" si="5"/>
        <v>47.400000000000006</v>
      </c>
      <c r="B143" s="985"/>
      <c r="C143" s="1388" t="s">
        <v>903</v>
      </c>
      <c r="D143" s="282">
        <f>+'WP AJ3 HCM'!G43</f>
        <v>0</v>
      </c>
      <c r="E143" s="767"/>
      <c r="F143" s="988"/>
      <c r="G143" s="989"/>
      <c r="H143" s="989"/>
      <c r="I143" s="1567" t="s">
        <v>1164</v>
      </c>
      <c r="J143" s="1985" t="s">
        <v>1808</v>
      </c>
      <c r="K143" s="1985"/>
      <c r="L143" s="1985"/>
      <c r="M143" s="990"/>
      <c r="N143" s="990"/>
      <c r="O143" s="1611"/>
      <c r="P143" s="1611"/>
    </row>
    <row r="144" spans="1:16" s="1611" customFormat="1">
      <c r="A144" s="907">
        <f t="shared" si="5"/>
        <v>47.500000000000007</v>
      </c>
      <c r="B144" s="1599"/>
      <c r="C144" s="599" t="s">
        <v>1550</v>
      </c>
      <c r="D144" s="282">
        <f>+'WP AJ5 GPRD'!E25</f>
        <v>114581.53333333334</v>
      </c>
      <c r="E144" s="281"/>
      <c r="F144" s="281"/>
      <c r="G144" s="281"/>
      <c r="H144" s="281"/>
      <c r="I144" s="1628" t="str">
        <f>+"WP AJ5 GPRD Ln "&amp;'WP AJ5 GPRD'!A25&amp;" Column "&amp;LEFT('WP AJ5 GPRD'!E5,1)</f>
        <v>WP AJ5 GPRD Ln 2 Column D</v>
      </c>
      <c r="J144" s="81" t="s">
        <v>1543</v>
      </c>
      <c r="L144" s="990"/>
      <c r="M144" s="990"/>
      <c r="N144" s="990"/>
    </row>
    <row r="145" spans="1:16" s="984" customFormat="1">
      <c r="A145" s="1395">
        <f t="shared" si="5"/>
        <v>47.600000000000009</v>
      </c>
      <c r="B145" s="1396"/>
      <c r="C145" s="1394" t="s">
        <v>969</v>
      </c>
      <c r="D145" s="208"/>
      <c r="E145" s="281"/>
      <c r="F145" s="281"/>
      <c r="G145" s="281"/>
      <c r="H145" s="281"/>
      <c r="I145" s="1393"/>
      <c r="J145" s="81"/>
      <c r="K145" s="1611"/>
      <c r="L145" s="990"/>
      <c r="M145" s="990"/>
      <c r="N145" s="990"/>
      <c r="O145" s="1611"/>
      <c r="P145" s="1611"/>
    </row>
    <row r="146" spans="1:16" s="984" customFormat="1">
      <c r="A146" s="1395" t="s">
        <v>959</v>
      </c>
      <c r="B146" s="1396"/>
      <c r="C146" s="1394" t="s">
        <v>969</v>
      </c>
      <c r="D146" s="208"/>
      <c r="E146" s="281"/>
      <c r="F146" s="281"/>
      <c r="G146" s="281"/>
      <c r="H146" s="281"/>
      <c r="I146" s="1393"/>
      <c r="J146" s="81"/>
      <c r="K146" s="1611"/>
      <c r="L146" s="990"/>
      <c r="M146" s="990"/>
      <c r="N146" s="990"/>
      <c r="O146" s="1611"/>
      <c r="P146" s="1611"/>
    </row>
    <row r="147" spans="1:16" s="984" customFormat="1">
      <c r="A147" s="1395" t="str">
        <f>+A139&amp;".x"</f>
        <v>47.x</v>
      </c>
      <c r="B147" s="1396"/>
      <c r="C147" s="1394" t="s">
        <v>969</v>
      </c>
      <c r="D147" s="277"/>
      <c r="E147" s="281"/>
      <c r="F147" s="281"/>
      <c r="G147" s="281"/>
      <c r="H147" s="281"/>
      <c r="I147" s="1393"/>
      <c r="J147" s="81"/>
      <c r="K147" s="1611"/>
      <c r="L147" s="990"/>
      <c r="M147" s="990"/>
      <c r="N147" s="990"/>
      <c r="O147" s="1611"/>
      <c r="P147" s="1611"/>
    </row>
    <row r="148" spans="1:16">
      <c r="A148" s="905">
        <f>+A139+1</f>
        <v>48</v>
      </c>
      <c r="B148" s="82"/>
      <c r="C148" s="975" t="s">
        <v>521</v>
      </c>
      <c r="D148" s="282">
        <f>SUM(D140:D147)</f>
        <v>41569.963333333348</v>
      </c>
      <c r="E148" s="550"/>
      <c r="F148" s="550"/>
      <c r="G148" s="282"/>
      <c r="H148" s="282"/>
      <c r="I148" s="1023" t="str">
        <f>+"Sum Ln "&amp;A139&amp;" Subparts"</f>
        <v>Sum Ln 47 Subparts</v>
      </c>
      <c r="J148" s="81"/>
      <c r="K148" s="81"/>
      <c r="L148" s="281"/>
      <c r="M148" s="281"/>
      <c r="N148" s="281"/>
      <c r="O148" s="81"/>
      <c r="P148" s="81"/>
    </row>
    <row r="149" spans="1:16">
      <c r="A149" s="905">
        <f>+A148+1</f>
        <v>49</v>
      </c>
      <c r="B149" s="82"/>
      <c r="C149" s="286"/>
      <c r="D149" s="293"/>
      <c r="E149" s="269"/>
      <c r="F149" s="550"/>
      <c r="G149" s="282"/>
      <c r="H149" s="282"/>
      <c r="I149" s="286"/>
      <c r="J149" s="81"/>
      <c r="K149" s="81"/>
      <c r="L149" s="281"/>
      <c r="M149" s="281"/>
      <c r="N149" s="281"/>
      <c r="O149" s="81"/>
      <c r="P149" s="81"/>
    </row>
    <row r="150" spans="1:16">
      <c r="A150" s="905">
        <f>+A149+1</f>
        <v>50</v>
      </c>
      <c r="B150" s="653" t="s">
        <v>44</v>
      </c>
      <c r="C150" s="650"/>
      <c r="D150" s="651"/>
      <c r="E150" s="651"/>
      <c r="F150" s="652"/>
      <c r="G150" s="654"/>
      <c r="H150" s="655"/>
      <c r="I150" s="720"/>
      <c r="J150" s="81"/>
      <c r="K150" s="281"/>
      <c r="L150" s="281"/>
      <c r="M150" s="281"/>
      <c r="N150" s="281"/>
      <c r="O150" s="81"/>
      <c r="P150" s="81"/>
    </row>
    <row r="151" spans="1:16">
      <c r="A151" s="905">
        <f>+A150+1</f>
        <v>51</v>
      </c>
      <c r="B151" s="46"/>
      <c r="C151" s="676"/>
      <c r="D151" s="197"/>
      <c r="E151" s="197"/>
      <c r="F151" s="677"/>
      <c r="G151" s="45"/>
      <c r="H151" s="587"/>
      <c r="I151" s="727"/>
      <c r="J151" s="81"/>
      <c r="K151" s="281"/>
      <c r="L151" s="281"/>
      <c r="M151" s="281"/>
      <c r="N151" s="281"/>
      <c r="O151" s="281"/>
      <c r="P151" s="281"/>
    </row>
    <row r="152" spans="1:16">
      <c r="A152" s="905">
        <f>+A151+1</f>
        <v>52</v>
      </c>
      <c r="B152" s="46"/>
      <c r="C152" s="237" t="s">
        <v>817</v>
      </c>
      <c r="D152" s="281"/>
      <c r="E152" s="197"/>
      <c r="F152" s="677"/>
      <c r="G152" s="45"/>
      <c r="H152" s="587"/>
      <c r="I152" s="81"/>
      <c r="J152" s="81"/>
      <c r="K152" s="281"/>
      <c r="L152" s="281"/>
      <c r="M152" s="281"/>
      <c r="N152" s="281"/>
      <c r="O152" s="281"/>
      <c r="P152" s="281"/>
    </row>
    <row r="153" spans="1:16">
      <c r="A153" s="907">
        <f>+A152+0.1</f>
        <v>52.1</v>
      </c>
      <c r="B153" s="46"/>
      <c r="C153" s="599" t="s">
        <v>809</v>
      </c>
      <c r="D153" s="282">
        <f>+'WP10 Storm'!E51</f>
        <v>0</v>
      </c>
      <c r="E153" s="197"/>
      <c r="F153" s="677"/>
      <c r="G153" s="45"/>
      <c r="H153" s="587"/>
      <c r="I153" s="234" t="str">
        <f>+"WP10 Storm Ln "&amp;'WP10 Storm'!A51&amp;" Column "&amp;'WP10 Storm'!E6</f>
        <v xml:space="preserve">WP10 Storm Ln 14 Column D </v>
      </c>
      <c r="J153" s="81"/>
      <c r="K153" s="281"/>
      <c r="L153" s="281"/>
      <c r="M153" s="281"/>
      <c r="N153" s="281"/>
      <c r="O153" s="281"/>
      <c r="P153" s="281"/>
    </row>
    <row r="154" spans="1:16">
      <c r="A154" s="907">
        <f>+A153+0.1</f>
        <v>52.2</v>
      </c>
      <c r="B154" s="46"/>
      <c r="C154" s="599" t="s">
        <v>810</v>
      </c>
      <c r="D154" s="282">
        <f>+'WP AJ1 MISO'!K67</f>
        <v>-41994.080000000002</v>
      </c>
      <c r="E154" s="197"/>
      <c r="F154" s="677"/>
      <c r="G154" s="45"/>
      <c r="H154" s="587"/>
      <c r="I154" s="234" t="str">
        <f>+"WP AJ1 MISO Ln "&amp;'WP AJ1 MISO'!A67&amp;" Column "&amp;'WP AJ1 MISO'!K8</f>
        <v>WP AJ1 MISO Ln 14 Column J</v>
      </c>
      <c r="J154" s="81"/>
      <c r="K154" s="281"/>
      <c r="L154" s="281"/>
      <c r="M154" s="281"/>
      <c r="N154" s="281"/>
      <c r="O154" s="281"/>
      <c r="P154" s="281"/>
    </row>
    <row r="155" spans="1:16">
      <c r="A155" s="907">
        <f>+A154+0.1</f>
        <v>52.300000000000004</v>
      </c>
      <c r="B155" s="46"/>
      <c r="C155" s="599" t="s">
        <v>1173</v>
      </c>
      <c r="D155" s="282">
        <f>-'WP AJ2 ITC'!F53</f>
        <v>0</v>
      </c>
      <c r="E155" s="197"/>
      <c r="F155" s="677"/>
      <c r="G155" s="45"/>
      <c r="H155" s="587"/>
      <c r="I155" s="234" t="str">
        <f>"WP AJ2 ITC Ln "&amp;'WP AJ2 ITC'!A53&amp;" Column "&amp;'WP AJ2 ITC'!F6</f>
        <v>WP AJ2 ITC Ln 14 Column D</v>
      </c>
      <c r="J155" s="81"/>
      <c r="K155" s="281"/>
      <c r="L155" s="281"/>
      <c r="M155" s="281"/>
      <c r="N155" s="281"/>
      <c r="O155" s="281"/>
      <c r="P155" s="281"/>
    </row>
    <row r="156" spans="1:16" s="984" customFormat="1">
      <c r="A156" s="907">
        <f>+A155+0.1</f>
        <v>52.400000000000006</v>
      </c>
      <c r="B156" s="991"/>
      <c r="C156" s="1388" t="s">
        <v>903</v>
      </c>
      <c r="D156" s="282">
        <f>-'WP AJ3 HCM'!G44</f>
        <v>-119461.81</v>
      </c>
      <c r="E156" s="992"/>
      <c r="F156" s="993"/>
      <c r="G156" s="987"/>
      <c r="H156" s="994"/>
      <c r="I156" s="1567" t="s">
        <v>1165</v>
      </c>
      <c r="J156" s="1985" t="s">
        <v>1808</v>
      </c>
      <c r="K156" s="1985"/>
      <c r="L156" s="1985"/>
      <c r="M156" s="990"/>
      <c r="N156" s="990"/>
      <c r="O156" s="990"/>
      <c r="P156" s="990"/>
    </row>
    <row r="157" spans="1:16" s="984" customFormat="1">
      <c r="A157" s="1395">
        <f>+A156+0.1</f>
        <v>52.500000000000007</v>
      </c>
      <c r="B157" s="1396"/>
      <c r="C157" s="1394" t="s">
        <v>969</v>
      </c>
      <c r="D157" s="208"/>
      <c r="E157" s="281"/>
      <c r="F157" s="281"/>
      <c r="G157" s="281"/>
      <c r="H157" s="281"/>
      <c r="I157" s="1393"/>
      <c r="J157" s="81"/>
      <c r="K157" s="1611"/>
      <c r="L157" s="990"/>
      <c r="M157" s="990"/>
      <c r="N157" s="990"/>
      <c r="O157" s="1611"/>
      <c r="P157" s="1611"/>
    </row>
    <row r="158" spans="1:16" s="984" customFormat="1">
      <c r="A158" s="1395" t="s">
        <v>959</v>
      </c>
      <c r="B158" s="1396"/>
      <c r="C158" s="1394" t="s">
        <v>969</v>
      </c>
      <c r="D158" s="208"/>
      <c r="E158" s="281"/>
      <c r="F158" s="281"/>
      <c r="G158" s="281"/>
      <c r="H158" s="281"/>
      <c r="I158" s="1393"/>
      <c r="J158" s="81"/>
      <c r="K158" s="1611"/>
      <c r="L158" s="990"/>
      <c r="M158" s="990"/>
      <c r="N158" s="990"/>
      <c r="O158" s="1611"/>
      <c r="P158" s="1611"/>
    </row>
    <row r="159" spans="1:16" s="984" customFormat="1">
      <c r="A159" s="1395" t="str">
        <f>+A152&amp;".x"</f>
        <v>52.x</v>
      </c>
      <c r="B159" s="1396"/>
      <c r="C159" s="1394" t="s">
        <v>969</v>
      </c>
      <c r="D159" s="277"/>
      <c r="E159" s="281"/>
      <c r="F159" s="281"/>
      <c r="G159" s="281"/>
      <c r="H159" s="281"/>
      <c r="I159" s="1393"/>
      <c r="J159" s="81"/>
      <c r="K159" s="1611"/>
      <c r="L159" s="990"/>
      <c r="M159" s="990"/>
      <c r="N159" s="990"/>
      <c r="O159" s="1611"/>
      <c r="P159" s="1611"/>
    </row>
    <row r="160" spans="1:16">
      <c r="A160" s="905">
        <f>+A152+1</f>
        <v>53</v>
      </c>
      <c r="B160" s="46"/>
      <c r="C160" s="975" t="s">
        <v>580</v>
      </c>
      <c r="D160" s="282">
        <f>SUM(D153:D159)</f>
        <v>-161455.89000000001</v>
      </c>
      <c r="E160" s="197"/>
      <c r="F160" s="677"/>
      <c r="G160" s="45"/>
      <c r="H160" s="587"/>
      <c r="I160" s="1023" t="str">
        <f>+"Sum Ln "&amp;A152&amp;" Subparts"</f>
        <v>Sum Ln 52 Subparts</v>
      </c>
      <c r="J160" s="81"/>
      <c r="K160" s="281"/>
      <c r="L160" s="281"/>
      <c r="M160" s="281"/>
      <c r="N160" s="281"/>
      <c r="O160" s="281"/>
      <c r="P160" s="281"/>
    </row>
    <row r="161" spans="1:17">
      <c r="A161" s="905">
        <f>+A160+1</f>
        <v>54</v>
      </c>
      <c r="B161" s="46"/>
      <c r="C161" s="676"/>
      <c r="D161" s="197"/>
      <c r="E161" s="197"/>
      <c r="F161" s="677"/>
      <c r="G161" s="45"/>
      <c r="H161" s="587"/>
      <c r="I161" s="727"/>
      <c r="J161" s="81"/>
      <c r="K161" s="281"/>
      <c r="L161" s="281"/>
      <c r="M161" s="281"/>
      <c r="N161" s="281"/>
      <c r="O161" s="281"/>
      <c r="P161" s="281"/>
    </row>
    <row r="162" spans="1:17">
      <c r="A162" s="905">
        <f>+A161+1</f>
        <v>55</v>
      </c>
      <c r="B162" s="653" t="s">
        <v>517</v>
      </c>
      <c r="C162" s="650"/>
      <c r="D162" s="651"/>
      <c r="E162" s="651"/>
      <c r="F162" s="652"/>
      <c r="G162" s="654"/>
      <c r="H162" s="655"/>
      <c r="I162" s="720"/>
      <c r="J162" s="81"/>
      <c r="K162" s="624"/>
      <c r="L162" s="294"/>
      <c r="M162" s="569"/>
      <c r="N162" s="281"/>
      <c r="O162" s="81"/>
      <c r="P162" s="81"/>
    </row>
    <row r="163" spans="1:17">
      <c r="A163" s="905">
        <f>+A162+1</f>
        <v>56</v>
      </c>
      <c r="D163" s="736" t="s">
        <v>1115</v>
      </c>
      <c r="E163" s="284"/>
      <c r="F163" s="736" t="s">
        <v>337</v>
      </c>
      <c r="J163" s="81"/>
      <c r="K163" s="624"/>
      <c r="L163" s="294"/>
      <c r="M163" s="569"/>
      <c r="N163" s="281"/>
      <c r="O163" s="81"/>
      <c r="P163" s="81"/>
    </row>
    <row r="164" spans="1:17" ht="15">
      <c r="A164" s="905">
        <f>+A163+1</f>
        <v>57</v>
      </c>
      <c r="C164" s="647" t="s">
        <v>82</v>
      </c>
      <c r="D164" s="565" t="s">
        <v>551</v>
      </c>
      <c r="E164" s="284"/>
      <c r="F164" s="565" t="s">
        <v>171</v>
      </c>
      <c r="G164" s="289"/>
      <c r="H164" s="281"/>
      <c r="I164" s="281"/>
      <c r="J164" s="81"/>
      <c r="K164" s="624"/>
      <c r="L164" s="294"/>
      <c r="M164" s="569"/>
      <c r="N164" s="281"/>
      <c r="O164" s="81"/>
      <c r="P164" s="81"/>
    </row>
    <row r="165" spans="1:17">
      <c r="A165" s="907">
        <f>+A164+0.1</f>
        <v>57.1</v>
      </c>
      <c r="B165" s="287"/>
      <c r="C165" s="645" t="s">
        <v>479</v>
      </c>
      <c r="D165" s="282">
        <f>+'WP04 PIS'!H23</f>
        <v>49809642.523076922</v>
      </c>
      <c r="E165" s="592"/>
      <c r="F165" s="282">
        <f>+'WP04 PIS'!H21</f>
        <v>51961998.030000001</v>
      </c>
      <c r="G165" s="564"/>
      <c r="H165" s="282"/>
      <c r="I165" s="168" t="str">
        <f>+"WP04 PIS Ln "&amp;'WP04 PIS'!A23&amp;" &amp; Ln "&amp;'WP04 PIS'!A21&amp;" Col "&amp;'WP04 PIS'!H5</f>
        <v>WP04 PIS Ln 18 &amp; Ln 16 Col G</v>
      </c>
      <c r="J165" s="81"/>
      <c r="K165" s="624"/>
      <c r="L165" s="294"/>
      <c r="M165" s="569"/>
      <c r="N165" s="281"/>
      <c r="O165" s="81"/>
      <c r="P165" s="81"/>
    </row>
    <row r="166" spans="1:17">
      <c r="A166" s="907">
        <f>+A165+0.1</f>
        <v>57.2</v>
      </c>
      <c r="B166" s="287"/>
      <c r="C166" s="645" t="s">
        <v>274</v>
      </c>
      <c r="D166" s="282">
        <f>+'WP04 PIS'!I23</f>
        <v>16247514.409999998</v>
      </c>
      <c r="E166" s="592"/>
      <c r="F166" s="282">
        <f>+'WP04 PIS'!I21</f>
        <v>16247514.41</v>
      </c>
      <c r="G166" s="564"/>
      <c r="H166" s="282"/>
      <c r="I166" s="168" t="str">
        <f>+"WP04 PIS Ln "&amp;'WP04 PIS'!A23&amp;" &amp; Ln "&amp;'WP04 PIS'!A21&amp;" Col "&amp;'WP04 PIS'!I5</f>
        <v>WP04 PIS Ln 18 &amp; Ln 16 Col H</v>
      </c>
      <c r="J166" s="624"/>
      <c r="K166" s="81"/>
      <c r="L166" s="281"/>
      <c r="M166" s="281"/>
      <c r="N166" s="281"/>
      <c r="O166" s="81"/>
      <c r="P166" s="81"/>
    </row>
    <row r="167" spans="1:17" s="81" customFormat="1">
      <c r="A167" s="907">
        <f>+A166+0.1</f>
        <v>57.300000000000004</v>
      </c>
      <c r="B167" s="287"/>
      <c r="C167" s="645" t="s">
        <v>1125</v>
      </c>
      <c r="D167" s="282">
        <f>+'WP15 Radials'!G8</f>
        <v>20325329</v>
      </c>
      <c r="E167" s="1000"/>
      <c r="F167" s="282">
        <f>+'WP15 Radials'!F8</f>
        <v>22012510.170000002</v>
      </c>
      <c r="G167" s="564"/>
      <c r="H167" s="282"/>
      <c r="I167" s="168" t="str">
        <f>+"WP15 Radials Ln"&amp;'WP15 Radials'!A8&amp;" Col "&amp;'WP15 Radials'!G5&amp;" &amp; "&amp;'WP15 Radials'!F5</f>
        <v>WP15 Radials Ln3 Col F &amp; E</v>
      </c>
      <c r="K167" s="45"/>
      <c r="L167" s="45"/>
      <c r="M167" s="45"/>
      <c r="N167" s="281"/>
      <c r="O167" s="281"/>
      <c r="P167" s="281"/>
    </row>
    <row r="168" spans="1:17">
      <c r="A168" s="907">
        <f>+A167+0.1</f>
        <v>57.400000000000006</v>
      </c>
      <c r="B168" s="287"/>
      <c r="C168" s="645" t="s">
        <v>278</v>
      </c>
      <c r="D168" s="590">
        <f>+'WP16 Interconn'!P25</f>
        <v>24470451.310000002</v>
      </c>
      <c r="E168" s="592"/>
      <c r="F168" s="590">
        <f>+'WP16 Interconn'!O25</f>
        <v>24470451.309999995</v>
      </c>
      <c r="G168" s="564"/>
      <c r="H168" s="282"/>
      <c r="I168" s="168" t="str">
        <f>+"WP16 Interconn Ln "&amp;'WP16 Interconn'!A25&amp;" Col "&amp;'WP16 Interconn'!P5&amp;" &amp; "&amp;'WP16 Interconn'!O5</f>
        <v>WP16 Interconn Ln 7 Col O &amp; N</v>
      </c>
      <c r="J168" s="282"/>
      <c r="K168" s="45"/>
      <c r="L168" s="45"/>
      <c r="M168" s="45"/>
      <c r="N168" s="281"/>
      <c r="O168" s="281"/>
      <c r="P168" s="281"/>
    </row>
    <row r="169" spans="1:17">
      <c r="A169" s="905">
        <f>+A164+1</f>
        <v>58</v>
      </c>
      <c r="B169" s="287"/>
      <c r="C169" s="975" t="str">
        <f>+"Total "&amp;C164</f>
        <v>Total Excluded Transmission Facilities</v>
      </c>
      <c r="D169" s="282">
        <f>SUM(D165:D168)</f>
        <v>110852937.24307692</v>
      </c>
      <c r="E169" s="550"/>
      <c r="F169" s="550">
        <f>SUM(F165:F168)</f>
        <v>114692473.91999999</v>
      </c>
      <c r="G169" s="550"/>
      <c r="H169" s="550"/>
      <c r="I169" s="892" t="str">
        <f>+"Sum Ln "&amp;A164&amp;" Subparts"</f>
        <v>Sum Ln 57 Subparts</v>
      </c>
      <c r="J169" s="81"/>
      <c r="K169" s="45"/>
      <c r="L169" s="45"/>
      <c r="M169" s="45"/>
      <c r="N169" s="281"/>
      <c r="O169" s="281"/>
      <c r="P169" s="281"/>
    </row>
    <row r="170" spans="1:17">
      <c r="B170" s="281"/>
      <c r="C170" s="281"/>
      <c r="D170" s="281"/>
      <c r="E170" s="281"/>
      <c r="F170" s="281"/>
      <c r="G170" s="281"/>
      <c r="H170" s="281"/>
      <c r="I170" s="234"/>
      <c r="J170" s="282"/>
      <c r="K170" s="45"/>
      <c r="L170" s="45"/>
      <c r="M170" s="45"/>
      <c r="N170" s="281"/>
      <c r="O170" s="281"/>
      <c r="P170" s="281"/>
    </row>
    <row r="171" spans="1:17">
      <c r="A171" s="597" t="s">
        <v>129</v>
      </c>
      <c r="B171" s="82"/>
      <c r="C171" s="644"/>
      <c r="D171" s="635"/>
      <c r="E171" s="634"/>
      <c r="F171" s="634"/>
      <c r="G171" s="634"/>
      <c r="H171" s="634"/>
      <c r="I171" s="724"/>
      <c r="J171" s="282"/>
      <c r="K171" s="75"/>
      <c r="L171" s="45"/>
      <c r="M171" s="45"/>
      <c r="O171" s="82"/>
      <c r="P171" s="82"/>
    </row>
    <row r="172" spans="1:17" ht="40.200000000000003" customHeight="1">
      <c r="A172" s="1079" t="s">
        <v>176</v>
      </c>
      <c r="B172" s="1872" t="s">
        <v>1150</v>
      </c>
      <c r="C172" s="1872"/>
      <c r="D172" s="1872"/>
      <c r="E172" s="1872"/>
      <c r="F172" s="1872"/>
      <c r="G172" s="1872"/>
      <c r="H172" s="1872"/>
      <c r="I172" s="1872"/>
      <c r="J172" s="1018"/>
      <c r="O172" s="82"/>
      <c r="P172" s="82"/>
    </row>
    <row r="173" spans="1:17" ht="27" customHeight="1">
      <c r="A173" s="1223" t="s">
        <v>338</v>
      </c>
      <c r="B173" s="1862" t="s">
        <v>974</v>
      </c>
      <c r="C173" s="1862"/>
      <c r="D173" s="1862"/>
      <c r="E173" s="1862"/>
      <c r="F173" s="1862"/>
      <c r="G173" s="1862"/>
      <c r="H173" s="1862"/>
      <c r="I173" s="1862"/>
      <c r="J173" s="1018"/>
      <c r="O173" s="82"/>
      <c r="P173" s="82"/>
    </row>
    <row r="174" spans="1:17">
      <c r="A174" s="1223" t="s">
        <v>339</v>
      </c>
      <c r="B174" s="1871" t="str">
        <f>+"See Appendix A Note "&amp;'Appendix A'!A329</f>
        <v>See Appendix A Note X</v>
      </c>
      <c r="C174" s="1871"/>
      <c r="D174" s="978"/>
      <c r="E174" s="569"/>
      <c r="F174" s="569"/>
      <c r="G174" s="569"/>
      <c r="H174" s="569"/>
      <c r="I174" s="1224"/>
    </row>
    <row r="175" spans="1:17" ht="28.2" customHeight="1">
      <c r="A175" s="1223" t="s">
        <v>340</v>
      </c>
      <c r="B175" s="1870" t="s">
        <v>1126</v>
      </c>
      <c r="C175" s="1870"/>
      <c r="D175" s="1870"/>
      <c r="E175" s="1870"/>
      <c r="F175" s="1870"/>
      <c r="G175" s="1870"/>
      <c r="H175" s="1870"/>
      <c r="I175" s="1870"/>
    </row>
    <row r="176" spans="1:17" ht="67.2" customHeight="1">
      <c r="A176" s="1223" t="s">
        <v>341</v>
      </c>
      <c r="B176" s="1867" t="s">
        <v>887</v>
      </c>
      <c r="C176" s="1867"/>
      <c r="D176" s="1867"/>
      <c r="E176" s="1867"/>
      <c r="F176" s="1867"/>
      <c r="G176" s="1867"/>
      <c r="H176" s="1867"/>
      <c r="I176" s="1867"/>
      <c r="J176" s="1213"/>
      <c r="K176" s="1213"/>
      <c r="L176" s="1213"/>
      <c r="M176" s="1213"/>
      <c r="N176" s="1213"/>
      <c r="O176" s="1213"/>
      <c r="P176" s="1213"/>
      <c r="Q176" s="1213"/>
    </row>
    <row r="177" spans="2:17" ht="4.2" customHeight="1">
      <c r="B177" s="1867"/>
      <c r="C177" s="1867"/>
      <c r="D177" s="1867"/>
      <c r="E177" s="1867"/>
      <c r="F177" s="1867"/>
      <c r="G177" s="1867"/>
      <c r="H177" s="1867"/>
      <c r="I177" s="1867"/>
      <c r="J177" s="1867"/>
      <c r="K177" s="1867"/>
      <c r="L177" s="1867"/>
      <c r="M177" s="1867"/>
      <c r="N177" s="1867"/>
      <c r="O177" s="1867"/>
      <c r="P177" s="1867"/>
      <c r="Q177" s="1867"/>
    </row>
    <row r="178" spans="2:17">
      <c r="B178" s="1868"/>
      <c r="C178" s="1868"/>
      <c r="D178" s="1868"/>
      <c r="E178" s="1868"/>
      <c r="F178" s="1868"/>
      <c r="G178" s="1868"/>
      <c r="H178" s="1868"/>
      <c r="I178" s="1868"/>
      <c r="J178" s="1868"/>
      <c r="K178" s="1868"/>
      <c r="L178" s="1868"/>
      <c r="M178" s="1868"/>
      <c r="N178" s="1868"/>
      <c r="O178" s="1868"/>
      <c r="P178" s="1868"/>
      <c r="Q178" s="1868"/>
    </row>
    <row r="179" spans="2:17" ht="14.4">
      <c r="B179" s="1869"/>
      <c r="C179" s="1869"/>
      <c r="D179" s="1869"/>
      <c r="E179" s="1869"/>
      <c r="F179" s="1869"/>
      <c r="G179" s="1869"/>
      <c r="H179" s="1869"/>
      <c r="I179" s="1869"/>
      <c r="J179" s="1869"/>
      <c r="K179" s="1869"/>
      <c r="L179" s="1869"/>
      <c r="M179" s="1869"/>
      <c r="N179" s="1869"/>
      <c r="O179" s="1869"/>
      <c r="P179" s="1869"/>
      <c r="Q179" s="1869"/>
    </row>
  </sheetData>
  <mergeCells count="14">
    <mergeCell ref="B179:Q179"/>
    <mergeCell ref="B176:I176"/>
    <mergeCell ref="B175:I175"/>
    <mergeCell ref="B174:C174"/>
    <mergeCell ref="B172:I172"/>
    <mergeCell ref="A1:I1"/>
    <mergeCell ref="B173:I173"/>
    <mergeCell ref="B177:Q177"/>
    <mergeCell ref="B178:Q178"/>
    <mergeCell ref="A3:I3"/>
    <mergeCell ref="A2:I2"/>
    <mergeCell ref="J156:L156"/>
    <mergeCell ref="J143:L143"/>
    <mergeCell ref="J95:L95"/>
  </mergeCells>
  <printOptions horizontalCentered="1"/>
  <pageMargins left="0.5" right="0.5" top="0.5" bottom="0.5" header="0.3" footer="0.5"/>
  <pageSetup scale="70" fitToHeight="19" orientation="landscape" r:id="rId1"/>
  <headerFooter>
    <oddFooter>&amp;R&amp;A</oddFooter>
  </headerFooter>
  <rowBreaks count="2" manualBreakCount="2">
    <brk id="61" max="8" man="1"/>
    <brk id="113" max="8" man="1"/>
  </rowBreaks>
  <ignoredErrors>
    <ignoredError sqref="A172:A17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B1"/>
    </sheetView>
  </sheetViews>
  <sheetFormatPr defaultColWidth="8.88671875" defaultRowHeight="13.2"/>
  <cols>
    <col min="1" max="1" width="5.33203125" style="649" customWidth="1"/>
    <col min="2" max="2" width="44.6640625" style="174" customWidth="1"/>
    <col min="3" max="3" width="13.44140625" style="174" bestFit="1" customWidth="1"/>
    <col min="4" max="4" width="11.6640625" style="174" bestFit="1" customWidth="1"/>
    <col min="5" max="5" width="11.5546875" style="174" customWidth="1"/>
    <col min="6" max="6" width="15.5546875" style="174" bestFit="1" customWidth="1"/>
    <col min="7" max="8" width="8.88671875" style="174"/>
    <col min="9" max="9" width="10.88671875" style="174" bestFit="1" customWidth="1"/>
    <col min="10" max="16384" width="8.88671875" style="174"/>
  </cols>
  <sheetData>
    <row r="1" spans="1:10">
      <c r="A1" s="1874" t="str">
        <f>'MISO Cover'!C6</f>
        <v>Entergy Arkansas, Inc.</v>
      </c>
      <c r="B1" s="1874"/>
      <c r="C1" s="1874"/>
      <c r="D1" s="1874"/>
      <c r="E1" s="1874"/>
      <c r="F1" s="1874"/>
      <c r="G1" s="881"/>
      <c r="I1" s="882"/>
    </row>
    <row r="2" spans="1:10">
      <c r="A2" s="1875" t="s">
        <v>1789</v>
      </c>
      <c r="B2" s="1875"/>
      <c r="C2" s="1875"/>
      <c r="D2" s="1875"/>
      <c r="E2" s="1875"/>
      <c r="F2" s="1875"/>
      <c r="G2" s="1030"/>
    </row>
    <row r="3" spans="1:10">
      <c r="A3" s="1874" t="str">
        <f>'MISO Cover'!K4</f>
        <v>For  the 12 Months Ended 12/31/2016</v>
      </c>
      <c r="B3" s="1874"/>
      <c r="C3" s="1874"/>
      <c r="D3" s="1874"/>
      <c r="E3" s="1874"/>
      <c r="F3" s="1874"/>
      <c r="G3" s="883"/>
    </row>
    <row r="4" spans="1:10">
      <c r="A4" s="639"/>
      <c r="B4" s="639"/>
      <c r="C4" s="639"/>
      <c r="D4" s="639"/>
      <c r="E4" s="639"/>
      <c r="F4" s="639"/>
      <c r="G4" s="639"/>
    </row>
    <row r="5" spans="1:10">
      <c r="A5" s="1620"/>
      <c r="B5" s="884"/>
      <c r="C5" s="803"/>
      <c r="D5" s="1873" t="s">
        <v>1706</v>
      </c>
      <c r="E5" s="1873"/>
      <c r="F5" s="1622" t="s">
        <v>697</v>
      </c>
    </row>
    <row r="6" spans="1:10">
      <c r="A6" s="638" t="s">
        <v>290</v>
      </c>
      <c r="B6" s="1117" t="s">
        <v>72</v>
      </c>
      <c r="C6" s="1622"/>
      <c r="D6" s="1117" t="s">
        <v>119</v>
      </c>
      <c r="E6" s="1117" t="s">
        <v>60</v>
      </c>
      <c r="F6" s="1434" t="s">
        <v>73</v>
      </c>
    </row>
    <row r="7" spans="1:10" ht="15">
      <c r="A7" s="965">
        <v>1</v>
      </c>
      <c r="B7" s="1621" t="s">
        <v>180</v>
      </c>
      <c r="C7" s="175"/>
      <c r="D7" s="1541" t="s">
        <v>952</v>
      </c>
      <c r="E7" s="1541" t="s">
        <v>853</v>
      </c>
      <c r="F7" s="1541" t="s">
        <v>549</v>
      </c>
      <c r="H7" s="175"/>
      <c r="I7" s="175"/>
    </row>
    <row r="8" spans="1:10">
      <c r="A8" s="1007">
        <f>A7+0.01</f>
        <v>1.01</v>
      </c>
      <c r="B8" s="1385" t="s">
        <v>860</v>
      </c>
      <c r="C8" s="641"/>
      <c r="D8" s="1435"/>
      <c r="E8" s="1435"/>
      <c r="F8" s="642">
        <f>SUM(D8:E8)</f>
        <v>0</v>
      </c>
      <c r="G8" s="1622"/>
      <c r="H8" s="175"/>
      <c r="I8" s="175"/>
      <c r="J8" s="1622"/>
    </row>
    <row r="9" spans="1:10" s="1622" customFormat="1">
      <c r="A9" s="1007">
        <f t="shared" ref="A9:A33" si="0">A8+0.01</f>
        <v>1.02</v>
      </c>
      <c r="B9" s="1385" t="s">
        <v>861</v>
      </c>
      <c r="C9" s="641"/>
      <c r="D9" s="1435"/>
      <c r="E9" s="1435"/>
      <c r="F9" s="642">
        <f t="shared" ref="F9:F33" si="1">SUM(D9:E9)</f>
        <v>0</v>
      </c>
      <c r="G9" s="641"/>
      <c r="H9" s="175"/>
      <c r="I9" s="175"/>
      <c r="J9" s="175"/>
    </row>
    <row r="10" spans="1:10" s="175" customFormat="1">
      <c r="A10" s="1007">
        <f t="shared" si="0"/>
        <v>1.03</v>
      </c>
      <c r="B10" s="1594" t="s">
        <v>1449</v>
      </c>
      <c r="C10" s="641"/>
      <c r="D10" s="1435"/>
      <c r="E10" s="1435"/>
      <c r="F10" s="642">
        <f t="shared" si="1"/>
        <v>0</v>
      </c>
      <c r="G10" s="641"/>
    </row>
    <row r="11" spans="1:10" s="175" customFormat="1">
      <c r="A11" s="1007">
        <f t="shared" si="0"/>
        <v>1.04</v>
      </c>
      <c r="B11" s="1594" t="s">
        <v>1450</v>
      </c>
      <c r="C11" s="641"/>
      <c r="D11" s="1435"/>
      <c r="E11" s="1435"/>
      <c r="F11" s="642">
        <f t="shared" si="1"/>
        <v>0</v>
      </c>
      <c r="G11" s="641"/>
    </row>
    <row r="12" spans="1:10" s="175" customFormat="1">
      <c r="A12" s="1007">
        <f t="shared" si="0"/>
        <v>1.05</v>
      </c>
      <c r="B12" s="297" t="s">
        <v>711</v>
      </c>
      <c r="C12" s="641"/>
      <c r="D12" s="1435"/>
      <c r="E12" s="1435"/>
      <c r="F12" s="642">
        <f t="shared" si="1"/>
        <v>0</v>
      </c>
      <c r="G12" s="641"/>
    </row>
    <row r="13" spans="1:10" s="175" customFormat="1">
      <c r="A13" s="1007">
        <f t="shared" si="0"/>
        <v>1.06</v>
      </c>
      <c r="B13" s="1594" t="s">
        <v>1455</v>
      </c>
      <c r="C13" s="641"/>
      <c r="D13" s="1435"/>
      <c r="E13" s="1435"/>
      <c r="F13" s="642">
        <f t="shared" si="1"/>
        <v>0</v>
      </c>
      <c r="G13" s="641"/>
    </row>
    <row r="14" spans="1:10" s="175" customFormat="1">
      <c r="A14" s="1007">
        <f t="shared" si="0"/>
        <v>1.07</v>
      </c>
      <c r="B14" s="1386" t="s">
        <v>1460</v>
      </c>
      <c r="C14" s="641"/>
      <c r="D14" s="1435"/>
      <c r="E14" s="1435"/>
      <c r="F14" s="642">
        <f t="shared" si="1"/>
        <v>0</v>
      </c>
      <c r="G14" s="641"/>
    </row>
    <row r="15" spans="1:10" s="175" customFormat="1">
      <c r="A15" s="1007">
        <f t="shared" si="0"/>
        <v>1.08</v>
      </c>
      <c r="B15" s="1594" t="s">
        <v>1462</v>
      </c>
      <c r="C15" s="641"/>
      <c r="D15" s="1435"/>
      <c r="E15" s="1435"/>
      <c r="F15" s="642">
        <f t="shared" si="1"/>
        <v>0</v>
      </c>
      <c r="G15" s="641"/>
    </row>
    <row r="16" spans="1:10" s="175" customFormat="1">
      <c r="A16" s="1007">
        <f t="shared" si="0"/>
        <v>1.0900000000000001</v>
      </c>
      <c r="B16" s="1594" t="s">
        <v>1463</v>
      </c>
      <c r="C16" s="641"/>
      <c r="D16" s="1435"/>
      <c r="E16" s="1435"/>
      <c r="F16" s="642">
        <f t="shared" si="1"/>
        <v>0</v>
      </c>
      <c r="G16" s="641"/>
    </row>
    <row r="17" spans="1:7" s="175" customFormat="1">
      <c r="A17" s="1007">
        <f t="shared" si="0"/>
        <v>1.1000000000000001</v>
      </c>
      <c r="B17" s="1386" t="s">
        <v>1485</v>
      </c>
      <c r="C17" s="641"/>
      <c r="D17" s="1435"/>
      <c r="E17" s="1435"/>
      <c r="F17" s="642">
        <f t="shared" si="1"/>
        <v>0</v>
      </c>
      <c r="G17" s="641"/>
    </row>
    <row r="18" spans="1:7" s="175" customFormat="1">
      <c r="A18" s="1007">
        <f t="shared" si="0"/>
        <v>1.1100000000000001</v>
      </c>
      <c r="B18" s="1386" t="s">
        <v>1496</v>
      </c>
      <c r="C18" s="641"/>
      <c r="D18" s="1435"/>
      <c r="E18" s="1435"/>
      <c r="F18" s="642">
        <f t="shared" si="1"/>
        <v>0</v>
      </c>
      <c r="G18" s="641"/>
    </row>
    <row r="19" spans="1:7" s="175" customFormat="1">
      <c r="A19" s="1007">
        <f t="shared" si="0"/>
        <v>1.1200000000000001</v>
      </c>
      <c r="B19" s="1387" t="s">
        <v>822</v>
      </c>
      <c r="C19" s="641"/>
      <c r="D19" s="1435"/>
      <c r="E19" s="1435"/>
      <c r="F19" s="642">
        <f t="shared" si="1"/>
        <v>0</v>
      </c>
      <c r="G19" s="1037"/>
    </row>
    <row r="20" spans="1:7" s="175" customFormat="1">
      <c r="A20" s="1007">
        <f t="shared" si="0"/>
        <v>1.1300000000000001</v>
      </c>
      <c r="B20" s="1387" t="s">
        <v>862</v>
      </c>
      <c r="C20" s="641"/>
      <c r="D20" s="1435"/>
      <c r="E20" s="1435"/>
      <c r="F20" s="642">
        <f t="shared" si="1"/>
        <v>0</v>
      </c>
      <c r="G20" s="1037"/>
    </row>
    <row r="21" spans="1:7" s="175" customFormat="1">
      <c r="A21" s="1007">
        <f t="shared" si="0"/>
        <v>1.1400000000000001</v>
      </c>
      <c r="B21" s="1387" t="s">
        <v>184</v>
      </c>
      <c r="C21" s="641"/>
      <c r="D21" s="1435"/>
      <c r="E21" s="1435"/>
      <c r="F21" s="642">
        <f t="shared" si="1"/>
        <v>0</v>
      </c>
      <c r="G21" s="641"/>
    </row>
    <row r="22" spans="1:7" s="175" customFormat="1">
      <c r="A22" s="1007">
        <f t="shared" si="0"/>
        <v>1.1500000000000001</v>
      </c>
      <c r="B22" s="1387" t="s">
        <v>883</v>
      </c>
      <c r="C22" s="641"/>
      <c r="D22" s="1435"/>
      <c r="E22" s="1435"/>
      <c r="F22" s="642">
        <f t="shared" si="1"/>
        <v>0</v>
      </c>
      <c r="G22" s="641"/>
    </row>
    <row r="23" spans="1:7" s="175" customFormat="1">
      <c r="A23" s="1007">
        <f t="shared" si="0"/>
        <v>1.1600000000000001</v>
      </c>
      <c r="B23" s="640" t="s">
        <v>185</v>
      </c>
      <c r="C23" s="641"/>
      <c r="D23" s="1435"/>
      <c r="E23" s="1435"/>
      <c r="F23" s="642">
        <f t="shared" si="1"/>
        <v>0</v>
      </c>
      <c r="G23" s="641"/>
    </row>
    <row r="24" spans="1:7" s="175" customFormat="1">
      <c r="A24" s="1007">
        <f t="shared" si="0"/>
        <v>1.1700000000000002</v>
      </c>
      <c r="B24" s="640" t="s">
        <v>186</v>
      </c>
      <c r="C24" s="641"/>
      <c r="D24" s="1435"/>
      <c r="E24" s="1435"/>
      <c r="F24" s="642">
        <f t="shared" si="1"/>
        <v>0</v>
      </c>
      <c r="G24" s="641"/>
    </row>
    <row r="25" spans="1:7" s="175" customFormat="1">
      <c r="A25" s="1007">
        <f t="shared" si="0"/>
        <v>1.1800000000000002</v>
      </c>
      <c r="B25" s="640" t="s">
        <v>187</v>
      </c>
      <c r="C25" s="641"/>
      <c r="D25" s="1435">
        <v>2614.5</v>
      </c>
      <c r="E25" s="1435"/>
      <c r="F25" s="642">
        <f t="shared" si="1"/>
        <v>2614.5</v>
      </c>
      <c r="G25" s="641"/>
    </row>
    <row r="26" spans="1:7" s="175" customFormat="1">
      <c r="A26" s="1007">
        <f t="shared" si="0"/>
        <v>1.1900000000000002</v>
      </c>
      <c r="B26" s="640" t="s">
        <v>188</v>
      </c>
      <c r="C26" s="641"/>
      <c r="D26" s="1435"/>
      <c r="E26" s="1435"/>
      <c r="F26" s="642">
        <f t="shared" si="1"/>
        <v>0</v>
      </c>
      <c r="G26" s="641"/>
    </row>
    <row r="27" spans="1:7" s="175" customFormat="1">
      <c r="A27" s="1007">
        <f t="shared" si="0"/>
        <v>1.2000000000000002</v>
      </c>
      <c r="B27" s="640" t="s">
        <v>189</v>
      </c>
      <c r="C27" s="641"/>
      <c r="D27" s="1435"/>
      <c r="E27" s="1435"/>
      <c r="F27" s="642">
        <f t="shared" si="1"/>
        <v>0</v>
      </c>
      <c r="G27" s="641"/>
    </row>
    <row r="28" spans="1:7" s="175" customFormat="1">
      <c r="A28" s="1007">
        <f t="shared" si="0"/>
        <v>1.2100000000000002</v>
      </c>
      <c r="B28" s="640" t="s">
        <v>190</v>
      </c>
      <c r="C28" s="641"/>
      <c r="D28" s="1435"/>
      <c r="E28" s="1435"/>
      <c r="F28" s="642">
        <f t="shared" si="1"/>
        <v>0</v>
      </c>
      <c r="G28" s="641"/>
    </row>
    <row r="29" spans="1:7" s="175" customFormat="1">
      <c r="A29" s="1007">
        <f t="shared" si="0"/>
        <v>1.2200000000000002</v>
      </c>
      <c r="B29" s="640" t="s">
        <v>191</v>
      </c>
      <c r="C29" s="641"/>
      <c r="D29" s="1435"/>
      <c r="E29" s="1435"/>
      <c r="F29" s="642">
        <f t="shared" si="1"/>
        <v>0</v>
      </c>
      <c r="G29" s="641"/>
    </row>
    <row r="30" spans="1:7" s="175" customFormat="1">
      <c r="A30" s="1007">
        <f t="shared" si="0"/>
        <v>1.2300000000000002</v>
      </c>
      <c r="B30" s="640" t="s">
        <v>310</v>
      </c>
      <c r="C30" s="641"/>
      <c r="D30" s="1435"/>
      <c r="E30" s="1435"/>
      <c r="F30" s="642">
        <f t="shared" si="1"/>
        <v>0</v>
      </c>
      <c r="G30" s="641"/>
    </row>
    <row r="31" spans="1:7" s="175" customFormat="1">
      <c r="A31" s="1007">
        <f t="shared" si="0"/>
        <v>1.2400000000000002</v>
      </c>
      <c r="B31" s="640" t="s">
        <v>192</v>
      </c>
      <c r="C31" s="641"/>
      <c r="D31" s="1435"/>
      <c r="E31" s="1435"/>
      <c r="F31" s="642">
        <f t="shared" si="1"/>
        <v>0</v>
      </c>
      <c r="G31" s="641"/>
    </row>
    <row r="32" spans="1:7" s="175" customFormat="1">
      <c r="A32" s="1007">
        <f t="shared" si="0"/>
        <v>1.2500000000000002</v>
      </c>
      <c r="B32" s="640" t="s">
        <v>311</v>
      </c>
      <c r="C32" s="641"/>
      <c r="D32" s="1435"/>
      <c r="E32" s="1435"/>
      <c r="F32" s="642">
        <f t="shared" si="1"/>
        <v>0</v>
      </c>
      <c r="G32" s="641"/>
    </row>
    <row r="33" spans="1:10" s="175" customFormat="1">
      <c r="A33" s="1007">
        <f t="shared" si="0"/>
        <v>1.2600000000000002</v>
      </c>
      <c r="B33" s="1386" t="s">
        <v>193</v>
      </c>
      <c r="C33" s="641"/>
      <c r="D33" s="1435"/>
      <c r="E33" s="1435"/>
      <c r="F33" s="642">
        <f t="shared" si="1"/>
        <v>0</v>
      </c>
      <c r="G33" s="641"/>
    </row>
    <row r="34" spans="1:10" s="175" customFormat="1" ht="13.8" thickBot="1">
      <c r="A34" s="965">
        <f>A7+1</f>
        <v>2</v>
      </c>
      <c r="B34" s="673" t="s">
        <v>848</v>
      </c>
      <c r="C34" s="641"/>
      <c r="D34" s="674">
        <f>SUM(D8:D33)</f>
        <v>2614.5</v>
      </c>
      <c r="E34" s="674">
        <f>SUM(E8:E33)</f>
        <v>0</v>
      </c>
      <c r="F34" s="674">
        <f>SUM(F8:F33)</f>
        <v>2614.5</v>
      </c>
      <c r="G34" s="641"/>
    </row>
    <row r="35" spans="1:10" s="175" customFormat="1" ht="13.8" thickTop="1">
      <c r="A35" s="965">
        <f>A34+1</f>
        <v>3</v>
      </c>
      <c r="B35" s="1118"/>
      <c r="C35" s="1118"/>
      <c r="D35" s="1118"/>
      <c r="E35" s="1119"/>
      <c r="F35" s="1119"/>
      <c r="G35" s="874"/>
      <c r="H35" s="636"/>
      <c r="I35" s="636"/>
      <c r="J35" s="636"/>
    </row>
    <row r="36" spans="1:10" s="636" customFormat="1">
      <c r="A36" s="965">
        <f t="shared" ref="A36:A41" si="2">A35+1</f>
        <v>4</v>
      </c>
      <c r="B36" s="1118" t="s">
        <v>598</v>
      </c>
      <c r="C36" s="1118"/>
      <c r="D36" s="1118"/>
      <c r="E36" s="1119"/>
      <c r="F36" s="1119"/>
      <c r="G36" s="874"/>
    </row>
    <row r="37" spans="1:10" s="636" customFormat="1">
      <c r="A37" s="965">
        <f t="shared" si="2"/>
        <v>5</v>
      </c>
      <c r="B37" s="1120" t="s">
        <v>696</v>
      </c>
      <c r="C37" s="1121"/>
      <c r="D37" s="1121"/>
      <c r="E37" s="1121"/>
      <c r="F37" s="1121"/>
      <c r="G37" s="889"/>
    </row>
    <row r="38" spans="1:10" s="636" customFormat="1" ht="15">
      <c r="A38" s="965">
        <f t="shared" si="2"/>
        <v>6</v>
      </c>
      <c r="B38" s="1120" t="s">
        <v>540</v>
      </c>
      <c r="C38" s="704"/>
      <c r="D38" s="704">
        <f>+D14</f>
        <v>0</v>
      </c>
      <c r="E38" s="704">
        <f>+E14</f>
        <v>0</v>
      </c>
      <c r="F38" s="704">
        <f>F14</f>
        <v>0</v>
      </c>
      <c r="G38" s="704"/>
    </row>
    <row r="39" spans="1:10" s="636" customFormat="1">
      <c r="A39" s="965">
        <f t="shared" si="2"/>
        <v>7</v>
      </c>
      <c r="B39" s="1122" t="s">
        <v>823</v>
      </c>
      <c r="C39" s="1121"/>
      <c r="D39" s="1121">
        <f>SUM(D37:D38)</f>
        <v>0</v>
      </c>
      <c r="E39" s="1121">
        <f>SUM(E37:E38)</f>
        <v>0</v>
      </c>
      <c r="F39" s="1121">
        <f>SUM(F37:F38)</f>
        <v>0</v>
      </c>
      <c r="G39" s="889"/>
    </row>
    <row r="40" spans="1:10" s="636" customFormat="1" ht="15">
      <c r="A40" s="965">
        <f t="shared" si="2"/>
        <v>8</v>
      </c>
      <c r="B40" s="1118" t="s">
        <v>863</v>
      </c>
      <c r="C40" s="704"/>
      <c r="D40" s="704">
        <f>+SUM(D13:D18)-D14</f>
        <v>0</v>
      </c>
      <c r="E40" s="704">
        <f>+SUM(E13:E18)-E14</f>
        <v>0</v>
      </c>
      <c r="F40" s="704">
        <f>SUM(F13:F18)-F14</f>
        <v>0</v>
      </c>
      <c r="G40" s="910"/>
    </row>
    <row r="41" spans="1:10" s="636" customFormat="1">
      <c r="A41" s="965">
        <f t="shared" si="2"/>
        <v>9</v>
      </c>
      <c r="B41" s="1118" t="s">
        <v>787</v>
      </c>
      <c r="C41" s="1121"/>
      <c r="D41" s="1121">
        <f>+D39+D40</f>
        <v>0</v>
      </c>
      <c r="E41" s="1121">
        <f>+E39+E40</f>
        <v>0</v>
      </c>
      <c r="F41" s="1121">
        <f>+F39+F40</f>
        <v>0</v>
      </c>
      <c r="G41" s="889"/>
    </row>
    <row r="42" spans="1:10" s="636" customFormat="1">
      <c r="A42" s="965">
        <f t="shared" ref="A42:A53" si="3">+A41+1</f>
        <v>10</v>
      </c>
      <c r="B42" s="640"/>
      <c r="C42" s="641"/>
      <c r="D42" s="296"/>
      <c r="E42" s="296"/>
      <c r="F42" s="296"/>
      <c r="G42" s="641"/>
      <c r="H42" s="175"/>
      <c r="I42" s="175"/>
      <c r="J42" s="175"/>
    </row>
    <row r="43" spans="1:10" s="175" customFormat="1">
      <c r="A43" s="965">
        <f t="shared" si="3"/>
        <v>11</v>
      </c>
      <c r="B43" s="1118" t="s">
        <v>56</v>
      </c>
      <c r="C43" s="1118"/>
      <c r="D43" s="1118"/>
      <c r="E43" s="1118"/>
      <c r="F43" s="1118"/>
      <c r="G43" s="869"/>
    </row>
    <row r="44" spans="1:10" s="175" customFormat="1">
      <c r="A44" s="965">
        <f t="shared" si="3"/>
        <v>12</v>
      </c>
      <c r="B44" s="1120" t="s">
        <v>719</v>
      </c>
      <c r="D44" s="1123">
        <f>D8+D9</f>
        <v>0</v>
      </c>
      <c r="E44" s="1123">
        <f>E8+E9</f>
        <v>0</v>
      </c>
      <c r="F44" s="1123">
        <f>F8+F9</f>
        <v>0</v>
      </c>
    </row>
    <row r="45" spans="1:10" s="175" customFormat="1">
      <c r="A45" s="965">
        <f t="shared" si="3"/>
        <v>13</v>
      </c>
      <c r="B45" s="1120" t="s">
        <v>718</v>
      </c>
      <c r="D45" s="1124">
        <f t="shared" ref="D45:F46" si="4">D10</f>
        <v>0</v>
      </c>
      <c r="E45" s="1124">
        <f t="shared" si="4"/>
        <v>0</v>
      </c>
      <c r="F45" s="1124">
        <f t="shared" si="4"/>
        <v>0</v>
      </c>
    </row>
    <row r="46" spans="1:10" s="175" customFormat="1">
      <c r="A46" s="965">
        <f t="shared" si="3"/>
        <v>14</v>
      </c>
      <c r="B46" s="1120" t="s">
        <v>717</v>
      </c>
      <c r="D46" s="1124">
        <f t="shared" si="4"/>
        <v>0</v>
      </c>
      <c r="E46" s="1124">
        <f t="shared" si="4"/>
        <v>0</v>
      </c>
      <c r="F46" s="1124">
        <f t="shared" si="4"/>
        <v>0</v>
      </c>
    </row>
    <row r="47" spans="1:10" s="175" customFormat="1">
      <c r="A47" s="965">
        <f t="shared" si="3"/>
        <v>15</v>
      </c>
      <c r="B47" s="1120" t="s">
        <v>711</v>
      </c>
      <c r="D47" s="1123">
        <f>SUM(D12:D12)</f>
        <v>0</v>
      </c>
      <c r="E47" s="1123">
        <f>SUM(E12:E12)</f>
        <v>0</v>
      </c>
      <c r="F47" s="1123">
        <f>SUM(F12:F12)</f>
        <v>0</v>
      </c>
    </row>
    <row r="48" spans="1:10" s="175" customFormat="1">
      <c r="A48" s="965">
        <f t="shared" si="3"/>
        <v>16</v>
      </c>
      <c r="B48" s="1120" t="s">
        <v>710</v>
      </c>
      <c r="D48" s="1123">
        <f>SUM(D13:D18)</f>
        <v>0</v>
      </c>
      <c r="E48" s="1123">
        <f>SUM(E13:E18)</f>
        <v>0</v>
      </c>
      <c r="F48" s="1123">
        <f>SUM(F13:F18)</f>
        <v>0</v>
      </c>
    </row>
    <row r="49" spans="1:11" s="175" customFormat="1">
      <c r="A49" s="965">
        <f t="shared" si="3"/>
        <v>17</v>
      </c>
      <c r="B49" s="1120" t="s">
        <v>712</v>
      </c>
      <c r="D49" s="1123">
        <f t="shared" ref="D49:F50" si="5">D19</f>
        <v>0</v>
      </c>
      <c r="E49" s="1123">
        <f t="shared" si="5"/>
        <v>0</v>
      </c>
      <c r="F49" s="1123">
        <f t="shared" si="5"/>
        <v>0</v>
      </c>
    </row>
    <row r="50" spans="1:11" s="175" customFormat="1">
      <c r="A50" s="965">
        <f t="shared" si="3"/>
        <v>18</v>
      </c>
      <c r="B50" s="1120" t="s">
        <v>713</v>
      </c>
      <c r="D50" s="1123">
        <f t="shared" si="5"/>
        <v>0</v>
      </c>
      <c r="E50" s="1123">
        <f t="shared" si="5"/>
        <v>0</v>
      </c>
      <c r="F50" s="1123">
        <f t="shared" si="5"/>
        <v>0</v>
      </c>
    </row>
    <row r="51" spans="1:11" s="175" customFormat="1">
      <c r="A51" s="965">
        <f t="shared" si="3"/>
        <v>19</v>
      </c>
      <c r="B51" s="1120" t="s">
        <v>714</v>
      </c>
      <c r="D51" s="1123">
        <f>D22</f>
        <v>0</v>
      </c>
      <c r="E51" s="1123">
        <f>E22</f>
        <v>0</v>
      </c>
      <c r="F51" s="1123">
        <f>F22</f>
        <v>0</v>
      </c>
    </row>
    <row r="52" spans="1:11" s="175" customFormat="1">
      <c r="A52" s="965">
        <f t="shared" si="3"/>
        <v>20</v>
      </c>
      <c r="B52" s="1120" t="s">
        <v>715</v>
      </c>
      <c r="D52" s="1123">
        <f>D21</f>
        <v>0</v>
      </c>
      <c r="E52" s="1123">
        <f>E21</f>
        <v>0</v>
      </c>
      <c r="F52" s="1123">
        <f>F21</f>
        <v>0</v>
      </c>
    </row>
    <row r="53" spans="1:11" s="175" customFormat="1">
      <c r="A53" s="965">
        <f t="shared" si="3"/>
        <v>21</v>
      </c>
      <c r="B53" s="1120" t="s">
        <v>716</v>
      </c>
      <c r="D53" s="1124">
        <f>SUM(D23:D33)</f>
        <v>2614.5</v>
      </c>
      <c r="E53" s="1124">
        <f>SUM(E23:E33)</f>
        <v>0</v>
      </c>
      <c r="F53" s="1124">
        <f>SUM(F23:F33)</f>
        <v>2614.5</v>
      </c>
    </row>
    <row r="54" spans="1:11" s="175" customFormat="1" ht="13.8" thickBot="1">
      <c r="A54" s="965">
        <f>A53+1</f>
        <v>22</v>
      </c>
      <c r="B54" s="1118" t="str">
        <f>B34</f>
        <v>Total  Sum Line 1 Subparts</v>
      </c>
      <c r="D54" s="1125">
        <f>SUM(D44:D53)</f>
        <v>2614.5</v>
      </c>
      <c r="E54" s="1125">
        <f>SUM(E44:E53)</f>
        <v>0</v>
      </c>
      <c r="F54" s="1125">
        <f>SUM(F44:F53)</f>
        <v>2614.5</v>
      </c>
    </row>
    <row r="55" spans="1:11" s="175" customFormat="1" ht="13.8" thickTop="1">
      <c r="A55" s="1006">
        <f>A54+1</f>
        <v>23</v>
      </c>
      <c r="B55" s="1118"/>
      <c r="D55" s="1118"/>
      <c r="E55" s="1118"/>
      <c r="F55" s="1126"/>
      <c r="G55" s="876"/>
    </row>
    <row r="56" spans="1:11" s="175" customFormat="1">
      <c r="A56" s="1006">
        <f>A55+1</f>
        <v>24</v>
      </c>
      <c r="B56" s="1204" t="s">
        <v>879</v>
      </c>
      <c r="D56" s="1123"/>
      <c r="E56" s="1123">
        <f>SUM(E44:E52)</f>
        <v>0</v>
      </c>
      <c r="F56" s="1123"/>
      <c r="G56" s="174"/>
    </row>
    <row r="57" spans="1:11" s="175" customFormat="1">
      <c r="A57" s="1006"/>
      <c r="B57" s="1122"/>
      <c r="D57" s="1123"/>
      <c r="E57" s="1123"/>
      <c r="F57" s="1123"/>
      <c r="G57" s="174"/>
    </row>
    <row r="58" spans="1:11" s="175" customFormat="1">
      <c r="A58" s="175" t="s">
        <v>199</v>
      </c>
      <c r="B58" s="640"/>
      <c r="D58" s="296"/>
      <c r="E58" s="296"/>
      <c r="F58" s="296"/>
      <c r="G58" s="174"/>
      <c r="H58" s="174"/>
      <c r="I58" s="174"/>
      <c r="J58" s="174"/>
    </row>
    <row r="59" spans="1:11">
      <c r="A59" s="1203" t="s">
        <v>176</v>
      </c>
      <c r="B59" s="1877" t="s">
        <v>1705</v>
      </c>
      <c r="C59" s="1877"/>
      <c r="D59" s="1877"/>
      <c r="E59" s="1877"/>
      <c r="F59" s="1877"/>
    </row>
    <row r="60" spans="1:11" s="636" customFormat="1" ht="14.25" customHeight="1">
      <c r="A60" s="1206"/>
      <c r="B60" s="1876"/>
      <c r="C60" s="1876"/>
      <c r="D60" s="1876"/>
      <c r="E60" s="1876"/>
      <c r="F60" s="1876"/>
      <c r="G60" s="1087"/>
      <c r="H60" s="1088"/>
      <c r="I60" s="1087"/>
      <c r="J60" s="1087"/>
      <c r="K60" s="1087"/>
    </row>
    <row r="61" spans="1:11" s="636" customFormat="1" ht="26.4" customHeight="1">
      <c r="A61" s="1086"/>
      <c r="B61" s="1857"/>
      <c r="C61" s="1857"/>
      <c r="D61" s="1857"/>
      <c r="E61" s="1857"/>
      <c r="F61" s="1857"/>
      <c r="G61" s="1087"/>
      <c r="H61" s="1088"/>
      <c r="I61" s="1087"/>
      <c r="J61" s="1087"/>
      <c r="K61" s="1087"/>
    </row>
    <row r="62" spans="1:11">
      <c r="A62" s="1089"/>
      <c r="B62" s="673"/>
      <c r="C62" s="673"/>
      <c r="D62" s="673"/>
      <c r="E62" s="673"/>
      <c r="F62" s="673"/>
    </row>
    <row r="63" spans="1:11">
      <c r="A63" s="1089"/>
      <c r="B63" s="673"/>
      <c r="C63" s="673"/>
      <c r="D63" s="673"/>
      <c r="E63" s="673"/>
      <c r="F63" s="673"/>
    </row>
    <row r="64" spans="1:11">
      <c r="A64" s="1089"/>
      <c r="B64" s="673"/>
      <c r="C64" s="673"/>
      <c r="D64" s="673"/>
      <c r="E64" s="673"/>
      <c r="F64" s="673"/>
    </row>
    <row r="65" spans="1:1">
      <c r="A65" s="174"/>
    </row>
  </sheetData>
  <mergeCells count="7">
    <mergeCell ref="B61:F61"/>
    <mergeCell ref="D5:E5"/>
    <mergeCell ref="A1:F1"/>
    <mergeCell ref="A2:F2"/>
    <mergeCell ref="A3:F3"/>
    <mergeCell ref="B60:F60"/>
    <mergeCell ref="B59:F59"/>
  </mergeCells>
  <printOptions horizontalCentered="1"/>
  <pageMargins left="0.7" right="0.7" top="0.75" bottom="0.75" header="0.3" footer="0.5"/>
  <pageSetup scale="85" orientation="portrait" r:id="rId1"/>
  <headerFooter>
    <oddFooter>&amp;R&amp;A</oddFooter>
  </headerFooter>
  <ignoredErrors>
    <ignoredError sqref="A5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workbookViewId="0">
      <selection sqref="A1:B1"/>
    </sheetView>
  </sheetViews>
  <sheetFormatPr defaultColWidth="8.88671875" defaultRowHeight="13.2"/>
  <cols>
    <col min="1" max="1" width="6.44140625" style="44" bestFit="1" customWidth="1"/>
    <col min="2" max="2" width="33.44140625" style="44" customWidth="1"/>
    <col min="3" max="3" width="14.88671875" style="269" customWidth="1"/>
    <col min="4" max="4" width="26.33203125" style="794" customWidth="1"/>
    <col min="5" max="5" width="17" style="44" bestFit="1" customWidth="1"/>
    <col min="6" max="6" width="18.109375" style="43" customWidth="1"/>
    <col min="7" max="7" width="20.33203125" style="43" customWidth="1"/>
    <col min="8" max="8" width="8.88671875" style="44"/>
    <col min="9" max="9" width="21.109375" style="44" customWidth="1"/>
    <col min="10" max="10" width="19.109375" style="44" customWidth="1"/>
    <col min="11" max="16384" width="8.88671875" style="44"/>
  </cols>
  <sheetData>
    <row r="1" spans="1:10">
      <c r="A1" s="1878" t="str">
        <f>+'MISO Cover'!C6</f>
        <v>Entergy Arkansas, Inc.</v>
      </c>
      <c r="B1" s="1878"/>
      <c r="C1" s="1878"/>
      <c r="D1" s="1878"/>
      <c r="E1" s="188"/>
      <c r="F1" s="589"/>
      <c r="G1" s="589"/>
      <c r="H1" s="188"/>
      <c r="I1" s="188"/>
      <c r="J1" s="188"/>
    </row>
    <row r="2" spans="1:10" s="544" customFormat="1">
      <c r="A2" s="1880" t="s">
        <v>698</v>
      </c>
      <c r="B2" s="1880"/>
      <c r="C2" s="1880"/>
      <c r="D2" s="1880"/>
      <c r="E2" s="532"/>
      <c r="F2" s="911"/>
      <c r="G2" s="911"/>
      <c r="H2" s="814"/>
    </row>
    <row r="3" spans="1:10">
      <c r="A3" s="1879" t="str">
        <f>+'MISO Cover'!K4</f>
        <v>For  the 12 Months Ended 12/31/2016</v>
      </c>
      <c r="B3" s="1879"/>
      <c r="C3" s="1879"/>
      <c r="D3" s="1879"/>
      <c r="E3" s="533"/>
      <c r="F3" s="912"/>
      <c r="G3" s="912"/>
      <c r="H3" s="815"/>
      <c r="I3" s="815"/>
      <c r="J3" s="815"/>
    </row>
    <row r="4" spans="1:10">
      <c r="A4" s="793"/>
      <c r="B4" s="793"/>
      <c r="C4" s="793"/>
      <c r="D4" s="793"/>
      <c r="E4" s="793"/>
      <c r="F4" s="912"/>
      <c r="G4" s="912"/>
      <c r="H4" s="815"/>
      <c r="I4" s="815"/>
      <c r="J4" s="815"/>
    </row>
    <row r="5" spans="1:10">
      <c r="B5" s="523" t="s">
        <v>72</v>
      </c>
      <c r="C5" s="524" t="s">
        <v>119</v>
      </c>
      <c r="D5" s="523" t="s">
        <v>60</v>
      </c>
      <c r="E5" s="523"/>
      <c r="F5" s="894"/>
      <c r="G5" s="894"/>
      <c r="H5" s="523"/>
      <c r="I5" s="523"/>
      <c r="J5" s="523"/>
    </row>
    <row r="6" spans="1:10" s="525" customFormat="1">
      <c r="A6" s="525" t="s">
        <v>290</v>
      </c>
      <c r="B6" s="1542" t="s">
        <v>117</v>
      </c>
      <c r="C6" s="1543" t="s">
        <v>131</v>
      </c>
      <c r="D6" s="1543" t="s">
        <v>145</v>
      </c>
      <c r="E6" s="526"/>
      <c r="F6" s="913"/>
      <c r="G6" s="914"/>
      <c r="H6" s="816"/>
      <c r="I6" s="816"/>
      <c r="J6" s="816"/>
    </row>
    <row r="7" spans="1:10">
      <c r="A7" s="219">
        <v>1</v>
      </c>
      <c r="B7" s="530" t="s">
        <v>68</v>
      </c>
      <c r="C7" s="524"/>
      <c r="D7" s="528"/>
      <c r="E7" s="528"/>
      <c r="F7" s="915"/>
      <c r="G7" s="915"/>
      <c r="H7" s="523"/>
      <c r="I7" s="523"/>
      <c r="J7" s="523"/>
    </row>
    <row r="8" spans="1:10">
      <c r="A8" s="219">
        <f>+A7+0.1</f>
        <v>1.1000000000000001</v>
      </c>
      <c r="B8" s="527" t="s">
        <v>218</v>
      </c>
      <c r="C8" s="208">
        <v>3884002.4599999967</v>
      </c>
      <c r="D8" s="728" t="s">
        <v>642</v>
      </c>
      <c r="E8" s="529" t="s">
        <v>1681</v>
      </c>
      <c r="F8" s="915"/>
      <c r="G8" s="915"/>
      <c r="H8" s="523"/>
      <c r="I8" s="523"/>
      <c r="J8" s="523"/>
    </row>
    <row r="9" spans="1:10">
      <c r="A9" s="219">
        <f>+A8+0.1</f>
        <v>1.2000000000000002</v>
      </c>
      <c r="B9" s="679" t="s">
        <v>219</v>
      </c>
      <c r="C9" s="680">
        <v>7790375.4999999981</v>
      </c>
      <c r="D9" s="728" t="s">
        <v>771</v>
      </c>
      <c r="E9" s="726" t="s">
        <v>1682</v>
      </c>
      <c r="F9" s="915"/>
      <c r="G9" s="915"/>
      <c r="H9" s="523"/>
      <c r="I9" s="523"/>
      <c r="J9" s="523"/>
    </row>
    <row r="10" spans="1:10">
      <c r="A10" s="219">
        <f>+A7+1</f>
        <v>2</v>
      </c>
      <c r="B10" s="1014" t="s">
        <v>118</v>
      </c>
      <c r="C10" s="1015">
        <f>+C8+C9</f>
        <v>11674377.959999995</v>
      </c>
      <c r="D10" s="1016" t="str">
        <f>+"Sum Ln "&amp;A7&amp;" Subparts"</f>
        <v>Sum Ln 1 Subparts</v>
      </c>
    </row>
    <row r="11" spans="1:10">
      <c r="A11" s="219">
        <f>+A10+1</f>
        <v>3</v>
      </c>
      <c r="D11" s="599"/>
    </row>
    <row r="12" spans="1:10">
      <c r="A12" s="219">
        <f>+A11+1</f>
        <v>4</v>
      </c>
      <c r="B12" s="530" t="s">
        <v>69</v>
      </c>
      <c r="D12" s="599"/>
    </row>
    <row r="13" spans="1:10">
      <c r="A13" s="219">
        <f>+A12+0.01</f>
        <v>4.01</v>
      </c>
      <c r="B13" s="527" t="s">
        <v>218</v>
      </c>
      <c r="C13" s="208">
        <v>50221801.780000024</v>
      </c>
      <c r="D13" s="728" t="s">
        <v>643</v>
      </c>
      <c r="E13" s="44" t="s">
        <v>1683</v>
      </c>
    </row>
    <row r="14" spans="1:10">
      <c r="A14" s="219">
        <f t="shared" ref="A14:A24" si="0">+A13+0.01</f>
        <v>4.0199999999999996</v>
      </c>
      <c r="B14" s="44" t="s">
        <v>220</v>
      </c>
      <c r="C14" s="208">
        <v>10405165.190000001</v>
      </c>
      <c r="D14" s="728" t="s">
        <v>771</v>
      </c>
      <c r="E14" s="726" t="s">
        <v>1684</v>
      </c>
    </row>
    <row r="15" spans="1:10">
      <c r="A15" s="219">
        <f t="shared" si="0"/>
        <v>4.0299999999999994</v>
      </c>
      <c r="B15" s="44" t="s">
        <v>221</v>
      </c>
      <c r="C15" s="80">
        <f>+C9</f>
        <v>7790375.4999999981</v>
      </c>
      <c r="D15" s="728" t="str">
        <f>+"Line "&amp;A9</f>
        <v>Line 1.2</v>
      </c>
    </row>
    <row r="16" spans="1:10">
      <c r="A16" s="219">
        <f t="shared" si="0"/>
        <v>4.0399999999999991</v>
      </c>
      <c r="B16" s="44" t="s">
        <v>222</v>
      </c>
      <c r="C16" s="208">
        <v>0</v>
      </c>
      <c r="D16" s="728" t="s">
        <v>771</v>
      </c>
      <c r="E16" s="44" t="s">
        <v>1711</v>
      </c>
    </row>
    <row r="17" spans="1:10">
      <c r="A17" s="219">
        <f t="shared" si="0"/>
        <v>4.0499999999999989</v>
      </c>
      <c r="B17" s="44" t="s">
        <v>223</v>
      </c>
      <c r="C17" s="208">
        <v>2051562.6700000002</v>
      </c>
      <c r="D17" s="728" t="s">
        <v>771</v>
      </c>
      <c r="E17" s="44" t="s">
        <v>1685</v>
      </c>
    </row>
    <row r="18" spans="1:10">
      <c r="A18" s="219">
        <f t="shared" si="0"/>
        <v>4.0599999999999987</v>
      </c>
      <c r="B18" s="44" t="s">
        <v>224</v>
      </c>
      <c r="C18" s="208">
        <v>4649590.129999998</v>
      </c>
      <c r="D18" s="728" t="s">
        <v>771</v>
      </c>
      <c r="E18" s="726" t="s">
        <v>1686</v>
      </c>
    </row>
    <row r="19" spans="1:10">
      <c r="A19" s="219">
        <f t="shared" si="0"/>
        <v>4.0699999999999985</v>
      </c>
      <c r="B19" s="44" t="s">
        <v>225</v>
      </c>
      <c r="C19" s="208">
        <v>469366.04000000015</v>
      </c>
      <c r="D19" s="728" t="s">
        <v>771</v>
      </c>
      <c r="E19" s="726" t="s">
        <v>1687</v>
      </c>
    </row>
    <row r="20" spans="1:10">
      <c r="A20" s="219">
        <f t="shared" si="0"/>
        <v>4.0799999999999983</v>
      </c>
      <c r="B20" s="44" t="s">
        <v>226</v>
      </c>
      <c r="C20" s="208">
        <v>172387.97000000003</v>
      </c>
      <c r="D20" s="728" t="s">
        <v>771</v>
      </c>
      <c r="E20" s="726" t="s">
        <v>1688</v>
      </c>
    </row>
    <row r="21" spans="1:10">
      <c r="A21" s="219">
        <f t="shared" si="0"/>
        <v>4.0899999999999981</v>
      </c>
      <c r="B21" s="44" t="s">
        <v>285</v>
      </c>
      <c r="C21" s="208">
        <v>24555998.090000015</v>
      </c>
      <c r="D21" s="728" t="s">
        <v>771</v>
      </c>
      <c r="E21" s="726" t="s">
        <v>1689</v>
      </c>
    </row>
    <row r="22" spans="1:10">
      <c r="A22" s="932">
        <f t="shared" si="0"/>
        <v>4.0999999999999979</v>
      </c>
      <c r="B22" s="44" t="s">
        <v>227</v>
      </c>
      <c r="C22" s="208">
        <v>106007392.76000005</v>
      </c>
      <c r="D22" s="728" t="s">
        <v>771</v>
      </c>
      <c r="E22" s="726" t="s">
        <v>1691</v>
      </c>
      <c r="F22" s="915"/>
      <c r="G22" s="915"/>
      <c r="H22" s="523"/>
      <c r="I22" s="523"/>
      <c r="J22" s="523"/>
    </row>
    <row r="23" spans="1:10">
      <c r="A23" s="932">
        <f t="shared" si="0"/>
        <v>4.1099999999999977</v>
      </c>
      <c r="B23" s="44" t="s">
        <v>228</v>
      </c>
      <c r="C23" s="208">
        <v>4823630.9600000056</v>
      </c>
      <c r="D23" s="728" t="s">
        <v>771</v>
      </c>
      <c r="E23" s="726" t="s">
        <v>1690</v>
      </c>
      <c r="F23" s="915"/>
      <c r="G23" s="915"/>
      <c r="H23" s="523"/>
      <c r="I23" s="523"/>
      <c r="J23" s="523"/>
    </row>
    <row r="24" spans="1:10">
      <c r="A24" s="1377">
        <f t="shared" si="0"/>
        <v>4.1199999999999974</v>
      </c>
      <c r="B24" s="826" t="s">
        <v>969</v>
      </c>
      <c r="C24" s="221"/>
      <c r="D24" s="728"/>
      <c r="E24" s="726"/>
      <c r="F24" s="915"/>
      <c r="G24" s="915"/>
      <c r="H24" s="523"/>
      <c r="I24" s="523"/>
      <c r="J24" s="523"/>
    </row>
    <row r="25" spans="1:10">
      <c r="A25" s="1377" t="s">
        <v>960</v>
      </c>
      <c r="B25" s="826" t="s">
        <v>969</v>
      </c>
      <c r="C25" s="221"/>
      <c r="D25" s="728"/>
      <c r="E25" s="528"/>
      <c r="F25" s="915"/>
      <c r="G25" s="915"/>
      <c r="H25" s="523"/>
      <c r="I25" s="523"/>
      <c r="J25" s="523"/>
    </row>
    <row r="26" spans="1:10">
      <c r="A26" s="1377" t="s">
        <v>961</v>
      </c>
      <c r="B26" s="1364" t="s">
        <v>969</v>
      </c>
      <c r="C26" s="277"/>
      <c r="D26" s="728"/>
      <c r="E26" s="528"/>
      <c r="F26" s="915"/>
      <c r="G26" s="915"/>
      <c r="H26" s="523"/>
      <c r="I26" s="523"/>
      <c r="J26" s="523"/>
    </row>
    <row r="27" spans="1:10">
      <c r="A27" s="219">
        <f>+A12+1</f>
        <v>5</v>
      </c>
      <c r="B27" s="1014" t="s">
        <v>11</v>
      </c>
      <c r="C27" s="80">
        <f>SUM(C13:C26)</f>
        <v>211147271.09000012</v>
      </c>
      <c r="D27" s="1016" t="str">
        <f>+"Sum Ln "&amp;A12&amp;" Subparts"</f>
        <v>Sum Ln 4 Subparts</v>
      </c>
    </row>
    <row r="28" spans="1:10">
      <c r="A28" s="219">
        <f>+A27+1</f>
        <v>6</v>
      </c>
      <c r="D28" s="297"/>
    </row>
    <row r="29" spans="1:10">
      <c r="A29" s="219">
        <f>+A28+1</f>
        <v>7</v>
      </c>
      <c r="B29" s="531" t="s">
        <v>533</v>
      </c>
      <c r="D29" s="297"/>
    </row>
    <row r="30" spans="1:10">
      <c r="A30" s="219">
        <f>+A29+0.1</f>
        <v>7.1</v>
      </c>
      <c r="B30" s="527" t="s">
        <v>218</v>
      </c>
      <c r="C30" s="208">
        <v>7370639.6500000013</v>
      </c>
      <c r="D30" s="728" t="s">
        <v>644</v>
      </c>
      <c r="E30" s="726" t="s">
        <v>1692</v>
      </c>
    </row>
    <row r="31" spans="1:10">
      <c r="A31" s="219">
        <f>+A30+0.1</f>
        <v>7.1999999999999993</v>
      </c>
      <c r="B31" s="44" t="s">
        <v>285</v>
      </c>
      <c r="C31" s="80">
        <f>+C21</f>
        <v>24555998.090000015</v>
      </c>
      <c r="D31" s="728" t="str">
        <f>+"Line "&amp;A21</f>
        <v>Line 4.09</v>
      </c>
    </row>
    <row r="32" spans="1:10">
      <c r="A32" s="219">
        <f>+A31+0.1</f>
        <v>7.2999999999999989</v>
      </c>
      <c r="B32" s="579" t="s">
        <v>228</v>
      </c>
      <c r="C32" s="590">
        <f>+C23</f>
        <v>4823630.9600000056</v>
      </c>
      <c r="D32" s="728" t="str">
        <f>+"Line "&amp;A23</f>
        <v>Line 4.11</v>
      </c>
    </row>
    <row r="33" spans="1:5">
      <c r="A33" s="219">
        <f>+A29+1</f>
        <v>8</v>
      </c>
      <c r="B33" s="1014" t="str">
        <f>+"Total "&amp;B29</f>
        <v>Total A&amp;G Wages Expense</v>
      </c>
      <c r="C33" s="1015">
        <f>SUM(C30:C32)</f>
        <v>36750268.700000025</v>
      </c>
      <c r="D33" s="1016" t="str">
        <f>+"Sum Ln "&amp;A29&amp;" Subparts"</f>
        <v>Sum Ln 7 Subparts</v>
      </c>
    </row>
    <row r="34" spans="1:5">
      <c r="A34" s="794"/>
    </row>
    <row r="35" spans="1:5">
      <c r="A35" s="43" t="s">
        <v>316</v>
      </c>
      <c r="B35" s="43"/>
    </row>
    <row r="36" spans="1:5">
      <c r="A36" s="240" t="s">
        <v>176</v>
      </c>
      <c r="B36" s="43" t="s">
        <v>550</v>
      </c>
      <c r="E36" s="44" t="s">
        <v>1767</v>
      </c>
    </row>
    <row r="37" spans="1:5">
      <c r="A37" s="794"/>
    </row>
  </sheetData>
  <mergeCells count="3">
    <mergeCell ref="A1:D1"/>
    <mergeCell ref="A3:D3"/>
    <mergeCell ref="A2:D2"/>
  </mergeCells>
  <printOptions horizontalCentered="1"/>
  <pageMargins left="0.5" right="0.5" top="0.5" bottom="0.75" header="0.3" footer="0.3"/>
  <pageSetup orientation="portrait" r:id="rId1"/>
  <headerFooter>
    <oddFooter>&amp;R&amp;A</oddFooter>
  </headerFooter>
  <ignoredErrors>
    <ignoredError sqref="A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52</vt:i4>
      </vt:variant>
    </vt:vector>
  </HeadingPairs>
  <TitlesOfParts>
    <vt:vector size="90" baseType="lpstr">
      <vt:lpstr>Explanatory Stmts</vt:lpstr>
      <vt:lpstr>MISO Cover</vt:lpstr>
      <vt:lpstr>Appendix A</vt:lpstr>
      <vt:lpstr>App A Support</vt:lpstr>
      <vt:lpstr>WP01 True-Up</vt:lpstr>
      <vt:lpstr>WP01 TU Support</vt:lpstr>
      <vt:lpstr>WP02 Support</vt:lpstr>
      <vt:lpstr>Support to WP02</vt:lpstr>
      <vt:lpstr>WP03 W&amp;S</vt:lpstr>
      <vt:lpstr>WP04 PIS</vt:lpstr>
      <vt:lpstr>WP04 Support</vt:lpstr>
      <vt:lpstr>WP05 CapAds</vt:lpstr>
      <vt:lpstr>WP06 ADIT</vt:lpstr>
      <vt:lpstr>WP06 ADIT Support</vt:lpstr>
      <vt:lpstr>WP07 M&amp;S</vt:lpstr>
      <vt:lpstr>WP08 Prepay</vt:lpstr>
      <vt:lpstr>WP09 PHFU</vt:lpstr>
      <vt:lpstr>WP10 Storm</vt:lpstr>
      <vt:lpstr>WP11 Credits</vt:lpstr>
      <vt:lpstr>WP12 PBOP</vt:lpstr>
      <vt:lpstr>WP13 TOTI</vt:lpstr>
      <vt:lpstr>WP14 COC</vt:lpstr>
      <vt:lpstr>WP14 Support</vt:lpstr>
      <vt:lpstr>WP15 Radials</vt:lpstr>
      <vt:lpstr>WP16 Interconn</vt:lpstr>
      <vt:lpstr>WP17 Rev</vt:lpstr>
      <vt:lpstr>WP17 Rev Support</vt:lpstr>
      <vt:lpstr>WP18 Deprec</vt:lpstr>
      <vt:lpstr>WP18 Depr Support</vt:lpstr>
      <vt:lpstr>WP19 Load</vt:lpstr>
      <vt:lpstr>WP20 Reserves</vt:lpstr>
      <vt:lpstr>WP21 Pension</vt:lpstr>
      <vt:lpstr>WP22 IT Adj</vt:lpstr>
      <vt:lpstr>WP AJ1 MISO</vt:lpstr>
      <vt:lpstr>WP AJ2 ITC</vt:lpstr>
      <vt:lpstr>WP AJ3 HCM</vt:lpstr>
      <vt:lpstr>WP AJ4 Ouachita</vt:lpstr>
      <vt:lpstr>WP AJ5 GPRD</vt:lpstr>
      <vt:lpstr>'Appendix A'!_cp_text_1_402</vt:lpstr>
      <vt:lpstr>'MISO Cover'!CE</vt:lpstr>
      <vt:lpstr>GP</vt:lpstr>
      <vt:lpstr>NP</vt:lpstr>
      <vt:lpstr>'Appendix A'!Print_Area</vt:lpstr>
      <vt:lpstr>'Explanatory Stmts'!Print_Area</vt:lpstr>
      <vt:lpstr>'MISO Cover'!Print_Area</vt:lpstr>
      <vt:lpstr>'Support to WP02'!Print_Area</vt:lpstr>
      <vt:lpstr>'WP AJ1 MISO'!Print_Area</vt:lpstr>
      <vt:lpstr>'WP AJ2 ITC'!Print_Area</vt:lpstr>
      <vt:lpstr>'WP AJ3 HCM'!Print_Area</vt:lpstr>
      <vt:lpstr>'WP AJ4 Ouachita'!Print_Area</vt:lpstr>
      <vt:lpstr>'WP AJ5 GPRD'!Print_Area</vt:lpstr>
      <vt:lpstr>'WP01 True-Up'!Print_Area</vt:lpstr>
      <vt:lpstr>'WP01 TU Support'!Print_Area</vt:lpstr>
      <vt:lpstr>'WP02 Support'!Print_Area</vt:lpstr>
      <vt:lpstr>'WP03 W&amp;S'!Print_Area</vt:lpstr>
      <vt:lpstr>'WP04 PIS'!Print_Area</vt:lpstr>
      <vt:lpstr>'WP04 Support'!Print_Area</vt:lpstr>
      <vt:lpstr>'WP05 CapAds'!Print_Area</vt:lpstr>
      <vt:lpstr>'WP06 ADIT'!Print_Area</vt:lpstr>
      <vt:lpstr>'WP06 ADIT Support'!Print_Area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'WP17 Rev Support'!Print_Area</vt:lpstr>
      <vt:lpstr>'WP18 Depr Support'!Print_Area</vt:lpstr>
      <vt:lpstr>'WP18 Deprec'!Print_Area</vt:lpstr>
      <vt:lpstr>'WP19 Load'!Print_Area</vt:lpstr>
      <vt:lpstr>'WP20 Reserves'!Print_Area</vt:lpstr>
      <vt:lpstr>'WP21 Pension'!Print_Area</vt:lpstr>
      <vt:lpstr>'WP22 IT Adj'!Print_Area</vt:lpstr>
      <vt:lpstr>'Appendix A'!Print_Titles</vt:lpstr>
      <vt:lpstr>'WP AJ1 MISO'!Print_Titles</vt:lpstr>
      <vt:lpstr>'WP AJ2 ITC'!Print_Titles</vt:lpstr>
      <vt:lpstr>'WP01 True-Up'!Print_Titles</vt:lpstr>
      <vt:lpstr>'WP01 TU Support'!Print_Titles</vt:lpstr>
      <vt:lpstr>'WP02 Support'!Print_Titles</vt:lpstr>
      <vt:lpstr>'WP04 PIS'!Print_Titles</vt:lpstr>
      <vt:lpstr>'WP06 ADIT'!Print_Titles</vt:lpstr>
      <vt:lpstr>'WP14 COC'!Print_Titles</vt:lpstr>
      <vt:lpstr>'WP15 Radials'!Print_Titles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REBECCA L BOWDEN</cp:lastModifiedBy>
  <cp:lastPrinted>2017-06-08T17:27:57Z</cp:lastPrinted>
  <dcterms:created xsi:type="dcterms:W3CDTF">2004-01-21T20:42:01Z</dcterms:created>
  <dcterms:modified xsi:type="dcterms:W3CDTF">2017-06-08T17:28:53Z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y fmtid="{D5CDD505-2E9C-101B-9397-08002B2CF9AE}" pid="8" name="_ReviewingToolsShownOnce">
    <vt:lpwstr/>
  </property>
</Properties>
</file>